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ste\Desktop\New Transport Outlook Model Page\"/>
    </mc:Choice>
  </mc:AlternateContent>
  <bookViews>
    <workbookView xWindow="105" yWindow="6570" windowWidth="28860" windowHeight="6765" activeTab="1"/>
  </bookViews>
  <sheets>
    <sheet name="Provenance" sheetId="21" r:id="rId1"/>
    <sheet name="Total Trip Tables" sheetId="6" r:id="rId2"/>
    <sheet name="Total Distance Tables" sheetId="12" r:id="rId3"/>
    <sheet name="Total Duration Tables" sheetId="13" r:id="rId4"/>
    <sheet name="Total Trip Tables Sup #2" sheetId="18" r:id="rId5"/>
    <sheet name="Total Trip Tables Sup #1" sheetId="9" r:id="rId6"/>
    <sheet name="Total Trip Tables Original" sheetId="3" r:id="rId7"/>
    <sheet name="Total Distance Tables Sup #2" sheetId="16" r:id="rId8"/>
    <sheet name="Total Distance Tables Sup #1" sheetId="10" r:id="rId9"/>
    <sheet name="Total Distance Tables Original" sheetId="4" r:id="rId10"/>
    <sheet name="Total Duration Tables Sup #2" sheetId="17" r:id="rId11"/>
    <sheet name="Total Duration Tables Sup #1" sheetId="11" r:id="rId12"/>
    <sheet name="Total Duration Tables Original" sheetId="5" r:id="rId13"/>
    <sheet name="Original Population" sheetId="20" r:id="rId14"/>
    <sheet name="Updated Population" sheetId="7" r:id="rId15"/>
    <sheet name="Formatted Trip Summary" sheetId="2" r:id="rId16"/>
    <sheet name="Unformatted Trip Summary" sheetId="1" r:id="rId17"/>
    <sheet name="Active Mode Assumptions" sheetId="19" r:id="rId18"/>
    <sheet name="PT Assumptions" sheetId="15" r:id="rId19"/>
    <sheet name="Other Assumptions" sheetId="8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Auckland_Reference">'Formatted Trip Summary'!$A$81</definedName>
    <definedName name="BOP_Reference">'Formatted Trip Summary'!$A$249</definedName>
    <definedName name="Canterbury_Reference">'Formatted Trip Summary'!$A$858</definedName>
    <definedName name="Gisborne_Reference">'Formatted Trip Summary'!$A$319</definedName>
    <definedName name="Hawkes_Bay_Reference">'Formatted Trip Summary'!$A$403</definedName>
    <definedName name="Manawatu_Reference">'Formatted Trip Summary'!$A$550</definedName>
    <definedName name="Nelson_Reference">'Formatted Trip Summary'!$A$711</definedName>
    <definedName name="Northland_Reference">'Formatted Trip Summary'!$A$4</definedName>
    <definedName name="Otago_Reference">'Formatted Trip Summary'!$A$935</definedName>
    <definedName name="Southland_Reference">'Formatted Trip Summary'!$A$1005</definedName>
    <definedName name="Taranaki_Reference">'Formatted Trip Summary'!$A$473</definedName>
    <definedName name="Waikato_Reference">'Formatted Trip Summary'!$A$165</definedName>
    <definedName name="Wellington_Reference">'Formatted Trip Summary'!$A$627</definedName>
    <definedName name="West_Coast_Reference">'Formatted Trip Summary'!$A$788</definedName>
  </definedNames>
  <calcPr calcId="162913"/>
</workbook>
</file>

<file path=xl/calcChain.xml><?xml version="1.0" encoding="utf-8"?>
<calcChain xmlns="http://schemas.openxmlformats.org/spreadsheetml/2006/main">
  <c r="J1072" i="1" l="1"/>
  <c r="I1072" i="1"/>
  <c r="H1072" i="1"/>
  <c r="G1072" i="1"/>
  <c r="F1072" i="1"/>
  <c r="E1072" i="1"/>
  <c r="D1072" i="1"/>
  <c r="C1072" i="1"/>
  <c r="B1072" i="1"/>
  <c r="A1072" i="1"/>
  <c r="J1071" i="1"/>
  <c r="I1071" i="1"/>
  <c r="H1071" i="1"/>
  <c r="G1071" i="1"/>
  <c r="F1071" i="1"/>
  <c r="E1071" i="1"/>
  <c r="D1071" i="1"/>
  <c r="C1071" i="1"/>
  <c r="B1071" i="1"/>
  <c r="A1071" i="1"/>
  <c r="J1070" i="1"/>
  <c r="I1070" i="1"/>
  <c r="H1070" i="1"/>
  <c r="G1070" i="1"/>
  <c r="F1070" i="1"/>
  <c r="E1070" i="1"/>
  <c r="D1070" i="1"/>
  <c r="C1070" i="1"/>
  <c r="B1070" i="1"/>
  <c r="A1070" i="1"/>
  <c r="J1069" i="1"/>
  <c r="I1069" i="1"/>
  <c r="H1069" i="1"/>
  <c r="G1069" i="1"/>
  <c r="F1069" i="1"/>
  <c r="E1069" i="1"/>
  <c r="D1069" i="1"/>
  <c r="C1069" i="1"/>
  <c r="B1069" i="1"/>
  <c r="A1069" i="1"/>
  <c r="J1068" i="1"/>
  <c r="I1068" i="1"/>
  <c r="H1068" i="1"/>
  <c r="G1068" i="1"/>
  <c r="F1068" i="1"/>
  <c r="E1068" i="1"/>
  <c r="D1068" i="1"/>
  <c r="C1068" i="1"/>
  <c r="B1068" i="1"/>
  <c r="A1068" i="1"/>
  <c r="J1067" i="1"/>
  <c r="I1067" i="1"/>
  <c r="H1067" i="1"/>
  <c r="G1067" i="1"/>
  <c r="F1067" i="1"/>
  <c r="E1067" i="1"/>
  <c r="D1067" i="1"/>
  <c r="C1067" i="1"/>
  <c r="B1067" i="1"/>
  <c r="A1067" i="1"/>
  <c r="J1066" i="1"/>
  <c r="I1066" i="1"/>
  <c r="H1066" i="1"/>
  <c r="G1066" i="1"/>
  <c r="F1066" i="1"/>
  <c r="E1066" i="1"/>
  <c r="D1066" i="1"/>
  <c r="C1066" i="1"/>
  <c r="B1066" i="1"/>
  <c r="A1066" i="1"/>
  <c r="J1065" i="1"/>
  <c r="I1065" i="1"/>
  <c r="H1065" i="1"/>
  <c r="G1065" i="1"/>
  <c r="F1065" i="1"/>
  <c r="E1065" i="1"/>
  <c r="D1065" i="1"/>
  <c r="C1065" i="1"/>
  <c r="B1065" i="1"/>
  <c r="A1065" i="1"/>
  <c r="J1064" i="1"/>
  <c r="I1064" i="1"/>
  <c r="H1064" i="1"/>
  <c r="G1064" i="1"/>
  <c r="F1064" i="1"/>
  <c r="E1064" i="1"/>
  <c r="D1064" i="1"/>
  <c r="C1064" i="1"/>
  <c r="B1064" i="1"/>
  <c r="A1064" i="1"/>
  <c r="J1063" i="1"/>
  <c r="I1063" i="1"/>
  <c r="H1063" i="1"/>
  <c r="G1063" i="1"/>
  <c r="F1063" i="1"/>
  <c r="E1063" i="1"/>
  <c r="D1063" i="1"/>
  <c r="C1063" i="1"/>
  <c r="B1063" i="1"/>
  <c r="A1063" i="1"/>
  <c r="J1062" i="1"/>
  <c r="I1062" i="1"/>
  <c r="H1062" i="1"/>
  <c r="G1062" i="1"/>
  <c r="F1062" i="1"/>
  <c r="E1062" i="1"/>
  <c r="D1062" i="1"/>
  <c r="C1062" i="1"/>
  <c r="B1062" i="1"/>
  <c r="A1062" i="1"/>
  <c r="J1061" i="1"/>
  <c r="I1061" i="1"/>
  <c r="H1061" i="1"/>
  <c r="G1061" i="1"/>
  <c r="F1061" i="1"/>
  <c r="E1061" i="1"/>
  <c r="D1061" i="1"/>
  <c r="C1061" i="1"/>
  <c r="B1061" i="1"/>
  <c r="A1061" i="1"/>
  <c r="J1060" i="1"/>
  <c r="I1060" i="1"/>
  <c r="H1060" i="1"/>
  <c r="G1060" i="1"/>
  <c r="F1060" i="1"/>
  <c r="E1060" i="1"/>
  <c r="D1060" i="1"/>
  <c r="C1060" i="1"/>
  <c r="B1060" i="1"/>
  <c r="A1060" i="1"/>
  <c r="J1059" i="1"/>
  <c r="I1059" i="1"/>
  <c r="H1059" i="1"/>
  <c r="G1059" i="1"/>
  <c r="F1059" i="1"/>
  <c r="E1059" i="1"/>
  <c r="D1059" i="1"/>
  <c r="C1059" i="1"/>
  <c r="B1059" i="1"/>
  <c r="A1059" i="1"/>
  <c r="J1058" i="1"/>
  <c r="I1058" i="1"/>
  <c r="H1058" i="1"/>
  <c r="G1058" i="1"/>
  <c r="F1058" i="1"/>
  <c r="E1058" i="1"/>
  <c r="D1058" i="1"/>
  <c r="C1058" i="1"/>
  <c r="B1058" i="1"/>
  <c r="A1058" i="1"/>
  <c r="J1057" i="1"/>
  <c r="I1057" i="1"/>
  <c r="H1057" i="1"/>
  <c r="G1057" i="1"/>
  <c r="F1057" i="1"/>
  <c r="E1057" i="1"/>
  <c r="D1057" i="1"/>
  <c r="C1057" i="1"/>
  <c r="B1057" i="1"/>
  <c r="A1057" i="1"/>
  <c r="J1056" i="1"/>
  <c r="I1056" i="1"/>
  <c r="H1056" i="1"/>
  <c r="G1056" i="1"/>
  <c r="F1056" i="1"/>
  <c r="E1056" i="1"/>
  <c r="D1056" i="1"/>
  <c r="C1056" i="1"/>
  <c r="B1056" i="1"/>
  <c r="A1056" i="1"/>
  <c r="J1055" i="1"/>
  <c r="I1055" i="1"/>
  <c r="H1055" i="1"/>
  <c r="G1055" i="1"/>
  <c r="F1055" i="1"/>
  <c r="E1055" i="1"/>
  <c r="D1055" i="1"/>
  <c r="C1055" i="1"/>
  <c r="B1055" i="1"/>
  <c r="A1055" i="1"/>
  <c r="J1054" i="1"/>
  <c r="I1054" i="1"/>
  <c r="H1054" i="1"/>
  <c r="G1054" i="1"/>
  <c r="F1054" i="1"/>
  <c r="E1054" i="1"/>
  <c r="D1054" i="1"/>
  <c r="C1054" i="1"/>
  <c r="B1054" i="1"/>
  <c r="A1054" i="1"/>
  <c r="J1053" i="1"/>
  <c r="I1053" i="1"/>
  <c r="H1053" i="1"/>
  <c r="G1053" i="1"/>
  <c r="F1053" i="1"/>
  <c r="E1053" i="1"/>
  <c r="D1053" i="1"/>
  <c r="C1053" i="1"/>
  <c r="B1053" i="1"/>
  <c r="A1053" i="1"/>
  <c r="J1052" i="1"/>
  <c r="I1052" i="1"/>
  <c r="H1052" i="1"/>
  <c r="G1052" i="1"/>
  <c r="F1052" i="1"/>
  <c r="E1052" i="1"/>
  <c r="D1052" i="1"/>
  <c r="C1052" i="1"/>
  <c r="B1052" i="1"/>
  <c r="A1052" i="1"/>
  <c r="J1051" i="1"/>
  <c r="I1051" i="1"/>
  <c r="H1051" i="1"/>
  <c r="G1051" i="1"/>
  <c r="F1051" i="1"/>
  <c r="E1051" i="1"/>
  <c r="D1051" i="1"/>
  <c r="C1051" i="1"/>
  <c r="B1051" i="1"/>
  <c r="A1051" i="1"/>
  <c r="J1050" i="1"/>
  <c r="I1050" i="1"/>
  <c r="H1050" i="1"/>
  <c r="G1050" i="1"/>
  <c r="F1050" i="1"/>
  <c r="E1050" i="1"/>
  <c r="D1050" i="1"/>
  <c r="C1050" i="1"/>
  <c r="B1050" i="1"/>
  <c r="A1050" i="1"/>
  <c r="J1049" i="1"/>
  <c r="I1049" i="1"/>
  <c r="H1049" i="1"/>
  <c r="G1049" i="1"/>
  <c r="F1049" i="1"/>
  <c r="E1049" i="1"/>
  <c r="D1049" i="1"/>
  <c r="C1049" i="1"/>
  <c r="B1049" i="1"/>
  <c r="A1049" i="1"/>
  <c r="J1048" i="1"/>
  <c r="I1048" i="1"/>
  <c r="H1048" i="1"/>
  <c r="G1048" i="1"/>
  <c r="F1048" i="1"/>
  <c r="E1048" i="1"/>
  <c r="D1048" i="1"/>
  <c r="C1048" i="1"/>
  <c r="B1048" i="1"/>
  <c r="A1048" i="1"/>
  <c r="J1047" i="1"/>
  <c r="I1047" i="1"/>
  <c r="H1047" i="1"/>
  <c r="G1047" i="1"/>
  <c r="F1047" i="1"/>
  <c r="E1047" i="1"/>
  <c r="D1047" i="1"/>
  <c r="C1047" i="1"/>
  <c r="B1047" i="1"/>
  <c r="A1047" i="1"/>
  <c r="J1046" i="1"/>
  <c r="I1046" i="1"/>
  <c r="H1046" i="1"/>
  <c r="G1046" i="1"/>
  <c r="F1046" i="1"/>
  <c r="E1046" i="1"/>
  <c r="D1046" i="1"/>
  <c r="C1046" i="1"/>
  <c r="B1046" i="1"/>
  <c r="A1046" i="1"/>
  <c r="J1045" i="1"/>
  <c r="I1045" i="1"/>
  <c r="H1045" i="1"/>
  <c r="G1045" i="1"/>
  <c r="F1045" i="1"/>
  <c r="E1045" i="1"/>
  <c r="D1045" i="1"/>
  <c r="C1045" i="1"/>
  <c r="B1045" i="1"/>
  <c r="A1045" i="1"/>
  <c r="J1044" i="1"/>
  <c r="I1044" i="1"/>
  <c r="H1044" i="1"/>
  <c r="G1044" i="1"/>
  <c r="F1044" i="1"/>
  <c r="E1044" i="1"/>
  <c r="D1044" i="1"/>
  <c r="C1044" i="1"/>
  <c r="B1044" i="1"/>
  <c r="A1044" i="1"/>
  <c r="J1043" i="1"/>
  <c r="I1043" i="1"/>
  <c r="H1043" i="1"/>
  <c r="G1043" i="1"/>
  <c r="F1043" i="1"/>
  <c r="E1043" i="1"/>
  <c r="D1043" i="1"/>
  <c r="C1043" i="1"/>
  <c r="B1043" i="1"/>
  <c r="A1043" i="1"/>
  <c r="J1042" i="1"/>
  <c r="I1042" i="1"/>
  <c r="H1042" i="1"/>
  <c r="G1042" i="1"/>
  <c r="F1042" i="1"/>
  <c r="E1042" i="1"/>
  <c r="D1042" i="1"/>
  <c r="C1042" i="1"/>
  <c r="B1042" i="1"/>
  <c r="A1042" i="1"/>
  <c r="J1041" i="1"/>
  <c r="I1041" i="1"/>
  <c r="H1041" i="1"/>
  <c r="G1041" i="1"/>
  <c r="F1041" i="1"/>
  <c r="E1041" i="1"/>
  <c r="D1041" i="1"/>
  <c r="C1041" i="1"/>
  <c r="B1041" i="1"/>
  <c r="A1041" i="1"/>
  <c r="J1040" i="1"/>
  <c r="I1040" i="1"/>
  <c r="H1040" i="1"/>
  <c r="G1040" i="1"/>
  <c r="F1040" i="1"/>
  <c r="E1040" i="1"/>
  <c r="D1040" i="1"/>
  <c r="C1040" i="1"/>
  <c r="B1040" i="1"/>
  <c r="A1040" i="1"/>
  <c r="J1039" i="1"/>
  <c r="I1039" i="1"/>
  <c r="H1039" i="1"/>
  <c r="G1039" i="1"/>
  <c r="F1039" i="1"/>
  <c r="E1039" i="1"/>
  <c r="D1039" i="1"/>
  <c r="C1039" i="1"/>
  <c r="B1039" i="1"/>
  <c r="A1039" i="1"/>
  <c r="J1038" i="1"/>
  <c r="I1038" i="1"/>
  <c r="H1038" i="1"/>
  <c r="G1038" i="1"/>
  <c r="F1038" i="1"/>
  <c r="E1038" i="1"/>
  <c r="D1038" i="1"/>
  <c r="C1038" i="1"/>
  <c r="B1038" i="1"/>
  <c r="A1038" i="1"/>
  <c r="J1037" i="1"/>
  <c r="H1037" i="1"/>
  <c r="G1037" i="1"/>
  <c r="F1037" i="1"/>
  <c r="E1037" i="1"/>
  <c r="D1037" i="1"/>
  <c r="C1037" i="1"/>
  <c r="B1037" i="1"/>
  <c r="A1037" i="1"/>
  <c r="J1036" i="1"/>
  <c r="H1036" i="1"/>
  <c r="G1036" i="1"/>
  <c r="F1036" i="1"/>
  <c r="E1036" i="1"/>
  <c r="D1036" i="1"/>
  <c r="C1036" i="1"/>
  <c r="B1036" i="1"/>
  <c r="A1036" i="1"/>
  <c r="J1035" i="1"/>
  <c r="H1035" i="1"/>
  <c r="G1035" i="1"/>
  <c r="F1035" i="1"/>
  <c r="E1035" i="1"/>
  <c r="D1035" i="1"/>
  <c r="C1035" i="1"/>
  <c r="B1035" i="1"/>
  <c r="A1035" i="1"/>
  <c r="J1034" i="1"/>
  <c r="H1034" i="1"/>
  <c r="G1034" i="1"/>
  <c r="F1034" i="1"/>
  <c r="E1034" i="1"/>
  <c r="D1034" i="1"/>
  <c r="C1034" i="1"/>
  <c r="B1034" i="1"/>
  <c r="A1034" i="1"/>
  <c r="J1033" i="1"/>
  <c r="H1033" i="1"/>
  <c r="G1033" i="1"/>
  <c r="F1033" i="1"/>
  <c r="E1033" i="1"/>
  <c r="D1033" i="1"/>
  <c r="C1033" i="1"/>
  <c r="B1033" i="1"/>
  <c r="A1033" i="1"/>
  <c r="J1032" i="1"/>
  <c r="H1032" i="1"/>
  <c r="G1032" i="1"/>
  <c r="F1032" i="1"/>
  <c r="E1032" i="1"/>
  <c r="D1032" i="1"/>
  <c r="C1032" i="1"/>
  <c r="B1032" i="1"/>
  <c r="A1032" i="1"/>
  <c r="J1031" i="1"/>
  <c r="H1031" i="1"/>
  <c r="G1031" i="1"/>
  <c r="F1031" i="1"/>
  <c r="E1031" i="1"/>
  <c r="D1031" i="1"/>
  <c r="C1031" i="1"/>
  <c r="B1031" i="1"/>
  <c r="A1031" i="1"/>
  <c r="J1030" i="1"/>
  <c r="I1030" i="1"/>
  <c r="H1030" i="1"/>
  <c r="G1030" i="1"/>
  <c r="F1030" i="1"/>
  <c r="E1030" i="1"/>
  <c r="D1030" i="1"/>
  <c r="C1030" i="1"/>
  <c r="B1030" i="1"/>
  <c r="A1030" i="1"/>
  <c r="J1029" i="1"/>
  <c r="I1029" i="1"/>
  <c r="H1029" i="1"/>
  <c r="G1029" i="1"/>
  <c r="F1029" i="1"/>
  <c r="E1029" i="1"/>
  <c r="D1029" i="1"/>
  <c r="C1029" i="1"/>
  <c r="B1029" i="1"/>
  <c r="A1029" i="1"/>
  <c r="J1028" i="1"/>
  <c r="I1028" i="1"/>
  <c r="H1028" i="1"/>
  <c r="G1028" i="1"/>
  <c r="F1028" i="1"/>
  <c r="E1028" i="1"/>
  <c r="D1028" i="1"/>
  <c r="C1028" i="1"/>
  <c r="B1028" i="1"/>
  <c r="A1028" i="1"/>
  <c r="J1027" i="1"/>
  <c r="I1027" i="1"/>
  <c r="H1027" i="1"/>
  <c r="G1027" i="1"/>
  <c r="F1027" i="1"/>
  <c r="E1027" i="1"/>
  <c r="D1027" i="1"/>
  <c r="C1027" i="1"/>
  <c r="B1027" i="1"/>
  <c r="A1027" i="1"/>
  <c r="J1026" i="1"/>
  <c r="I1026" i="1"/>
  <c r="H1026" i="1"/>
  <c r="G1026" i="1"/>
  <c r="F1026" i="1"/>
  <c r="E1026" i="1"/>
  <c r="D1026" i="1"/>
  <c r="C1026" i="1"/>
  <c r="B1026" i="1"/>
  <c r="A1026" i="1"/>
  <c r="J1025" i="1"/>
  <c r="I1025" i="1"/>
  <c r="H1025" i="1"/>
  <c r="G1025" i="1"/>
  <c r="F1025" i="1"/>
  <c r="E1025" i="1"/>
  <c r="D1025" i="1"/>
  <c r="C1025" i="1"/>
  <c r="B1025" i="1"/>
  <c r="A1025" i="1"/>
  <c r="J1024" i="1"/>
  <c r="I1024" i="1"/>
  <c r="H1024" i="1"/>
  <c r="G1024" i="1"/>
  <c r="F1024" i="1"/>
  <c r="E1024" i="1"/>
  <c r="D1024" i="1"/>
  <c r="C1024" i="1"/>
  <c r="B1024" i="1"/>
  <c r="A1024" i="1"/>
  <c r="J1023" i="1"/>
  <c r="I1023" i="1"/>
  <c r="H1023" i="1"/>
  <c r="G1023" i="1"/>
  <c r="F1023" i="1"/>
  <c r="E1023" i="1"/>
  <c r="D1023" i="1"/>
  <c r="C1023" i="1"/>
  <c r="B1023" i="1"/>
  <c r="A1023" i="1"/>
  <c r="J1022" i="1"/>
  <c r="I1022" i="1"/>
  <c r="H1022" i="1"/>
  <c r="G1022" i="1"/>
  <c r="F1022" i="1"/>
  <c r="E1022" i="1"/>
  <c r="D1022" i="1"/>
  <c r="C1022" i="1"/>
  <c r="B1022" i="1"/>
  <c r="A1022" i="1"/>
  <c r="J1021" i="1"/>
  <c r="I1021" i="1"/>
  <c r="H1021" i="1"/>
  <c r="G1021" i="1"/>
  <c r="F1021" i="1"/>
  <c r="E1021" i="1"/>
  <c r="D1021" i="1"/>
  <c r="C1021" i="1"/>
  <c r="B1021" i="1"/>
  <c r="A1021" i="1"/>
  <c r="J1020" i="1"/>
  <c r="I1020" i="1"/>
  <c r="H1020" i="1"/>
  <c r="G1020" i="1"/>
  <c r="F1020" i="1"/>
  <c r="E1020" i="1"/>
  <c r="D1020" i="1"/>
  <c r="C1020" i="1"/>
  <c r="B1020" i="1"/>
  <c r="A1020" i="1"/>
  <c r="J1019" i="1"/>
  <c r="I1019" i="1"/>
  <c r="H1019" i="1"/>
  <c r="G1019" i="1"/>
  <c r="F1019" i="1"/>
  <c r="E1019" i="1"/>
  <c r="D1019" i="1"/>
  <c r="C1019" i="1"/>
  <c r="B1019" i="1"/>
  <c r="A1019" i="1"/>
  <c r="J1018" i="1"/>
  <c r="I1018" i="1"/>
  <c r="H1018" i="1"/>
  <c r="G1018" i="1"/>
  <c r="F1018" i="1"/>
  <c r="E1018" i="1"/>
  <c r="D1018" i="1"/>
  <c r="C1018" i="1"/>
  <c r="B1018" i="1"/>
  <c r="A1018" i="1"/>
  <c r="J1017" i="1"/>
  <c r="I1017" i="1"/>
  <c r="H1017" i="1"/>
  <c r="G1017" i="1"/>
  <c r="F1017" i="1"/>
  <c r="E1017" i="1"/>
  <c r="D1017" i="1"/>
  <c r="C1017" i="1"/>
  <c r="B1017" i="1"/>
  <c r="A1017" i="1"/>
  <c r="J1016" i="1"/>
  <c r="I1016" i="1"/>
  <c r="H1016" i="1"/>
  <c r="G1016" i="1"/>
  <c r="F1016" i="1"/>
  <c r="E1016" i="1"/>
  <c r="D1016" i="1"/>
  <c r="C1016" i="1"/>
  <c r="B1016" i="1"/>
  <c r="A1016" i="1"/>
  <c r="J1015" i="1"/>
  <c r="I1015" i="1"/>
  <c r="H1015" i="1"/>
  <c r="G1015" i="1"/>
  <c r="F1015" i="1"/>
  <c r="E1015" i="1"/>
  <c r="D1015" i="1"/>
  <c r="C1015" i="1"/>
  <c r="B1015" i="1"/>
  <c r="A1015" i="1"/>
  <c r="J1014" i="1"/>
  <c r="I1014" i="1"/>
  <c r="H1014" i="1"/>
  <c r="G1014" i="1"/>
  <c r="F1014" i="1"/>
  <c r="E1014" i="1"/>
  <c r="D1014" i="1"/>
  <c r="C1014" i="1"/>
  <c r="B1014" i="1"/>
  <c r="A1014" i="1"/>
  <c r="J1013" i="1"/>
  <c r="I1013" i="1"/>
  <c r="H1013" i="1"/>
  <c r="G1013" i="1"/>
  <c r="F1013" i="1"/>
  <c r="E1013" i="1"/>
  <c r="D1013" i="1"/>
  <c r="C1013" i="1"/>
  <c r="B1013" i="1"/>
  <c r="A1013" i="1"/>
  <c r="J1012" i="1"/>
  <c r="I1012" i="1"/>
  <c r="H1012" i="1"/>
  <c r="G1012" i="1"/>
  <c r="F1012" i="1"/>
  <c r="E1012" i="1"/>
  <c r="D1012" i="1"/>
  <c r="C1012" i="1"/>
  <c r="B1012" i="1"/>
  <c r="A1012" i="1"/>
  <c r="J1011" i="1"/>
  <c r="I1011" i="1"/>
  <c r="H1011" i="1"/>
  <c r="G1011" i="1"/>
  <c r="F1011" i="1"/>
  <c r="E1011" i="1"/>
  <c r="D1011" i="1"/>
  <c r="C1011" i="1"/>
  <c r="B1011" i="1"/>
  <c r="A1011" i="1"/>
  <c r="J1010" i="1"/>
  <c r="I1010" i="1"/>
  <c r="H1010" i="1"/>
  <c r="G1010" i="1"/>
  <c r="F1010" i="1"/>
  <c r="E1010" i="1"/>
  <c r="D1010" i="1"/>
  <c r="C1010" i="1"/>
  <c r="B1010" i="1"/>
  <c r="A1010" i="1"/>
  <c r="J1009" i="1"/>
  <c r="I1009" i="1"/>
  <c r="H1009" i="1"/>
  <c r="G1009" i="1"/>
  <c r="F1009" i="1"/>
  <c r="E1009" i="1"/>
  <c r="D1009" i="1"/>
  <c r="C1009" i="1"/>
  <c r="B1009" i="1"/>
  <c r="A1009" i="1"/>
  <c r="J1008" i="1"/>
  <c r="I1008" i="1"/>
  <c r="H1008" i="1"/>
  <c r="G1008" i="1"/>
  <c r="F1008" i="1"/>
  <c r="E1008" i="1"/>
  <c r="D1008" i="1"/>
  <c r="C1008" i="1"/>
  <c r="B1008" i="1"/>
  <c r="A1008" i="1"/>
  <c r="J1007" i="1"/>
  <c r="I1007" i="1"/>
  <c r="H1007" i="1"/>
  <c r="G1007" i="1"/>
  <c r="F1007" i="1"/>
  <c r="E1007" i="1"/>
  <c r="D1007" i="1"/>
  <c r="C1007" i="1"/>
  <c r="B1007" i="1"/>
  <c r="A1007" i="1"/>
  <c r="J1006" i="1"/>
  <c r="I1006" i="1"/>
  <c r="H1006" i="1"/>
  <c r="G1006" i="1"/>
  <c r="F1006" i="1"/>
  <c r="E1006" i="1"/>
  <c r="D1006" i="1"/>
  <c r="C1006" i="1"/>
  <c r="B1006" i="1"/>
  <c r="A1006" i="1"/>
  <c r="J1005" i="1"/>
  <c r="I1005" i="1"/>
  <c r="H1005" i="1"/>
  <c r="G1005" i="1"/>
  <c r="F1005" i="1"/>
  <c r="E1005" i="1"/>
  <c r="D1005" i="1"/>
  <c r="C1005" i="1"/>
  <c r="B1005" i="1"/>
  <c r="A1005" i="1"/>
  <c r="J1004" i="1"/>
  <c r="I1004" i="1"/>
  <c r="H1004" i="1"/>
  <c r="G1004" i="1"/>
  <c r="F1004" i="1"/>
  <c r="E1004" i="1"/>
  <c r="D1004" i="1"/>
  <c r="C1004" i="1"/>
  <c r="B1004" i="1"/>
  <c r="A1004" i="1"/>
  <c r="J1003" i="1"/>
  <c r="I1003" i="1"/>
  <c r="H1003" i="1"/>
  <c r="G1003" i="1"/>
  <c r="F1003" i="1"/>
  <c r="E1003" i="1"/>
  <c r="D1003" i="1"/>
  <c r="C1003" i="1"/>
  <c r="B1003" i="1"/>
  <c r="A1003" i="1"/>
  <c r="J1002" i="1"/>
  <c r="I1002" i="1"/>
  <c r="H1002" i="1"/>
  <c r="G1002" i="1"/>
  <c r="F1002" i="1"/>
  <c r="E1002" i="1"/>
  <c r="D1002" i="1"/>
  <c r="C1002" i="1"/>
  <c r="B1002" i="1"/>
  <c r="A1002" i="1"/>
  <c r="J1001" i="1"/>
  <c r="I1001" i="1"/>
  <c r="H1001" i="1"/>
  <c r="G1001" i="1"/>
  <c r="F1001" i="1"/>
  <c r="E1001" i="1"/>
  <c r="D1001" i="1"/>
  <c r="C1001" i="1"/>
  <c r="B1001" i="1"/>
  <c r="A1001" i="1"/>
  <c r="J1000" i="1"/>
  <c r="I1000" i="1"/>
  <c r="H1000" i="1"/>
  <c r="G1000" i="1"/>
  <c r="F1000" i="1"/>
  <c r="E1000" i="1"/>
  <c r="D1000" i="1"/>
  <c r="C1000" i="1"/>
  <c r="B1000" i="1"/>
  <c r="A1000" i="1"/>
  <c r="J999" i="1"/>
  <c r="I999" i="1"/>
  <c r="H999" i="1"/>
  <c r="G999" i="1"/>
  <c r="F999" i="1"/>
  <c r="E999" i="1"/>
  <c r="D999" i="1"/>
  <c r="C999" i="1"/>
  <c r="B999" i="1"/>
  <c r="A999" i="1"/>
  <c r="J998" i="1"/>
  <c r="I998" i="1"/>
  <c r="H998" i="1"/>
  <c r="G998" i="1"/>
  <c r="F998" i="1"/>
  <c r="E998" i="1"/>
  <c r="D998" i="1"/>
  <c r="C998" i="1"/>
  <c r="B998" i="1"/>
  <c r="A998" i="1"/>
  <c r="J997" i="1"/>
  <c r="I997" i="1"/>
  <c r="H997" i="1"/>
  <c r="G997" i="1"/>
  <c r="F997" i="1"/>
  <c r="E997" i="1"/>
  <c r="D997" i="1"/>
  <c r="C997" i="1"/>
  <c r="B997" i="1"/>
  <c r="A997" i="1"/>
  <c r="J996" i="1"/>
  <c r="I996" i="1"/>
  <c r="H996" i="1"/>
  <c r="G996" i="1"/>
  <c r="F996" i="1"/>
  <c r="E996" i="1"/>
  <c r="D996" i="1"/>
  <c r="C996" i="1"/>
  <c r="B996" i="1"/>
  <c r="A996" i="1"/>
  <c r="J995" i="1"/>
  <c r="I995" i="1"/>
  <c r="H995" i="1"/>
  <c r="G995" i="1"/>
  <c r="F995" i="1"/>
  <c r="E995" i="1"/>
  <c r="D995" i="1"/>
  <c r="C995" i="1"/>
  <c r="B995" i="1"/>
  <c r="A995" i="1"/>
  <c r="J994" i="1"/>
  <c r="I994" i="1"/>
  <c r="H994" i="1"/>
  <c r="G994" i="1"/>
  <c r="F994" i="1"/>
  <c r="E994" i="1"/>
  <c r="D994" i="1"/>
  <c r="C994" i="1"/>
  <c r="B994" i="1"/>
  <c r="A994" i="1"/>
  <c r="J993" i="1"/>
  <c r="I993" i="1"/>
  <c r="H993" i="1"/>
  <c r="G993" i="1"/>
  <c r="F993" i="1"/>
  <c r="E993" i="1"/>
  <c r="D993" i="1"/>
  <c r="C993" i="1"/>
  <c r="B993" i="1"/>
  <c r="A993" i="1"/>
  <c r="J992" i="1"/>
  <c r="I992" i="1"/>
  <c r="H992" i="1"/>
  <c r="G992" i="1"/>
  <c r="F992" i="1"/>
  <c r="E992" i="1"/>
  <c r="D992" i="1"/>
  <c r="C992" i="1"/>
  <c r="B992" i="1"/>
  <c r="A992" i="1"/>
  <c r="J991" i="1"/>
  <c r="I991" i="1"/>
  <c r="H991" i="1"/>
  <c r="G991" i="1"/>
  <c r="F991" i="1"/>
  <c r="E991" i="1"/>
  <c r="D991" i="1"/>
  <c r="C991" i="1"/>
  <c r="B991" i="1"/>
  <c r="A991" i="1"/>
  <c r="J990" i="1"/>
  <c r="I990" i="1"/>
  <c r="H990" i="1"/>
  <c r="G990" i="1"/>
  <c r="F990" i="1"/>
  <c r="E990" i="1"/>
  <c r="D990" i="1"/>
  <c r="C990" i="1"/>
  <c r="B990" i="1"/>
  <c r="A990" i="1"/>
  <c r="J989" i="1"/>
  <c r="I989" i="1"/>
  <c r="H989" i="1"/>
  <c r="G989" i="1"/>
  <c r="F989" i="1"/>
  <c r="E989" i="1"/>
  <c r="D989" i="1"/>
  <c r="C989" i="1"/>
  <c r="B989" i="1"/>
  <c r="A989" i="1"/>
  <c r="J988" i="1"/>
  <c r="I988" i="1"/>
  <c r="H988" i="1"/>
  <c r="G988" i="1"/>
  <c r="F988" i="1"/>
  <c r="E988" i="1"/>
  <c r="D988" i="1"/>
  <c r="C988" i="1"/>
  <c r="B988" i="1"/>
  <c r="A988" i="1"/>
  <c r="J987" i="1"/>
  <c r="I987" i="1"/>
  <c r="H987" i="1"/>
  <c r="G987" i="1"/>
  <c r="F987" i="1"/>
  <c r="E987" i="1"/>
  <c r="D987" i="1"/>
  <c r="C987" i="1"/>
  <c r="B987" i="1"/>
  <c r="A987" i="1"/>
  <c r="J986" i="1"/>
  <c r="I986" i="1"/>
  <c r="H986" i="1"/>
  <c r="G986" i="1"/>
  <c r="F986" i="1"/>
  <c r="E986" i="1"/>
  <c r="D986" i="1"/>
  <c r="C986" i="1"/>
  <c r="B986" i="1"/>
  <c r="A986" i="1"/>
  <c r="J985" i="1"/>
  <c r="I985" i="1"/>
  <c r="H985" i="1"/>
  <c r="G985" i="1"/>
  <c r="F985" i="1"/>
  <c r="E985" i="1"/>
  <c r="D985" i="1"/>
  <c r="C985" i="1"/>
  <c r="B985" i="1"/>
  <c r="A985" i="1"/>
  <c r="J984" i="1"/>
  <c r="I984" i="1"/>
  <c r="H984" i="1"/>
  <c r="G984" i="1"/>
  <c r="F984" i="1"/>
  <c r="E984" i="1"/>
  <c r="D984" i="1"/>
  <c r="C984" i="1"/>
  <c r="B984" i="1"/>
  <c r="A984" i="1"/>
  <c r="J983" i="1"/>
  <c r="I983" i="1"/>
  <c r="H983" i="1"/>
  <c r="G983" i="1"/>
  <c r="F983" i="1"/>
  <c r="E983" i="1"/>
  <c r="D983" i="1"/>
  <c r="C983" i="1"/>
  <c r="B983" i="1"/>
  <c r="A983" i="1"/>
  <c r="J982" i="1"/>
  <c r="I982" i="1"/>
  <c r="H982" i="1"/>
  <c r="G982" i="1"/>
  <c r="F982" i="1"/>
  <c r="E982" i="1"/>
  <c r="D982" i="1"/>
  <c r="C982" i="1"/>
  <c r="B982" i="1"/>
  <c r="A982" i="1"/>
  <c r="J981" i="1"/>
  <c r="I981" i="1"/>
  <c r="H981" i="1"/>
  <c r="G981" i="1"/>
  <c r="F981" i="1"/>
  <c r="E981" i="1"/>
  <c r="D981" i="1"/>
  <c r="C981" i="1"/>
  <c r="B981" i="1"/>
  <c r="A981" i="1"/>
  <c r="J980" i="1"/>
  <c r="I980" i="1"/>
  <c r="H980" i="1"/>
  <c r="G980" i="1"/>
  <c r="F980" i="1"/>
  <c r="E980" i="1"/>
  <c r="D980" i="1"/>
  <c r="C980" i="1"/>
  <c r="B980" i="1"/>
  <c r="A980" i="1"/>
  <c r="J979" i="1"/>
  <c r="I979" i="1"/>
  <c r="H979" i="1"/>
  <c r="G979" i="1"/>
  <c r="F979" i="1"/>
  <c r="E979" i="1"/>
  <c r="D979" i="1"/>
  <c r="C979" i="1"/>
  <c r="B979" i="1"/>
  <c r="A979" i="1"/>
  <c r="J978" i="1"/>
  <c r="I978" i="1"/>
  <c r="H978" i="1"/>
  <c r="G978" i="1"/>
  <c r="F978" i="1"/>
  <c r="E978" i="1"/>
  <c r="D978" i="1"/>
  <c r="C978" i="1"/>
  <c r="B978" i="1"/>
  <c r="A978" i="1"/>
  <c r="J977" i="1"/>
  <c r="I977" i="1"/>
  <c r="H977" i="1"/>
  <c r="G977" i="1"/>
  <c r="F977" i="1"/>
  <c r="E977" i="1"/>
  <c r="D977" i="1"/>
  <c r="C977" i="1"/>
  <c r="B977" i="1"/>
  <c r="A977" i="1"/>
  <c r="J976" i="1"/>
  <c r="I976" i="1"/>
  <c r="H976" i="1"/>
  <c r="G976" i="1"/>
  <c r="F976" i="1"/>
  <c r="E976" i="1"/>
  <c r="D976" i="1"/>
  <c r="C976" i="1"/>
  <c r="B976" i="1"/>
  <c r="A976" i="1"/>
  <c r="J975" i="1"/>
  <c r="I975" i="1"/>
  <c r="H975" i="1"/>
  <c r="G975" i="1"/>
  <c r="F975" i="1"/>
  <c r="E975" i="1"/>
  <c r="D975" i="1"/>
  <c r="C975" i="1"/>
  <c r="B975" i="1"/>
  <c r="A975" i="1"/>
  <c r="J974" i="1"/>
  <c r="I974" i="1"/>
  <c r="H974" i="1"/>
  <c r="G974" i="1"/>
  <c r="F974" i="1"/>
  <c r="E974" i="1"/>
  <c r="D974" i="1"/>
  <c r="C974" i="1"/>
  <c r="B974" i="1"/>
  <c r="A974" i="1"/>
  <c r="J973" i="1"/>
  <c r="I973" i="1"/>
  <c r="H973" i="1"/>
  <c r="G973" i="1"/>
  <c r="F973" i="1"/>
  <c r="E973" i="1"/>
  <c r="D973" i="1"/>
  <c r="C973" i="1"/>
  <c r="B973" i="1"/>
  <c r="A973" i="1"/>
  <c r="J972" i="1"/>
  <c r="I972" i="1"/>
  <c r="H972" i="1"/>
  <c r="G972" i="1"/>
  <c r="F972" i="1"/>
  <c r="E972" i="1"/>
  <c r="D972" i="1"/>
  <c r="C972" i="1"/>
  <c r="B972" i="1"/>
  <c r="A972" i="1"/>
  <c r="J971" i="1"/>
  <c r="I971" i="1"/>
  <c r="H971" i="1"/>
  <c r="G971" i="1"/>
  <c r="F971" i="1"/>
  <c r="E971" i="1"/>
  <c r="D971" i="1"/>
  <c r="C971" i="1"/>
  <c r="B971" i="1"/>
  <c r="A971" i="1"/>
  <c r="J970" i="1"/>
  <c r="I970" i="1"/>
  <c r="H970" i="1"/>
  <c r="G970" i="1"/>
  <c r="F970" i="1"/>
  <c r="E970" i="1"/>
  <c r="D970" i="1"/>
  <c r="C970" i="1"/>
  <c r="B970" i="1"/>
  <c r="A970" i="1"/>
  <c r="J969" i="1"/>
  <c r="I969" i="1"/>
  <c r="H969" i="1"/>
  <c r="G969" i="1"/>
  <c r="F969" i="1"/>
  <c r="E969" i="1"/>
  <c r="D969" i="1"/>
  <c r="C969" i="1"/>
  <c r="B969" i="1"/>
  <c r="A969" i="1"/>
  <c r="J968" i="1"/>
  <c r="I968" i="1"/>
  <c r="H968" i="1"/>
  <c r="G968" i="1"/>
  <c r="F968" i="1"/>
  <c r="E968" i="1"/>
  <c r="D968" i="1"/>
  <c r="C968" i="1"/>
  <c r="B968" i="1"/>
  <c r="A968" i="1"/>
  <c r="J967" i="1"/>
  <c r="H967" i="1"/>
  <c r="G967" i="1"/>
  <c r="F967" i="1"/>
  <c r="E967" i="1"/>
  <c r="D967" i="1"/>
  <c r="C967" i="1"/>
  <c r="B967" i="1"/>
  <c r="A967" i="1"/>
  <c r="J966" i="1"/>
  <c r="H966" i="1"/>
  <c r="G966" i="1"/>
  <c r="F966" i="1"/>
  <c r="E966" i="1"/>
  <c r="D966" i="1"/>
  <c r="C966" i="1"/>
  <c r="B966" i="1"/>
  <c r="A966" i="1"/>
  <c r="J965" i="1"/>
  <c r="H965" i="1"/>
  <c r="G965" i="1"/>
  <c r="F965" i="1"/>
  <c r="E965" i="1"/>
  <c r="D965" i="1"/>
  <c r="C965" i="1"/>
  <c r="B965" i="1"/>
  <c r="A965" i="1"/>
  <c r="J964" i="1"/>
  <c r="H964" i="1"/>
  <c r="G964" i="1"/>
  <c r="F964" i="1"/>
  <c r="E964" i="1"/>
  <c r="D964" i="1"/>
  <c r="C964" i="1"/>
  <c r="B964" i="1"/>
  <c r="A964" i="1"/>
  <c r="J963" i="1"/>
  <c r="H963" i="1"/>
  <c r="G963" i="1"/>
  <c r="F963" i="1"/>
  <c r="E963" i="1"/>
  <c r="D963" i="1"/>
  <c r="C963" i="1"/>
  <c r="B963" i="1"/>
  <c r="A963" i="1"/>
  <c r="J962" i="1"/>
  <c r="H962" i="1"/>
  <c r="G962" i="1"/>
  <c r="F962" i="1"/>
  <c r="E962" i="1"/>
  <c r="D962" i="1"/>
  <c r="C962" i="1"/>
  <c r="B962" i="1"/>
  <c r="A962" i="1"/>
  <c r="J961" i="1"/>
  <c r="H961" i="1"/>
  <c r="G961" i="1"/>
  <c r="F961" i="1"/>
  <c r="E961" i="1"/>
  <c r="D961" i="1"/>
  <c r="C961" i="1"/>
  <c r="B961" i="1"/>
  <c r="A961" i="1"/>
  <c r="J960" i="1"/>
  <c r="I960" i="1"/>
  <c r="H960" i="1"/>
  <c r="G960" i="1"/>
  <c r="F960" i="1"/>
  <c r="E960" i="1"/>
  <c r="D960" i="1"/>
  <c r="C960" i="1"/>
  <c r="B960" i="1"/>
  <c r="A960" i="1"/>
  <c r="J959" i="1"/>
  <c r="I959" i="1"/>
  <c r="H959" i="1"/>
  <c r="G959" i="1"/>
  <c r="F959" i="1"/>
  <c r="E959" i="1"/>
  <c r="D959" i="1"/>
  <c r="C959" i="1"/>
  <c r="B959" i="1"/>
  <c r="A959" i="1"/>
  <c r="J958" i="1"/>
  <c r="I958" i="1"/>
  <c r="H958" i="1"/>
  <c r="G958" i="1"/>
  <c r="F958" i="1"/>
  <c r="E958" i="1"/>
  <c r="D958" i="1"/>
  <c r="C958" i="1"/>
  <c r="B958" i="1"/>
  <c r="A958" i="1"/>
  <c r="J957" i="1"/>
  <c r="I957" i="1"/>
  <c r="H957" i="1"/>
  <c r="G957" i="1"/>
  <c r="F957" i="1"/>
  <c r="E957" i="1"/>
  <c r="D957" i="1"/>
  <c r="C957" i="1"/>
  <c r="B957" i="1"/>
  <c r="A957" i="1"/>
  <c r="J956" i="1"/>
  <c r="I956" i="1"/>
  <c r="H956" i="1"/>
  <c r="G956" i="1"/>
  <c r="F956" i="1"/>
  <c r="E956" i="1"/>
  <c r="D956" i="1"/>
  <c r="C956" i="1"/>
  <c r="B956" i="1"/>
  <c r="A956" i="1"/>
  <c r="J955" i="1"/>
  <c r="I955" i="1"/>
  <c r="H955" i="1"/>
  <c r="G955" i="1"/>
  <c r="F955" i="1"/>
  <c r="E955" i="1"/>
  <c r="D955" i="1"/>
  <c r="C955" i="1"/>
  <c r="B955" i="1"/>
  <c r="A955" i="1"/>
  <c r="J954" i="1"/>
  <c r="I954" i="1"/>
  <c r="H954" i="1"/>
  <c r="G954" i="1"/>
  <c r="F954" i="1"/>
  <c r="E954" i="1"/>
  <c r="D954" i="1"/>
  <c r="C954" i="1"/>
  <c r="B954" i="1"/>
  <c r="A954" i="1"/>
  <c r="J953" i="1"/>
  <c r="I953" i="1"/>
  <c r="H953" i="1"/>
  <c r="G953" i="1"/>
  <c r="F953" i="1"/>
  <c r="E953" i="1"/>
  <c r="D953" i="1"/>
  <c r="C953" i="1"/>
  <c r="B953" i="1"/>
  <c r="A953" i="1"/>
  <c r="J952" i="1"/>
  <c r="I952" i="1"/>
  <c r="H952" i="1"/>
  <c r="G952" i="1"/>
  <c r="F952" i="1"/>
  <c r="E952" i="1"/>
  <c r="D952" i="1"/>
  <c r="C952" i="1"/>
  <c r="B952" i="1"/>
  <c r="A952" i="1"/>
  <c r="J951" i="1"/>
  <c r="I951" i="1"/>
  <c r="H951" i="1"/>
  <c r="G951" i="1"/>
  <c r="F951" i="1"/>
  <c r="E951" i="1"/>
  <c r="D951" i="1"/>
  <c r="C951" i="1"/>
  <c r="B951" i="1"/>
  <c r="A951" i="1"/>
  <c r="J950" i="1"/>
  <c r="I950" i="1"/>
  <c r="H950" i="1"/>
  <c r="G950" i="1"/>
  <c r="F950" i="1"/>
  <c r="E950" i="1"/>
  <c r="D950" i="1"/>
  <c r="C950" i="1"/>
  <c r="B950" i="1"/>
  <c r="A950" i="1"/>
  <c r="J949" i="1"/>
  <c r="I949" i="1"/>
  <c r="H949" i="1"/>
  <c r="G949" i="1"/>
  <c r="F949" i="1"/>
  <c r="E949" i="1"/>
  <c r="D949" i="1"/>
  <c r="C949" i="1"/>
  <c r="B949" i="1"/>
  <c r="A949" i="1"/>
  <c r="J948" i="1"/>
  <c r="I948" i="1"/>
  <c r="H948" i="1"/>
  <c r="G948" i="1"/>
  <c r="F948" i="1"/>
  <c r="E948" i="1"/>
  <c r="D948" i="1"/>
  <c r="C948" i="1"/>
  <c r="B948" i="1"/>
  <c r="A948" i="1"/>
  <c r="J947" i="1"/>
  <c r="I947" i="1"/>
  <c r="H947" i="1"/>
  <c r="G947" i="1"/>
  <c r="F947" i="1"/>
  <c r="E947" i="1"/>
  <c r="D947" i="1"/>
  <c r="C947" i="1"/>
  <c r="B947" i="1"/>
  <c r="A947" i="1"/>
  <c r="J946" i="1"/>
  <c r="I946" i="1"/>
  <c r="H946" i="1"/>
  <c r="G946" i="1"/>
  <c r="F946" i="1"/>
  <c r="E946" i="1"/>
  <c r="D946" i="1"/>
  <c r="C946" i="1"/>
  <c r="B946" i="1"/>
  <c r="A946" i="1"/>
  <c r="J945" i="1"/>
  <c r="I945" i="1"/>
  <c r="H945" i="1"/>
  <c r="G945" i="1"/>
  <c r="F945" i="1"/>
  <c r="E945" i="1"/>
  <c r="D945" i="1"/>
  <c r="C945" i="1"/>
  <c r="B945" i="1"/>
  <c r="A945" i="1"/>
  <c r="J944" i="1"/>
  <c r="I944" i="1"/>
  <c r="H944" i="1"/>
  <c r="G944" i="1"/>
  <c r="F944" i="1"/>
  <c r="E944" i="1"/>
  <c r="D944" i="1"/>
  <c r="C944" i="1"/>
  <c r="B944" i="1"/>
  <c r="A944" i="1"/>
  <c r="J943" i="1"/>
  <c r="I943" i="1"/>
  <c r="H943" i="1"/>
  <c r="G943" i="1"/>
  <c r="F943" i="1"/>
  <c r="E943" i="1"/>
  <c r="D943" i="1"/>
  <c r="C943" i="1"/>
  <c r="B943" i="1"/>
  <c r="A943" i="1"/>
  <c r="J942" i="1"/>
  <c r="I942" i="1"/>
  <c r="H942" i="1"/>
  <c r="G942" i="1"/>
  <c r="F942" i="1"/>
  <c r="E942" i="1"/>
  <c r="D942" i="1"/>
  <c r="C942" i="1"/>
  <c r="B942" i="1"/>
  <c r="A942" i="1"/>
  <c r="J941" i="1"/>
  <c r="I941" i="1"/>
  <c r="H941" i="1"/>
  <c r="G941" i="1"/>
  <c r="F941" i="1"/>
  <c r="E941" i="1"/>
  <c r="D941" i="1"/>
  <c r="C941" i="1"/>
  <c r="B941" i="1"/>
  <c r="A941" i="1"/>
  <c r="J940" i="1"/>
  <c r="I940" i="1"/>
  <c r="H940" i="1"/>
  <c r="G940" i="1"/>
  <c r="F940" i="1"/>
  <c r="E940" i="1"/>
  <c r="D940" i="1"/>
  <c r="C940" i="1"/>
  <c r="B940" i="1"/>
  <c r="A940" i="1"/>
  <c r="J939" i="1"/>
  <c r="I939" i="1"/>
  <c r="H939" i="1"/>
  <c r="G939" i="1"/>
  <c r="F939" i="1"/>
  <c r="E939" i="1"/>
  <c r="D939" i="1"/>
  <c r="C939" i="1"/>
  <c r="B939" i="1"/>
  <c r="A939" i="1"/>
  <c r="J938" i="1"/>
  <c r="I938" i="1"/>
  <c r="H938" i="1"/>
  <c r="G938" i="1"/>
  <c r="F938" i="1"/>
  <c r="E938" i="1"/>
  <c r="D938" i="1"/>
  <c r="C938" i="1"/>
  <c r="B938" i="1"/>
  <c r="A938" i="1"/>
  <c r="J937" i="1"/>
  <c r="I937" i="1"/>
  <c r="H937" i="1"/>
  <c r="G937" i="1"/>
  <c r="F937" i="1"/>
  <c r="E937" i="1"/>
  <c r="D937" i="1"/>
  <c r="C937" i="1"/>
  <c r="B937" i="1"/>
  <c r="A937" i="1"/>
  <c r="J936" i="1"/>
  <c r="I936" i="1"/>
  <c r="H936" i="1"/>
  <c r="G936" i="1"/>
  <c r="F936" i="1"/>
  <c r="E936" i="1"/>
  <c r="D936" i="1"/>
  <c r="C936" i="1"/>
  <c r="B936" i="1"/>
  <c r="A936" i="1"/>
  <c r="J935" i="1"/>
  <c r="I935" i="1"/>
  <c r="H935" i="1"/>
  <c r="G935" i="1"/>
  <c r="F935" i="1"/>
  <c r="E935" i="1"/>
  <c r="D935" i="1"/>
  <c r="C935" i="1"/>
  <c r="B935" i="1"/>
  <c r="A935" i="1"/>
  <c r="J934" i="1"/>
  <c r="I934" i="1"/>
  <c r="H934" i="1"/>
  <c r="G934" i="1"/>
  <c r="F934" i="1"/>
  <c r="E934" i="1"/>
  <c r="D934" i="1"/>
  <c r="C934" i="1"/>
  <c r="B934" i="1"/>
  <c r="A934" i="1"/>
  <c r="J933" i="1"/>
  <c r="I933" i="1"/>
  <c r="H933" i="1"/>
  <c r="G933" i="1"/>
  <c r="F933" i="1"/>
  <c r="E933" i="1"/>
  <c r="D933" i="1"/>
  <c r="C933" i="1"/>
  <c r="B933" i="1"/>
  <c r="A933" i="1"/>
  <c r="J932" i="1"/>
  <c r="I932" i="1"/>
  <c r="H932" i="1"/>
  <c r="G932" i="1"/>
  <c r="F932" i="1"/>
  <c r="E932" i="1"/>
  <c r="D932" i="1"/>
  <c r="C932" i="1"/>
  <c r="B932" i="1"/>
  <c r="A932" i="1"/>
  <c r="J931" i="1"/>
  <c r="I931" i="1"/>
  <c r="H931" i="1"/>
  <c r="G931" i="1"/>
  <c r="F931" i="1"/>
  <c r="E931" i="1"/>
  <c r="D931" i="1"/>
  <c r="C931" i="1"/>
  <c r="B931" i="1"/>
  <c r="A931" i="1"/>
  <c r="J930" i="1"/>
  <c r="I930" i="1"/>
  <c r="H930" i="1"/>
  <c r="G930" i="1"/>
  <c r="F930" i="1"/>
  <c r="E930" i="1"/>
  <c r="D930" i="1"/>
  <c r="C930" i="1"/>
  <c r="B930" i="1"/>
  <c r="A930" i="1"/>
  <c r="J929" i="1"/>
  <c r="I929" i="1"/>
  <c r="H929" i="1"/>
  <c r="G929" i="1"/>
  <c r="F929" i="1"/>
  <c r="E929" i="1"/>
  <c r="D929" i="1"/>
  <c r="C929" i="1"/>
  <c r="B929" i="1"/>
  <c r="A929" i="1"/>
  <c r="J928" i="1"/>
  <c r="I928" i="1"/>
  <c r="H928" i="1"/>
  <c r="G928" i="1"/>
  <c r="F928" i="1"/>
  <c r="E928" i="1"/>
  <c r="D928" i="1"/>
  <c r="C928" i="1"/>
  <c r="B928" i="1"/>
  <c r="A928" i="1"/>
  <c r="J927" i="1"/>
  <c r="I927" i="1"/>
  <c r="H927" i="1"/>
  <c r="G927" i="1"/>
  <c r="F927" i="1"/>
  <c r="E927" i="1"/>
  <c r="D927" i="1"/>
  <c r="C927" i="1"/>
  <c r="B927" i="1"/>
  <c r="A927" i="1"/>
  <c r="J926" i="1"/>
  <c r="I926" i="1"/>
  <c r="H926" i="1"/>
  <c r="G926" i="1"/>
  <c r="F926" i="1"/>
  <c r="E926" i="1"/>
  <c r="D926" i="1"/>
  <c r="C926" i="1"/>
  <c r="B926" i="1"/>
  <c r="A926" i="1"/>
  <c r="J925" i="1"/>
  <c r="I925" i="1"/>
  <c r="H925" i="1"/>
  <c r="G925" i="1"/>
  <c r="F925" i="1"/>
  <c r="E925" i="1"/>
  <c r="D925" i="1"/>
  <c r="C925" i="1"/>
  <c r="B925" i="1"/>
  <c r="A925" i="1"/>
  <c r="J924" i="1"/>
  <c r="I924" i="1"/>
  <c r="H924" i="1"/>
  <c r="G924" i="1"/>
  <c r="F924" i="1"/>
  <c r="E924" i="1"/>
  <c r="D924" i="1"/>
  <c r="C924" i="1"/>
  <c r="B924" i="1"/>
  <c r="A924" i="1"/>
  <c r="J923" i="1"/>
  <c r="I923" i="1"/>
  <c r="H923" i="1"/>
  <c r="G923" i="1"/>
  <c r="F923" i="1"/>
  <c r="E923" i="1"/>
  <c r="D923" i="1"/>
  <c r="C923" i="1"/>
  <c r="B923" i="1"/>
  <c r="A923" i="1"/>
  <c r="J922" i="1"/>
  <c r="I922" i="1"/>
  <c r="H922" i="1"/>
  <c r="G922" i="1"/>
  <c r="F922" i="1"/>
  <c r="E922" i="1"/>
  <c r="D922" i="1"/>
  <c r="C922" i="1"/>
  <c r="B922" i="1"/>
  <c r="A922" i="1"/>
  <c r="J921" i="1"/>
  <c r="I921" i="1"/>
  <c r="H921" i="1"/>
  <c r="G921" i="1"/>
  <c r="F921" i="1"/>
  <c r="E921" i="1"/>
  <c r="D921" i="1"/>
  <c r="C921" i="1"/>
  <c r="B921" i="1"/>
  <c r="A921" i="1"/>
  <c r="J920" i="1"/>
  <c r="I920" i="1"/>
  <c r="H920" i="1"/>
  <c r="G920" i="1"/>
  <c r="F920" i="1"/>
  <c r="E920" i="1"/>
  <c r="D920" i="1"/>
  <c r="C920" i="1"/>
  <c r="B920" i="1"/>
  <c r="A920" i="1"/>
  <c r="J919" i="1"/>
  <c r="I919" i="1"/>
  <c r="H919" i="1"/>
  <c r="G919" i="1"/>
  <c r="F919" i="1"/>
  <c r="E919" i="1"/>
  <c r="D919" i="1"/>
  <c r="C919" i="1"/>
  <c r="B919" i="1"/>
  <c r="A919" i="1"/>
  <c r="J918" i="1"/>
  <c r="I918" i="1"/>
  <c r="H918" i="1"/>
  <c r="G918" i="1"/>
  <c r="F918" i="1"/>
  <c r="E918" i="1"/>
  <c r="D918" i="1"/>
  <c r="C918" i="1"/>
  <c r="B918" i="1"/>
  <c r="A918" i="1"/>
  <c r="J917" i="1"/>
  <c r="I917" i="1"/>
  <c r="H917" i="1"/>
  <c r="G917" i="1"/>
  <c r="F917" i="1"/>
  <c r="E917" i="1"/>
  <c r="D917" i="1"/>
  <c r="C917" i="1"/>
  <c r="B917" i="1"/>
  <c r="A917" i="1"/>
  <c r="J916" i="1"/>
  <c r="I916" i="1"/>
  <c r="H916" i="1"/>
  <c r="G916" i="1"/>
  <c r="F916" i="1"/>
  <c r="E916" i="1"/>
  <c r="D916" i="1"/>
  <c r="C916" i="1"/>
  <c r="B916" i="1"/>
  <c r="A916" i="1"/>
  <c r="J915" i="1"/>
  <c r="I915" i="1"/>
  <c r="H915" i="1"/>
  <c r="G915" i="1"/>
  <c r="F915" i="1"/>
  <c r="E915" i="1"/>
  <c r="D915" i="1"/>
  <c r="C915" i="1"/>
  <c r="B915" i="1"/>
  <c r="A915" i="1"/>
  <c r="J914" i="1"/>
  <c r="I914" i="1"/>
  <c r="H914" i="1"/>
  <c r="G914" i="1"/>
  <c r="F914" i="1"/>
  <c r="E914" i="1"/>
  <c r="D914" i="1"/>
  <c r="C914" i="1"/>
  <c r="B914" i="1"/>
  <c r="A914" i="1"/>
  <c r="J913" i="1"/>
  <c r="I913" i="1"/>
  <c r="H913" i="1"/>
  <c r="G913" i="1"/>
  <c r="F913" i="1"/>
  <c r="E913" i="1"/>
  <c r="D913" i="1"/>
  <c r="C913" i="1"/>
  <c r="B913" i="1"/>
  <c r="A913" i="1"/>
  <c r="J912" i="1"/>
  <c r="I912" i="1"/>
  <c r="H912" i="1"/>
  <c r="G912" i="1"/>
  <c r="F912" i="1"/>
  <c r="E912" i="1"/>
  <c r="D912" i="1"/>
  <c r="C912" i="1"/>
  <c r="B912" i="1"/>
  <c r="A912" i="1"/>
  <c r="J911" i="1"/>
  <c r="I911" i="1"/>
  <c r="H911" i="1"/>
  <c r="G911" i="1"/>
  <c r="F911" i="1"/>
  <c r="E911" i="1"/>
  <c r="D911" i="1"/>
  <c r="C911" i="1"/>
  <c r="B911" i="1"/>
  <c r="A911" i="1"/>
  <c r="J910" i="1"/>
  <c r="I910" i="1"/>
  <c r="H910" i="1"/>
  <c r="G910" i="1"/>
  <c r="F910" i="1"/>
  <c r="E910" i="1"/>
  <c r="D910" i="1"/>
  <c r="C910" i="1"/>
  <c r="B910" i="1"/>
  <c r="A910" i="1"/>
  <c r="J909" i="1"/>
  <c r="I909" i="1"/>
  <c r="H909" i="1"/>
  <c r="G909" i="1"/>
  <c r="F909" i="1"/>
  <c r="E909" i="1"/>
  <c r="D909" i="1"/>
  <c r="C909" i="1"/>
  <c r="B909" i="1"/>
  <c r="A909" i="1"/>
  <c r="J908" i="1"/>
  <c r="I908" i="1"/>
  <c r="H908" i="1"/>
  <c r="G908" i="1"/>
  <c r="F908" i="1"/>
  <c r="E908" i="1"/>
  <c r="D908" i="1"/>
  <c r="C908" i="1"/>
  <c r="B908" i="1"/>
  <c r="A908" i="1"/>
  <c r="J907" i="1"/>
  <c r="I907" i="1"/>
  <c r="H907" i="1"/>
  <c r="G907" i="1"/>
  <c r="F907" i="1"/>
  <c r="E907" i="1"/>
  <c r="D907" i="1"/>
  <c r="C907" i="1"/>
  <c r="B907" i="1"/>
  <c r="A907" i="1"/>
  <c r="J906" i="1"/>
  <c r="I906" i="1"/>
  <c r="H906" i="1"/>
  <c r="G906" i="1"/>
  <c r="F906" i="1"/>
  <c r="E906" i="1"/>
  <c r="D906" i="1"/>
  <c r="C906" i="1"/>
  <c r="B906" i="1"/>
  <c r="A906" i="1"/>
  <c r="J905" i="1"/>
  <c r="I905" i="1"/>
  <c r="H905" i="1"/>
  <c r="G905" i="1"/>
  <c r="F905" i="1"/>
  <c r="E905" i="1"/>
  <c r="D905" i="1"/>
  <c r="C905" i="1"/>
  <c r="B905" i="1"/>
  <c r="A905" i="1"/>
  <c r="J904" i="1"/>
  <c r="I904" i="1"/>
  <c r="H904" i="1"/>
  <c r="G904" i="1"/>
  <c r="F904" i="1"/>
  <c r="E904" i="1"/>
  <c r="D904" i="1"/>
  <c r="C904" i="1"/>
  <c r="B904" i="1"/>
  <c r="A904" i="1"/>
  <c r="J903" i="1"/>
  <c r="I903" i="1"/>
  <c r="H903" i="1"/>
  <c r="G903" i="1"/>
  <c r="F903" i="1"/>
  <c r="E903" i="1"/>
  <c r="D903" i="1"/>
  <c r="C903" i="1"/>
  <c r="B903" i="1"/>
  <c r="A903" i="1"/>
  <c r="J902" i="1"/>
  <c r="I902" i="1"/>
  <c r="H902" i="1"/>
  <c r="G902" i="1"/>
  <c r="F902" i="1"/>
  <c r="E902" i="1"/>
  <c r="D902" i="1"/>
  <c r="C902" i="1"/>
  <c r="B902" i="1"/>
  <c r="A902" i="1"/>
  <c r="J901" i="1"/>
  <c r="I901" i="1"/>
  <c r="H901" i="1"/>
  <c r="G901" i="1"/>
  <c r="F901" i="1"/>
  <c r="E901" i="1"/>
  <c r="D901" i="1"/>
  <c r="C901" i="1"/>
  <c r="B901" i="1"/>
  <c r="A901" i="1"/>
  <c r="J900" i="1"/>
  <c r="I900" i="1"/>
  <c r="H900" i="1"/>
  <c r="G900" i="1"/>
  <c r="F900" i="1"/>
  <c r="E900" i="1"/>
  <c r="D900" i="1"/>
  <c r="C900" i="1"/>
  <c r="B900" i="1"/>
  <c r="A900" i="1"/>
  <c r="J899" i="1"/>
  <c r="I899" i="1"/>
  <c r="H899" i="1"/>
  <c r="G899" i="1"/>
  <c r="F899" i="1"/>
  <c r="E899" i="1"/>
  <c r="D899" i="1"/>
  <c r="C899" i="1"/>
  <c r="B899" i="1"/>
  <c r="A899" i="1"/>
  <c r="J898" i="1"/>
  <c r="I898" i="1"/>
  <c r="H898" i="1"/>
  <c r="G898" i="1"/>
  <c r="F898" i="1"/>
  <c r="E898" i="1"/>
  <c r="D898" i="1"/>
  <c r="C898" i="1"/>
  <c r="B898" i="1"/>
  <c r="A898" i="1"/>
  <c r="J897" i="1"/>
  <c r="I897" i="1"/>
  <c r="H897" i="1"/>
  <c r="G897" i="1"/>
  <c r="F897" i="1"/>
  <c r="E897" i="1"/>
  <c r="D897" i="1"/>
  <c r="C897" i="1"/>
  <c r="B897" i="1"/>
  <c r="A897" i="1"/>
  <c r="J896" i="1"/>
  <c r="I896" i="1"/>
  <c r="H896" i="1"/>
  <c r="G896" i="1"/>
  <c r="F896" i="1"/>
  <c r="E896" i="1"/>
  <c r="D896" i="1"/>
  <c r="C896" i="1"/>
  <c r="B896" i="1"/>
  <c r="A896" i="1"/>
  <c r="J895" i="1"/>
  <c r="I895" i="1"/>
  <c r="H895" i="1"/>
  <c r="G895" i="1"/>
  <c r="F895" i="1"/>
  <c r="E895" i="1"/>
  <c r="D895" i="1"/>
  <c r="C895" i="1"/>
  <c r="B895" i="1"/>
  <c r="A895" i="1"/>
  <c r="J894" i="1"/>
  <c r="I894" i="1"/>
  <c r="H894" i="1"/>
  <c r="G894" i="1"/>
  <c r="F894" i="1"/>
  <c r="E894" i="1"/>
  <c r="D894" i="1"/>
  <c r="C894" i="1"/>
  <c r="B894" i="1"/>
  <c r="A894" i="1"/>
  <c r="J893" i="1"/>
  <c r="I893" i="1"/>
  <c r="H893" i="1"/>
  <c r="G893" i="1"/>
  <c r="F893" i="1"/>
  <c r="E893" i="1"/>
  <c r="D893" i="1"/>
  <c r="C893" i="1"/>
  <c r="B893" i="1"/>
  <c r="A893" i="1"/>
  <c r="J892" i="1"/>
  <c r="I892" i="1"/>
  <c r="H892" i="1"/>
  <c r="G892" i="1"/>
  <c r="F892" i="1"/>
  <c r="E892" i="1"/>
  <c r="D892" i="1"/>
  <c r="C892" i="1"/>
  <c r="B892" i="1"/>
  <c r="A892" i="1"/>
  <c r="J891" i="1"/>
  <c r="I891" i="1"/>
  <c r="H891" i="1"/>
  <c r="G891" i="1"/>
  <c r="F891" i="1"/>
  <c r="E891" i="1"/>
  <c r="D891" i="1"/>
  <c r="C891" i="1"/>
  <c r="B891" i="1"/>
  <c r="A891" i="1"/>
  <c r="J890" i="1"/>
  <c r="H890" i="1"/>
  <c r="G890" i="1"/>
  <c r="F890" i="1"/>
  <c r="E890" i="1"/>
  <c r="D890" i="1"/>
  <c r="C890" i="1"/>
  <c r="B890" i="1"/>
  <c r="A890" i="1"/>
  <c r="J889" i="1"/>
  <c r="H889" i="1"/>
  <c r="G889" i="1"/>
  <c r="F889" i="1"/>
  <c r="E889" i="1"/>
  <c r="D889" i="1"/>
  <c r="C889" i="1"/>
  <c r="B889" i="1"/>
  <c r="A889" i="1"/>
  <c r="J888" i="1"/>
  <c r="H888" i="1"/>
  <c r="G888" i="1"/>
  <c r="F888" i="1"/>
  <c r="E888" i="1"/>
  <c r="D888" i="1"/>
  <c r="C888" i="1"/>
  <c r="B888" i="1"/>
  <c r="A888" i="1"/>
  <c r="J887" i="1"/>
  <c r="H887" i="1"/>
  <c r="G887" i="1"/>
  <c r="F887" i="1"/>
  <c r="E887" i="1"/>
  <c r="D887" i="1"/>
  <c r="C887" i="1"/>
  <c r="B887" i="1"/>
  <c r="A887" i="1"/>
  <c r="J886" i="1"/>
  <c r="H886" i="1"/>
  <c r="G886" i="1"/>
  <c r="F886" i="1"/>
  <c r="E886" i="1"/>
  <c r="D886" i="1"/>
  <c r="C886" i="1"/>
  <c r="B886" i="1"/>
  <c r="A886" i="1"/>
  <c r="J885" i="1"/>
  <c r="H885" i="1"/>
  <c r="G885" i="1"/>
  <c r="F885" i="1"/>
  <c r="E885" i="1"/>
  <c r="D885" i="1"/>
  <c r="C885" i="1"/>
  <c r="B885" i="1"/>
  <c r="A885" i="1"/>
  <c r="J884" i="1"/>
  <c r="H884" i="1"/>
  <c r="G884" i="1"/>
  <c r="F884" i="1"/>
  <c r="E884" i="1"/>
  <c r="D884" i="1"/>
  <c r="C884" i="1"/>
  <c r="B884" i="1"/>
  <c r="A884" i="1"/>
  <c r="J883" i="1"/>
  <c r="I883" i="1"/>
  <c r="H883" i="1"/>
  <c r="G883" i="1"/>
  <c r="F883" i="1"/>
  <c r="E883" i="1"/>
  <c r="D883" i="1"/>
  <c r="C883" i="1"/>
  <c r="B883" i="1"/>
  <c r="A883" i="1"/>
  <c r="J882" i="1"/>
  <c r="I882" i="1"/>
  <c r="H882" i="1"/>
  <c r="G882" i="1"/>
  <c r="F882" i="1"/>
  <c r="E882" i="1"/>
  <c r="D882" i="1"/>
  <c r="C882" i="1"/>
  <c r="B882" i="1"/>
  <c r="A882" i="1"/>
  <c r="J881" i="1"/>
  <c r="I881" i="1"/>
  <c r="H881" i="1"/>
  <c r="G881" i="1"/>
  <c r="F881" i="1"/>
  <c r="E881" i="1"/>
  <c r="D881" i="1"/>
  <c r="C881" i="1"/>
  <c r="B881" i="1"/>
  <c r="A881" i="1"/>
  <c r="J880" i="1"/>
  <c r="I880" i="1"/>
  <c r="H880" i="1"/>
  <c r="G880" i="1"/>
  <c r="F880" i="1"/>
  <c r="E880" i="1"/>
  <c r="D880" i="1"/>
  <c r="C880" i="1"/>
  <c r="B880" i="1"/>
  <c r="A880" i="1"/>
  <c r="J879" i="1"/>
  <c r="I879" i="1"/>
  <c r="H879" i="1"/>
  <c r="G879" i="1"/>
  <c r="F879" i="1"/>
  <c r="E879" i="1"/>
  <c r="D879" i="1"/>
  <c r="C879" i="1"/>
  <c r="B879" i="1"/>
  <c r="A879" i="1"/>
  <c r="J878" i="1"/>
  <c r="I878" i="1"/>
  <c r="H878" i="1"/>
  <c r="G878" i="1"/>
  <c r="F878" i="1"/>
  <c r="E878" i="1"/>
  <c r="D878" i="1"/>
  <c r="C878" i="1"/>
  <c r="B878" i="1"/>
  <c r="A878" i="1"/>
  <c r="J877" i="1"/>
  <c r="I877" i="1"/>
  <c r="H877" i="1"/>
  <c r="G877" i="1"/>
  <c r="F877" i="1"/>
  <c r="E877" i="1"/>
  <c r="D877" i="1"/>
  <c r="C877" i="1"/>
  <c r="B877" i="1"/>
  <c r="A877" i="1"/>
  <c r="J876" i="1"/>
  <c r="I876" i="1"/>
  <c r="H876" i="1"/>
  <c r="G876" i="1"/>
  <c r="F876" i="1"/>
  <c r="E876" i="1"/>
  <c r="D876" i="1"/>
  <c r="C876" i="1"/>
  <c r="B876" i="1"/>
  <c r="A876" i="1"/>
  <c r="J875" i="1"/>
  <c r="I875" i="1"/>
  <c r="H875" i="1"/>
  <c r="G875" i="1"/>
  <c r="F875" i="1"/>
  <c r="E875" i="1"/>
  <c r="D875" i="1"/>
  <c r="C875" i="1"/>
  <c r="B875" i="1"/>
  <c r="A875" i="1"/>
  <c r="J874" i="1"/>
  <c r="I874" i="1"/>
  <c r="H874" i="1"/>
  <c r="G874" i="1"/>
  <c r="F874" i="1"/>
  <c r="E874" i="1"/>
  <c r="D874" i="1"/>
  <c r="C874" i="1"/>
  <c r="B874" i="1"/>
  <c r="A874" i="1"/>
  <c r="J873" i="1"/>
  <c r="I873" i="1"/>
  <c r="H873" i="1"/>
  <c r="G873" i="1"/>
  <c r="F873" i="1"/>
  <c r="E873" i="1"/>
  <c r="D873" i="1"/>
  <c r="C873" i="1"/>
  <c r="B873" i="1"/>
  <c r="A873" i="1"/>
  <c r="J872" i="1"/>
  <c r="I872" i="1"/>
  <c r="H872" i="1"/>
  <c r="G872" i="1"/>
  <c r="F872" i="1"/>
  <c r="E872" i="1"/>
  <c r="D872" i="1"/>
  <c r="C872" i="1"/>
  <c r="B872" i="1"/>
  <c r="A872" i="1"/>
  <c r="J871" i="1"/>
  <c r="I871" i="1"/>
  <c r="H871" i="1"/>
  <c r="G871" i="1"/>
  <c r="F871" i="1"/>
  <c r="E871" i="1"/>
  <c r="D871" i="1"/>
  <c r="C871" i="1"/>
  <c r="B871" i="1"/>
  <c r="A871" i="1"/>
  <c r="J870" i="1"/>
  <c r="I870" i="1"/>
  <c r="H870" i="1"/>
  <c r="G870" i="1"/>
  <c r="F870" i="1"/>
  <c r="E870" i="1"/>
  <c r="D870" i="1"/>
  <c r="C870" i="1"/>
  <c r="B870" i="1"/>
  <c r="A870" i="1"/>
  <c r="J869" i="1"/>
  <c r="I869" i="1"/>
  <c r="H869" i="1"/>
  <c r="G869" i="1"/>
  <c r="F869" i="1"/>
  <c r="E869" i="1"/>
  <c r="D869" i="1"/>
  <c r="C869" i="1"/>
  <c r="B869" i="1"/>
  <c r="A869" i="1"/>
  <c r="J868" i="1"/>
  <c r="I868" i="1"/>
  <c r="H868" i="1"/>
  <c r="G868" i="1"/>
  <c r="F868" i="1"/>
  <c r="E868" i="1"/>
  <c r="D868" i="1"/>
  <c r="C868" i="1"/>
  <c r="B868" i="1"/>
  <c r="A868" i="1"/>
  <c r="J867" i="1"/>
  <c r="I867" i="1"/>
  <c r="H867" i="1"/>
  <c r="G867" i="1"/>
  <c r="F867" i="1"/>
  <c r="E867" i="1"/>
  <c r="D867" i="1"/>
  <c r="C867" i="1"/>
  <c r="B867" i="1"/>
  <c r="A867" i="1"/>
  <c r="J866" i="1"/>
  <c r="I866" i="1"/>
  <c r="H866" i="1"/>
  <c r="G866" i="1"/>
  <c r="F866" i="1"/>
  <c r="E866" i="1"/>
  <c r="D866" i="1"/>
  <c r="C866" i="1"/>
  <c r="B866" i="1"/>
  <c r="A866" i="1"/>
  <c r="J865" i="1"/>
  <c r="I865" i="1"/>
  <c r="H865" i="1"/>
  <c r="G865" i="1"/>
  <c r="F865" i="1"/>
  <c r="E865" i="1"/>
  <c r="D865" i="1"/>
  <c r="C865" i="1"/>
  <c r="B865" i="1"/>
  <c r="A865" i="1"/>
  <c r="J864" i="1"/>
  <c r="I864" i="1"/>
  <c r="H864" i="1"/>
  <c r="G864" i="1"/>
  <c r="F864" i="1"/>
  <c r="E864" i="1"/>
  <c r="D864" i="1"/>
  <c r="C864" i="1"/>
  <c r="B864" i="1"/>
  <c r="A864" i="1"/>
  <c r="J863" i="1"/>
  <c r="I863" i="1"/>
  <c r="H863" i="1"/>
  <c r="G863" i="1"/>
  <c r="F863" i="1"/>
  <c r="E863" i="1"/>
  <c r="D863" i="1"/>
  <c r="C863" i="1"/>
  <c r="B863" i="1"/>
  <c r="A863" i="1"/>
  <c r="J862" i="1"/>
  <c r="I862" i="1"/>
  <c r="H862" i="1"/>
  <c r="G862" i="1"/>
  <c r="F862" i="1"/>
  <c r="E862" i="1"/>
  <c r="D862" i="1"/>
  <c r="C862" i="1"/>
  <c r="B862" i="1"/>
  <c r="A862" i="1"/>
  <c r="J861" i="1"/>
  <c r="I861" i="1"/>
  <c r="H861" i="1"/>
  <c r="G861" i="1"/>
  <c r="F861" i="1"/>
  <c r="E861" i="1"/>
  <c r="D861" i="1"/>
  <c r="C861" i="1"/>
  <c r="B861" i="1"/>
  <c r="A861" i="1"/>
  <c r="J860" i="1"/>
  <c r="I860" i="1"/>
  <c r="H860" i="1"/>
  <c r="G860" i="1"/>
  <c r="F860" i="1"/>
  <c r="E860" i="1"/>
  <c r="D860" i="1"/>
  <c r="C860" i="1"/>
  <c r="B860" i="1"/>
  <c r="A860" i="1"/>
  <c r="J859" i="1"/>
  <c r="I859" i="1"/>
  <c r="H859" i="1"/>
  <c r="G859" i="1"/>
  <c r="F859" i="1"/>
  <c r="E859" i="1"/>
  <c r="D859" i="1"/>
  <c r="C859" i="1"/>
  <c r="B859" i="1"/>
  <c r="A859" i="1"/>
  <c r="J858" i="1"/>
  <c r="I858" i="1"/>
  <c r="H858" i="1"/>
  <c r="G858" i="1"/>
  <c r="F858" i="1"/>
  <c r="E858" i="1"/>
  <c r="D858" i="1"/>
  <c r="C858" i="1"/>
  <c r="B858" i="1"/>
  <c r="A858" i="1"/>
  <c r="J857" i="1"/>
  <c r="I857" i="1"/>
  <c r="H857" i="1"/>
  <c r="G857" i="1"/>
  <c r="F857" i="1"/>
  <c r="E857" i="1"/>
  <c r="D857" i="1"/>
  <c r="C857" i="1"/>
  <c r="B857" i="1"/>
  <c r="A857" i="1"/>
  <c r="J856" i="1"/>
  <c r="I856" i="1"/>
  <c r="H856" i="1"/>
  <c r="G856" i="1"/>
  <c r="F856" i="1"/>
  <c r="E856" i="1"/>
  <c r="D856" i="1"/>
  <c r="C856" i="1"/>
  <c r="B856" i="1"/>
  <c r="A856" i="1"/>
  <c r="J855" i="1"/>
  <c r="I855" i="1"/>
  <c r="H855" i="1"/>
  <c r="G855" i="1"/>
  <c r="F855" i="1"/>
  <c r="E855" i="1"/>
  <c r="D855" i="1"/>
  <c r="C855" i="1"/>
  <c r="B855" i="1"/>
  <c r="A855" i="1"/>
  <c r="J854" i="1"/>
  <c r="I854" i="1"/>
  <c r="H854" i="1"/>
  <c r="G854" i="1"/>
  <c r="F854" i="1"/>
  <c r="E854" i="1"/>
  <c r="D854" i="1"/>
  <c r="C854" i="1"/>
  <c r="B854" i="1"/>
  <c r="A854" i="1"/>
  <c r="J853" i="1"/>
  <c r="I853" i="1"/>
  <c r="H853" i="1"/>
  <c r="G853" i="1"/>
  <c r="F853" i="1"/>
  <c r="E853" i="1"/>
  <c r="D853" i="1"/>
  <c r="C853" i="1"/>
  <c r="B853" i="1"/>
  <c r="A853" i="1"/>
  <c r="J852" i="1"/>
  <c r="I852" i="1"/>
  <c r="H852" i="1"/>
  <c r="G852" i="1"/>
  <c r="F852" i="1"/>
  <c r="E852" i="1"/>
  <c r="D852" i="1"/>
  <c r="C852" i="1"/>
  <c r="B852" i="1"/>
  <c r="A852" i="1"/>
  <c r="J851" i="1"/>
  <c r="I851" i="1"/>
  <c r="H851" i="1"/>
  <c r="G851" i="1"/>
  <c r="F851" i="1"/>
  <c r="E851" i="1"/>
  <c r="D851" i="1"/>
  <c r="C851" i="1"/>
  <c r="B851" i="1"/>
  <c r="A851" i="1"/>
  <c r="J850" i="1"/>
  <c r="I850" i="1"/>
  <c r="H850" i="1"/>
  <c r="G850" i="1"/>
  <c r="F850" i="1"/>
  <c r="E850" i="1"/>
  <c r="D850" i="1"/>
  <c r="C850" i="1"/>
  <c r="B850" i="1"/>
  <c r="A850" i="1"/>
  <c r="J849" i="1"/>
  <c r="I849" i="1"/>
  <c r="H849" i="1"/>
  <c r="G849" i="1"/>
  <c r="F849" i="1"/>
  <c r="E849" i="1"/>
  <c r="D849" i="1"/>
  <c r="C849" i="1"/>
  <c r="B849" i="1"/>
  <c r="A849" i="1"/>
  <c r="J848" i="1"/>
  <c r="I848" i="1"/>
  <c r="H848" i="1"/>
  <c r="G848" i="1"/>
  <c r="F848" i="1"/>
  <c r="E848" i="1"/>
  <c r="D848" i="1"/>
  <c r="C848" i="1"/>
  <c r="B848" i="1"/>
  <c r="A848" i="1"/>
  <c r="J847" i="1"/>
  <c r="I847" i="1"/>
  <c r="H847" i="1"/>
  <c r="G847" i="1"/>
  <c r="F847" i="1"/>
  <c r="E847" i="1"/>
  <c r="D847" i="1"/>
  <c r="C847" i="1"/>
  <c r="B847" i="1"/>
  <c r="A847" i="1"/>
  <c r="J846" i="1"/>
  <c r="I846" i="1"/>
  <c r="H846" i="1"/>
  <c r="G846" i="1"/>
  <c r="F846" i="1"/>
  <c r="E846" i="1"/>
  <c r="D846" i="1"/>
  <c r="C846" i="1"/>
  <c r="B846" i="1"/>
  <c r="A846" i="1"/>
  <c r="J845" i="1"/>
  <c r="I845" i="1"/>
  <c r="H845" i="1"/>
  <c r="G845" i="1"/>
  <c r="F845" i="1"/>
  <c r="E845" i="1"/>
  <c r="D845" i="1"/>
  <c r="C845" i="1"/>
  <c r="B845" i="1"/>
  <c r="A845" i="1"/>
  <c r="J844" i="1"/>
  <c r="I844" i="1"/>
  <c r="H844" i="1"/>
  <c r="G844" i="1"/>
  <c r="F844" i="1"/>
  <c r="E844" i="1"/>
  <c r="D844" i="1"/>
  <c r="C844" i="1"/>
  <c r="B844" i="1"/>
  <c r="A844" i="1"/>
  <c r="J843" i="1"/>
  <c r="I843" i="1"/>
  <c r="H843" i="1"/>
  <c r="G843" i="1"/>
  <c r="F843" i="1"/>
  <c r="E843" i="1"/>
  <c r="D843" i="1"/>
  <c r="C843" i="1"/>
  <c r="B843" i="1"/>
  <c r="A843" i="1"/>
  <c r="J842" i="1"/>
  <c r="I842" i="1"/>
  <c r="H842" i="1"/>
  <c r="G842" i="1"/>
  <c r="F842" i="1"/>
  <c r="E842" i="1"/>
  <c r="D842" i="1"/>
  <c r="C842" i="1"/>
  <c r="B842" i="1"/>
  <c r="A842" i="1"/>
  <c r="J841" i="1"/>
  <c r="I841" i="1"/>
  <c r="H841" i="1"/>
  <c r="G841" i="1"/>
  <c r="F841" i="1"/>
  <c r="E841" i="1"/>
  <c r="D841" i="1"/>
  <c r="C841" i="1"/>
  <c r="B841" i="1"/>
  <c r="A841" i="1"/>
  <c r="J840" i="1"/>
  <c r="I840" i="1"/>
  <c r="H840" i="1"/>
  <c r="G840" i="1"/>
  <c r="F840" i="1"/>
  <c r="E840" i="1"/>
  <c r="D840" i="1"/>
  <c r="C840" i="1"/>
  <c r="B840" i="1"/>
  <c r="A840" i="1"/>
  <c r="J839" i="1"/>
  <c r="I839" i="1"/>
  <c r="H839" i="1"/>
  <c r="G839" i="1"/>
  <c r="F839" i="1"/>
  <c r="E839" i="1"/>
  <c r="D839" i="1"/>
  <c r="C839" i="1"/>
  <c r="B839" i="1"/>
  <c r="A839" i="1"/>
  <c r="J838" i="1"/>
  <c r="I838" i="1"/>
  <c r="H838" i="1"/>
  <c r="G838" i="1"/>
  <c r="F838" i="1"/>
  <c r="E838" i="1"/>
  <c r="D838" i="1"/>
  <c r="C838" i="1"/>
  <c r="B838" i="1"/>
  <c r="A838" i="1"/>
  <c r="J837" i="1"/>
  <c r="I837" i="1"/>
  <c r="H837" i="1"/>
  <c r="G837" i="1"/>
  <c r="F837" i="1"/>
  <c r="E837" i="1"/>
  <c r="D837" i="1"/>
  <c r="C837" i="1"/>
  <c r="B837" i="1"/>
  <c r="A837" i="1"/>
  <c r="J836" i="1"/>
  <c r="I836" i="1"/>
  <c r="H836" i="1"/>
  <c r="G836" i="1"/>
  <c r="F836" i="1"/>
  <c r="E836" i="1"/>
  <c r="D836" i="1"/>
  <c r="C836" i="1"/>
  <c r="B836" i="1"/>
  <c r="A836" i="1"/>
  <c r="J835" i="1"/>
  <c r="I835" i="1"/>
  <c r="H835" i="1"/>
  <c r="G835" i="1"/>
  <c r="F835" i="1"/>
  <c r="E835" i="1"/>
  <c r="D835" i="1"/>
  <c r="C835" i="1"/>
  <c r="B835" i="1"/>
  <c r="A835" i="1"/>
  <c r="J834" i="1"/>
  <c r="I834" i="1"/>
  <c r="H834" i="1"/>
  <c r="G834" i="1"/>
  <c r="F834" i="1"/>
  <c r="E834" i="1"/>
  <c r="D834" i="1"/>
  <c r="C834" i="1"/>
  <c r="B834" i="1"/>
  <c r="A834" i="1"/>
  <c r="J833" i="1"/>
  <c r="I833" i="1"/>
  <c r="H833" i="1"/>
  <c r="G833" i="1"/>
  <c r="F833" i="1"/>
  <c r="E833" i="1"/>
  <c r="D833" i="1"/>
  <c r="C833" i="1"/>
  <c r="B833" i="1"/>
  <c r="A833" i="1"/>
  <c r="J832" i="1"/>
  <c r="I832" i="1"/>
  <c r="H832" i="1"/>
  <c r="G832" i="1"/>
  <c r="F832" i="1"/>
  <c r="E832" i="1"/>
  <c r="D832" i="1"/>
  <c r="C832" i="1"/>
  <c r="B832" i="1"/>
  <c r="A832" i="1"/>
  <c r="J831" i="1"/>
  <c r="I831" i="1"/>
  <c r="H831" i="1"/>
  <c r="G831" i="1"/>
  <c r="F831" i="1"/>
  <c r="E831" i="1"/>
  <c r="D831" i="1"/>
  <c r="C831" i="1"/>
  <c r="B831" i="1"/>
  <c r="A831" i="1"/>
  <c r="J830" i="1"/>
  <c r="I830" i="1"/>
  <c r="H830" i="1"/>
  <c r="G830" i="1"/>
  <c r="F830" i="1"/>
  <c r="E830" i="1"/>
  <c r="D830" i="1"/>
  <c r="C830" i="1"/>
  <c r="B830" i="1"/>
  <c r="A830" i="1"/>
  <c r="J829" i="1"/>
  <c r="I829" i="1"/>
  <c r="H829" i="1"/>
  <c r="G829" i="1"/>
  <c r="F829" i="1"/>
  <c r="E829" i="1"/>
  <c r="D829" i="1"/>
  <c r="C829" i="1"/>
  <c r="B829" i="1"/>
  <c r="A829" i="1"/>
  <c r="J828" i="1"/>
  <c r="I828" i="1"/>
  <c r="H828" i="1"/>
  <c r="G828" i="1"/>
  <c r="F828" i="1"/>
  <c r="E828" i="1"/>
  <c r="D828" i="1"/>
  <c r="C828" i="1"/>
  <c r="B828" i="1"/>
  <c r="A828" i="1"/>
  <c r="J827" i="1"/>
  <c r="I827" i="1"/>
  <c r="H827" i="1"/>
  <c r="G827" i="1"/>
  <c r="F827" i="1"/>
  <c r="E827" i="1"/>
  <c r="D827" i="1"/>
  <c r="C827" i="1"/>
  <c r="B827" i="1"/>
  <c r="A827" i="1"/>
  <c r="J826" i="1"/>
  <c r="I826" i="1"/>
  <c r="H826" i="1"/>
  <c r="G826" i="1"/>
  <c r="F826" i="1"/>
  <c r="E826" i="1"/>
  <c r="D826" i="1"/>
  <c r="C826" i="1"/>
  <c r="B826" i="1"/>
  <c r="A826" i="1"/>
  <c r="J825" i="1"/>
  <c r="I825" i="1"/>
  <c r="H825" i="1"/>
  <c r="G825" i="1"/>
  <c r="F825" i="1"/>
  <c r="E825" i="1"/>
  <c r="D825" i="1"/>
  <c r="C825" i="1"/>
  <c r="B825" i="1"/>
  <c r="A825" i="1"/>
  <c r="J824" i="1"/>
  <c r="I824" i="1"/>
  <c r="H824" i="1"/>
  <c r="G824" i="1"/>
  <c r="F824" i="1"/>
  <c r="E824" i="1"/>
  <c r="D824" i="1"/>
  <c r="C824" i="1"/>
  <c r="B824" i="1"/>
  <c r="A824" i="1"/>
  <c r="J823" i="1"/>
  <c r="I823" i="1"/>
  <c r="H823" i="1"/>
  <c r="G823" i="1"/>
  <c r="F823" i="1"/>
  <c r="E823" i="1"/>
  <c r="D823" i="1"/>
  <c r="C823" i="1"/>
  <c r="B823" i="1"/>
  <c r="A823" i="1"/>
  <c r="J822" i="1"/>
  <c r="I822" i="1"/>
  <c r="H822" i="1"/>
  <c r="G822" i="1"/>
  <c r="F822" i="1"/>
  <c r="E822" i="1"/>
  <c r="D822" i="1"/>
  <c r="C822" i="1"/>
  <c r="B822" i="1"/>
  <c r="A822" i="1"/>
  <c r="J821" i="1"/>
  <c r="I821" i="1"/>
  <c r="H821" i="1"/>
  <c r="G821" i="1"/>
  <c r="F821" i="1"/>
  <c r="E821" i="1"/>
  <c r="D821" i="1"/>
  <c r="C821" i="1"/>
  <c r="B821" i="1"/>
  <c r="A821" i="1"/>
  <c r="J820" i="1"/>
  <c r="H820" i="1"/>
  <c r="G820" i="1"/>
  <c r="F820" i="1"/>
  <c r="E820" i="1"/>
  <c r="D820" i="1"/>
  <c r="C820" i="1"/>
  <c r="B820" i="1"/>
  <c r="A820" i="1"/>
  <c r="J819" i="1"/>
  <c r="H819" i="1"/>
  <c r="G819" i="1"/>
  <c r="F819" i="1"/>
  <c r="E819" i="1"/>
  <c r="D819" i="1"/>
  <c r="C819" i="1"/>
  <c r="B819" i="1"/>
  <c r="A819" i="1"/>
  <c r="J818" i="1"/>
  <c r="H818" i="1"/>
  <c r="G818" i="1"/>
  <c r="F818" i="1"/>
  <c r="E818" i="1"/>
  <c r="D818" i="1"/>
  <c r="C818" i="1"/>
  <c r="B818" i="1"/>
  <c r="A818" i="1"/>
  <c r="J817" i="1"/>
  <c r="H817" i="1"/>
  <c r="G817" i="1"/>
  <c r="F817" i="1"/>
  <c r="E817" i="1"/>
  <c r="D817" i="1"/>
  <c r="C817" i="1"/>
  <c r="B817" i="1"/>
  <c r="A817" i="1"/>
  <c r="J816" i="1"/>
  <c r="H816" i="1"/>
  <c r="G816" i="1"/>
  <c r="F816" i="1"/>
  <c r="E816" i="1"/>
  <c r="D816" i="1"/>
  <c r="C816" i="1"/>
  <c r="B816" i="1"/>
  <c r="A816" i="1"/>
  <c r="J815" i="1"/>
  <c r="H815" i="1"/>
  <c r="G815" i="1"/>
  <c r="F815" i="1"/>
  <c r="E815" i="1"/>
  <c r="D815" i="1"/>
  <c r="C815" i="1"/>
  <c r="B815" i="1"/>
  <c r="A815" i="1"/>
  <c r="J814" i="1"/>
  <c r="H814" i="1"/>
  <c r="G814" i="1"/>
  <c r="F814" i="1"/>
  <c r="E814" i="1"/>
  <c r="D814" i="1"/>
  <c r="C814" i="1"/>
  <c r="B814" i="1"/>
  <c r="A814" i="1"/>
  <c r="J813" i="1"/>
  <c r="I813" i="1"/>
  <c r="H813" i="1"/>
  <c r="G813" i="1"/>
  <c r="F813" i="1"/>
  <c r="E813" i="1"/>
  <c r="D813" i="1"/>
  <c r="C813" i="1"/>
  <c r="B813" i="1"/>
  <c r="A813" i="1"/>
  <c r="J812" i="1"/>
  <c r="I812" i="1"/>
  <c r="H812" i="1"/>
  <c r="G812" i="1"/>
  <c r="F812" i="1"/>
  <c r="E812" i="1"/>
  <c r="D812" i="1"/>
  <c r="C812" i="1"/>
  <c r="B812" i="1"/>
  <c r="A812" i="1"/>
  <c r="J811" i="1"/>
  <c r="I811" i="1"/>
  <c r="H811" i="1"/>
  <c r="G811" i="1"/>
  <c r="F811" i="1"/>
  <c r="E811" i="1"/>
  <c r="D811" i="1"/>
  <c r="C811" i="1"/>
  <c r="B811" i="1"/>
  <c r="A811" i="1"/>
  <c r="J810" i="1"/>
  <c r="I810" i="1"/>
  <c r="H810" i="1"/>
  <c r="G810" i="1"/>
  <c r="F810" i="1"/>
  <c r="E810" i="1"/>
  <c r="D810" i="1"/>
  <c r="C810" i="1"/>
  <c r="B810" i="1"/>
  <c r="A810" i="1"/>
  <c r="J809" i="1"/>
  <c r="I809" i="1"/>
  <c r="H809" i="1"/>
  <c r="G809" i="1"/>
  <c r="F809" i="1"/>
  <c r="E809" i="1"/>
  <c r="D809" i="1"/>
  <c r="C809" i="1"/>
  <c r="B809" i="1"/>
  <c r="A809" i="1"/>
  <c r="J808" i="1"/>
  <c r="I808" i="1"/>
  <c r="H808" i="1"/>
  <c r="G808" i="1"/>
  <c r="F808" i="1"/>
  <c r="E808" i="1"/>
  <c r="D808" i="1"/>
  <c r="C808" i="1"/>
  <c r="B808" i="1"/>
  <c r="A808" i="1"/>
  <c r="J807" i="1"/>
  <c r="I807" i="1"/>
  <c r="H807" i="1"/>
  <c r="G807" i="1"/>
  <c r="F807" i="1"/>
  <c r="E807" i="1"/>
  <c r="D807" i="1"/>
  <c r="C807" i="1"/>
  <c r="B807" i="1"/>
  <c r="A807" i="1"/>
  <c r="J806" i="1"/>
  <c r="I806" i="1"/>
  <c r="H806" i="1"/>
  <c r="G806" i="1"/>
  <c r="F806" i="1"/>
  <c r="E806" i="1"/>
  <c r="D806" i="1"/>
  <c r="C806" i="1"/>
  <c r="B806" i="1"/>
  <c r="A806" i="1"/>
  <c r="J805" i="1"/>
  <c r="I805" i="1"/>
  <c r="H805" i="1"/>
  <c r="G805" i="1"/>
  <c r="F805" i="1"/>
  <c r="E805" i="1"/>
  <c r="D805" i="1"/>
  <c r="C805" i="1"/>
  <c r="B805" i="1"/>
  <c r="A805" i="1"/>
  <c r="J804" i="1"/>
  <c r="I804" i="1"/>
  <c r="H804" i="1"/>
  <c r="G804" i="1"/>
  <c r="F804" i="1"/>
  <c r="E804" i="1"/>
  <c r="D804" i="1"/>
  <c r="C804" i="1"/>
  <c r="B804" i="1"/>
  <c r="A804" i="1"/>
  <c r="J803" i="1"/>
  <c r="I803" i="1"/>
  <c r="H803" i="1"/>
  <c r="G803" i="1"/>
  <c r="F803" i="1"/>
  <c r="E803" i="1"/>
  <c r="D803" i="1"/>
  <c r="C803" i="1"/>
  <c r="B803" i="1"/>
  <c r="A803" i="1"/>
  <c r="J802" i="1"/>
  <c r="I802" i="1"/>
  <c r="H802" i="1"/>
  <c r="G802" i="1"/>
  <c r="F802" i="1"/>
  <c r="E802" i="1"/>
  <c r="D802" i="1"/>
  <c r="C802" i="1"/>
  <c r="B802" i="1"/>
  <c r="A802" i="1"/>
  <c r="J801" i="1"/>
  <c r="I801" i="1"/>
  <c r="H801" i="1"/>
  <c r="G801" i="1"/>
  <c r="F801" i="1"/>
  <c r="E801" i="1"/>
  <c r="D801" i="1"/>
  <c r="C801" i="1"/>
  <c r="B801" i="1"/>
  <c r="A801" i="1"/>
  <c r="J800" i="1"/>
  <c r="I800" i="1"/>
  <c r="H800" i="1"/>
  <c r="G800" i="1"/>
  <c r="F800" i="1"/>
  <c r="E800" i="1"/>
  <c r="D800" i="1"/>
  <c r="C800" i="1"/>
  <c r="B800" i="1"/>
  <c r="A800" i="1"/>
  <c r="J799" i="1"/>
  <c r="I799" i="1"/>
  <c r="H799" i="1"/>
  <c r="G799" i="1"/>
  <c r="F799" i="1"/>
  <c r="E799" i="1"/>
  <c r="D799" i="1"/>
  <c r="C799" i="1"/>
  <c r="B799" i="1"/>
  <c r="A799" i="1"/>
  <c r="J798" i="1"/>
  <c r="I798" i="1"/>
  <c r="H798" i="1"/>
  <c r="G798" i="1"/>
  <c r="F798" i="1"/>
  <c r="E798" i="1"/>
  <c r="D798" i="1"/>
  <c r="C798" i="1"/>
  <c r="B798" i="1"/>
  <c r="A798" i="1"/>
  <c r="J797" i="1"/>
  <c r="I797" i="1"/>
  <c r="H797" i="1"/>
  <c r="G797" i="1"/>
  <c r="F797" i="1"/>
  <c r="E797" i="1"/>
  <c r="D797" i="1"/>
  <c r="C797" i="1"/>
  <c r="B797" i="1"/>
  <c r="A797" i="1"/>
  <c r="J796" i="1"/>
  <c r="I796" i="1"/>
  <c r="H796" i="1"/>
  <c r="G796" i="1"/>
  <c r="F796" i="1"/>
  <c r="E796" i="1"/>
  <c r="D796" i="1"/>
  <c r="C796" i="1"/>
  <c r="B796" i="1"/>
  <c r="A796" i="1"/>
  <c r="J795" i="1"/>
  <c r="I795" i="1"/>
  <c r="H795" i="1"/>
  <c r="G795" i="1"/>
  <c r="F795" i="1"/>
  <c r="E795" i="1"/>
  <c r="D795" i="1"/>
  <c r="C795" i="1"/>
  <c r="B795" i="1"/>
  <c r="A795" i="1"/>
  <c r="J794" i="1"/>
  <c r="I794" i="1"/>
  <c r="H794" i="1"/>
  <c r="G794" i="1"/>
  <c r="F794" i="1"/>
  <c r="E794" i="1"/>
  <c r="D794" i="1"/>
  <c r="C794" i="1"/>
  <c r="B794" i="1"/>
  <c r="A794" i="1"/>
  <c r="J793" i="1"/>
  <c r="I793" i="1"/>
  <c r="H793" i="1"/>
  <c r="G793" i="1"/>
  <c r="F793" i="1"/>
  <c r="E793" i="1"/>
  <c r="D793" i="1"/>
  <c r="C793" i="1"/>
  <c r="B793" i="1"/>
  <c r="A793" i="1"/>
  <c r="J792" i="1"/>
  <c r="I792" i="1"/>
  <c r="H792" i="1"/>
  <c r="G792" i="1"/>
  <c r="F792" i="1"/>
  <c r="E792" i="1"/>
  <c r="D792" i="1"/>
  <c r="C792" i="1"/>
  <c r="B792" i="1"/>
  <c r="A792" i="1"/>
  <c r="J791" i="1"/>
  <c r="I791" i="1"/>
  <c r="H791" i="1"/>
  <c r="G791" i="1"/>
  <c r="F791" i="1"/>
  <c r="E791" i="1"/>
  <c r="D791" i="1"/>
  <c r="C791" i="1"/>
  <c r="B791" i="1"/>
  <c r="A791" i="1"/>
  <c r="J790" i="1"/>
  <c r="I790" i="1"/>
  <c r="H790" i="1"/>
  <c r="G790" i="1"/>
  <c r="F790" i="1"/>
  <c r="E790" i="1"/>
  <c r="D790" i="1"/>
  <c r="C790" i="1"/>
  <c r="B790" i="1"/>
  <c r="A790" i="1"/>
  <c r="J789" i="1"/>
  <c r="I789" i="1"/>
  <c r="H789" i="1"/>
  <c r="G789" i="1"/>
  <c r="F789" i="1"/>
  <c r="E789" i="1"/>
  <c r="D789" i="1"/>
  <c r="C789" i="1"/>
  <c r="B789" i="1"/>
  <c r="A789" i="1"/>
  <c r="J788" i="1"/>
  <c r="I788" i="1"/>
  <c r="H788" i="1"/>
  <c r="G788" i="1"/>
  <c r="F788" i="1"/>
  <c r="E788" i="1"/>
  <c r="D788" i="1"/>
  <c r="C788" i="1"/>
  <c r="B788" i="1"/>
  <c r="A788" i="1"/>
  <c r="J787" i="1"/>
  <c r="I787" i="1"/>
  <c r="H787" i="1"/>
  <c r="G787" i="1"/>
  <c r="F787" i="1"/>
  <c r="E787" i="1"/>
  <c r="D787" i="1"/>
  <c r="C787" i="1"/>
  <c r="B787" i="1"/>
  <c r="A787" i="1"/>
  <c r="J786" i="1"/>
  <c r="I786" i="1"/>
  <c r="H786" i="1"/>
  <c r="G786" i="1"/>
  <c r="F786" i="1"/>
  <c r="E786" i="1"/>
  <c r="D786" i="1"/>
  <c r="C786" i="1"/>
  <c r="B786" i="1"/>
  <c r="A786" i="1"/>
  <c r="J785" i="1"/>
  <c r="I785" i="1"/>
  <c r="H785" i="1"/>
  <c r="G785" i="1"/>
  <c r="F785" i="1"/>
  <c r="E785" i="1"/>
  <c r="D785" i="1"/>
  <c r="C785" i="1"/>
  <c r="B785" i="1"/>
  <c r="A785" i="1"/>
  <c r="J784" i="1"/>
  <c r="I784" i="1"/>
  <c r="H784" i="1"/>
  <c r="G784" i="1"/>
  <c r="F784" i="1"/>
  <c r="E784" i="1"/>
  <c r="D784" i="1"/>
  <c r="C784" i="1"/>
  <c r="B784" i="1"/>
  <c r="A784" i="1"/>
  <c r="J783" i="1"/>
  <c r="I783" i="1"/>
  <c r="H783" i="1"/>
  <c r="G783" i="1"/>
  <c r="F783" i="1"/>
  <c r="E783" i="1"/>
  <c r="D783" i="1"/>
  <c r="C783" i="1"/>
  <c r="B783" i="1"/>
  <c r="A783" i="1"/>
  <c r="J782" i="1"/>
  <c r="I782" i="1"/>
  <c r="H782" i="1"/>
  <c r="G782" i="1"/>
  <c r="F782" i="1"/>
  <c r="E782" i="1"/>
  <c r="D782" i="1"/>
  <c r="C782" i="1"/>
  <c r="B782" i="1"/>
  <c r="A782" i="1"/>
  <c r="J781" i="1"/>
  <c r="I781" i="1"/>
  <c r="H781" i="1"/>
  <c r="G781" i="1"/>
  <c r="F781" i="1"/>
  <c r="E781" i="1"/>
  <c r="D781" i="1"/>
  <c r="C781" i="1"/>
  <c r="B781" i="1"/>
  <c r="A781" i="1"/>
  <c r="J780" i="1"/>
  <c r="I780" i="1"/>
  <c r="H780" i="1"/>
  <c r="G780" i="1"/>
  <c r="F780" i="1"/>
  <c r="E780" i="1"/>
  <c r="D780" i="1"/>
  <c r="C780" i="1"/>
  <c r="B780" i="1"/>
  <c r="A780" i="1"/>
  <c r="J779" i="1"/>
  <c r="I779" i="1"/>
  <c r="H779" i="1"/>
  <c r="G779" i="1"/>
  <c r="F779" i="1"/>
  <c r="E779" i="1"/>
  <c r="D779" i="1"/>
  <c r="C779" i="1"/>
  <c r="B779" i="1"/>
  <c r="A779" i="1"/>
  <c r="J778" i="1"/>
  <c r="I778" i="1"/>
  <c r="H778" i="1"/>
  <c r="G778" i="1"/>
  <c r="F778" i="1"/>
  <c r="E778" i="1"/>
  <c r="D778" i="1"/>
  <c r="C778" i="1"/>
  <c r="B778" i="1"/>
  <c r="A778" i="1"/>
  <c r="J777" i="1"/>
  <c r="I777" i="1"/>
  <c r="H777" i="1"/>
  <c r="G777" i="1"/>
  <c r="F777" i="1"/>
  <c r="E777" i="1"/>
  <c r="D777" i="1"/>
  <c r="C777" i="1"/>
  <c r="B777" i="1"/>
  <c r="A777" i="1"/>
  <c r="J776" i="1"/>
  <c r="I776" i="1"/>
  <c r="H776" i="1"/>
  <c r="G776" i="1"/>
  <c r="F776" i="1"/>
  <c r="E776" i="1"/>
  <c r="D776" i="1"/>
  <c r="C776" i="1"/>
  <c r="B776" i="1"/>
  <c r="A776" i="1"/>
  <c r="J775" i="1"/>
  <c r="I775" i="1"/>
  <c r="H775" i="1"/>
  <c r="G775" i="1"/>
  <c r="F775" i="1"/>
  <c r="E775" i="1"/>
  <c r="D775" i="1"/>
  <c r="C775" i="1"/>
  <c r="B775" i="1"/>
  <c r="A775" i="1"/>
  <c r="J774" i="1"/>
  <c r="I774" i="1"/>
  <c r="H774" i="1"/>
  <c r="G774" i="1"/>
  <c r="F774" i="1"/>
  <c r="E774" i="1"/>
  <c r="D774" i="1"/>
  <c r="C774" i="1"/>
  <c r="B774" i="1"/>
  <c r="A774" i="1"/>
  <c r="J773" i="1"/>
  <c r="I773" i="1"/>
  <c r="H773" i="1"/>
  <c r="G773" i="1"/>
  <c r="F773" i="1"/>
  <c r="E773" i="1"/>
  <c r="D773" i="1"/>
  <c r="C773" i="1"/>
  <c r="B773" i="1"/>
  <c r="A773" i="1"/>
  <c r="J772" i="1"/>
  <c r="I772" i="1"/>
  <c r="H772" i="1"/>
  <c r="G772" i="1"/>
  <c r="F772" i="1"/>
  <c r="E772" i="1"/>
  <c r="D772" i="1"/>
  <c r="C772" i="1"/>
  <c r="B772" i="1"/>
  <c r="A772" i="1"/>
  <c r="J771" i="1"/>
  <c r="I771" i="1"/>
  <c r="H771" i="1"/>
  <c r="G771" i="1"/>
  <c r="F771" i="1"/>
  <c r="E771" i="1"/>
  <c r="D771" i="1"/>
  <c r="C771" i="1"/>
  <c r="B771" i="1"/>
  <c r="A771" i="1"/>
  <c r="J770" i="1"/>
  <c r="I770" i="1"/>
  <c r="H770" i="1"/>
  <c r="G770" i="1"/>
  <c r="F770" i="1"/>
  <c r="E770" i="1"/>
  <c r="D770" i="1"/>
  <c r="C770" i="1"/>
  <c r="B770" i="1"/>
  <c r="A770" i="1"/>
  <c r="J769" i="1"/>
  <c r="I769" i="1"/>
  <c r="H769" i="1"/>
  <c r="G769" i="1"/>
  <c r="F769" i="1"/>
  <c r="E769" i="1"/>
  <c r="D769" i="1"/>
  <c r="C769" i="1"/>
  <c r="B769" i="1"/>
  <c r="A769" i="1"/>
  <c r="J768" i="1"/>
  <c r="I768" i="1"/>
  <c r="H768" i="1"/>
  <c r="G768" i="1"/>
  <c r="F768" i="1"/>
  <c r="E768" i="1"/>
  <c r="D768" i="1"/>
  <c r="C768" i="1"/>
  <c r="B768" i="1"/>
  <c r="A768" i="1"/>
  <c r="J767" i="1"/>
  <c r="I767" i="1"/>
  <c r="H767" i="1"/>
  <c r="G767" i="1"/>
  <c r="F767" i="1"/>
  <c r="E767" i="1"/>
  <c r="D767" i="1"/>
  <c r="C767" i="1"/>
  <c r="B767" i="1"/>
  <c r="A767" i="1"/>
  <c r="J766" i="1"/>
  <c r="I766" i="1"/>
  <c r="H766" i="1"/>
  <c r="G766" i="1"/>
  <c r="F766" i="1"/>
  <c r="E766" i="1"/>
  <c r="D766" i="1"/>
  <c r="C766" i="1"/>
  <c r="B766" i="1"/>
  <c r="A766" i="1"/>
  <c r="J765" i="1"/>
  <c r="I765" i="1"/>
  <c r="H765" i="1"/>
  <c r="G765" i="1"/>
  <c r="F765" i="1"/>
  <c r="E765" i="1"/>
  <c r="D765" i="1"/>
  <c r="C765" i="1"/>
  <c r="B765" i="1"/>
  <c r="A765" i="1"/>
  <c r="J764" i="1"/>
  <c r="I764" i="1"/>
  <c r="H764" i="1"/>
  <c r="G764" i="1"/>
  <c r="F764" i="1"/>
  <c r="E764" i="1"/>
  <c r="D764" i="1"/>
  <c r="C764" i="1"/>
  <c r="B764" i="1"/>
  <c r="A764" i="1"/>
  <c r="J763" i="1"/>
  <c r="I763" i="1"/>
  <c r="H763" i="1"/>
  <c r="G763" i="1"/>
  <c r="F763" i="1"/>
  <c r="E763" i="1"/>
  <c r="D763" i="1"/>
  <c r="C763" i="1"/>
  <c r="B763" i="1"/>
  <c r="A763" i="1"/>
  <c r="J762" i="1"/>
  <c r="I762" i="1"/>
  <c r="H762" i="1"/>
  <c r="G762" i="1"/>
  <c r="F762" i="1"/>
  <c r="E762" i="1"/>
  <c r="D762" i="1"/>
  <c r="C762" i="1"/>
  <c r="B762" i="1"/>
  <c r="A762" i="1"/>
  <c r="J761" i="1"/>
  <c r="I761" i="1"/>
  <c r="H761" i="1"/>
  <c r="G761" i="1"/>
  <c r="F761" i="1"/>
  <c r="E761" i="1"/>
  <c r="D761" i="1"/>
  <c r="C761" i="1"/>
  <c r="B761" i="1"/>
  <c r="A761" i="1"/>
  <c r="J760" i="1"/>
  <c r="I760" i="1"/>
  <c r="H760" i="1"/>
  <c r="G760" i="1"/>
  <c r="F760" i="1"/>
  <c r="E760" i="1"/>
  <c r="D760" i="1"/>
  <c r="C760" i="1"/>
  <c r="B760" i="1"/>
  <c r="A760" i="1"/>
  <c r="J759" i="1"/>
  <c r="I759" i="1"/>
  <c r="H759" i="1"/>
  <c r="G759" i="1"/>
  <c r="F759" i="1"/>
  <c r="E759" i="1"/>
  <c r="D759" i="1"/>
  <c r="C759" i="1"/>
  <c r="B759" i="1"/>
  <c r="A759" i="1"/>
  <c r="J758" i="1"/>
  <c r="I758" i="1"/>
  <c r="H758" i="1"/>
  <c r="G758" i="1"/>
  <c r="F758" i="1"/>
  <c r="E758" i="1"/>
  <c r="D758" i="1"/>
  <c r="C758" i="1"/>
  <c r="B758" i="1"/>
  <c r="A758" i="1"/>
  <c r="J757" i="1"/>
  <c r="I757" i="1"/>
  <c r="H757" i="1"/>
  <c r="G757" i="1"/>
  <c r="F757" i="1"/>
  <c r="E757" i="1"/>
  <c r="D757" i="1"/>
  <c r="C757" i="1"/>
  <c r="B757" i="1"/>
  <c r="A757" i="1"/>
  <c r="J756" i="1"/>
  <c r="I756" i="1"/>
  <c r="H756" i="1"/>
  <c r="G756" i="1"/>
  <c r="F756" i="1"/>
  <c r="E756" i="1"/>
  <c r="D756" i="1"/>
  <c r="C756" i="1"/>
  <c r="B756" i="1"/>
  <c r="A756" i="1"/>
  <c r="J755" i="1"/>
  <c r="I755" i="1"/>
  <c r="H755" i="1"/>
  <c r="G755" i="1"/>
  <c r="F755" i="1"/>
  <c r="E755" i="1"/>
  <c r="D755" i="1"/>
  <c r="C755" i="1"/>
  <c r="B755" i="1"/>
  <c r="A755" i="1"/>
  <c r="J754" i="1"/>
  <c r="I754" i="1"/>
  <c r="H754" i="1"/>
  <c r="G754" i="1"/>
  <c r="F754" i="1"/>
  <c r="E754" i="1"/>
  <c r="D754" i="1"/>
  <c r="C754" i="1"/>
  <c r="B754" i="1"/>
  <c r="A754" i="1"/>
  <c r="J753" i="1"/>
  <c r="I753" i="1"/>
  <c r="H753" i="1"/>
  <c r="G753" i="1"/>
  <c r="F753" i="1"/>
  <c r="E753" i="1"/>
  <c r="D753" i="1"/>
  <c r="C753" i="1"/>
  <c r="B753" i="1"/>
  <c r="A753" i="1"/>
  <c r="J752" i="1"/>
  <c r="I752" i="1"/>
  <c r="H752" i="1"/>
  <c r="G752" i="1"/>
  <c r="F752" i="1"/>
  <c r="E752" i="1"/>
  <c r="D752" i="1"/>
  <c r="C752" i="1"/>
  <c r="B752" i="1"/>
  <c r="A752" i="1"/>
  <c r="J751" i="1"/>
  <c r="I751" i="1"/>
  <c r="H751" i="1"/>
  <c r="G751" i="1"/>
  <c r="F751" i="1"/>
  <c r="E751" i="1"/>
  <c r="D751" i="1"/>
  <c r="C751" i="1"/>
  <c r="B751" i="1"/>
  <c r="A751" i="1"/>
  <c r="J750" i="1"/>
  <c r="I750" i="1"/>
  <c r="H750" i="1"/>
  <c r="G750" i="1"/>
  <c r="F750" i="1"/>
  <c r="E750" i="1"/>
  <c r="D750" i="1"/>
  <c r="C750" i="1"/>
  <c r="B750" i="1"/>
  <c r="A750" i="1"/>
  <c r="J749" i="1"/>
  <c r="I749" i="1"/>
  <c r="H749" i="1"/>
  <c r="G749" i="1"/>
  <c r="F749" i="1"/>
  <c r="E749" i="1"/>
  <c r="D749" i="1"/>
  <c r="C749" i="1"/>
  <c r="B749" i="1"/>
  <c r="A749" i="1"/>
  <c r="J748" i="1"/>
  <c r="I748" i="1"/>
  <c r="H748" i="1"/>
  <c r="G748" i="1"/>
  <c r="F748" i="1"/>
  <c r="E748" i="1"/>
  <c r="D748" i="1"/>
  <c r="C748" i="1"/>
  <c r="B748" i="1"/>
  <c r="A748" i="1"/>
  <c r="J747" i="1"/>
  <c r="I747" i="1"/>
  <c r="H747" i="1"/>
  <c r="G747" i="1"/>
  <c r="F747" i="1"/>
  <c r="E747" i="1"/>
  <c r="D747" i="1"/>
  <c r="C747" i="1"/>
  <c r="B747" i="1"/>
  <c r="A747" i="1"/>
  <c r="J746" i="1"/>
  <c r="I746" i="1"/>
  <c r="H746" i="1"/>
  <c r="G746" i="1"/>
  <c r="F746" i="1"/>
  <c r="E746" i="1"/>
  <c r="D746" i="1"/>
  <c r="C746" i="1"/>
  <c r="B746" i="1"/>
  <c r="A746" i="1"/>
  <c r="J745" i="1"/>
  <c r="I745" i="1"/>
  <c r="H745" i="1"/>
  <c r="G745" i="1"/>
  <c r="F745" i="1"/>
  <c r="E745" i="1"/>
  <c r="D745" i="1"/>
  <c r="C745" i="1"/>
  <c r="B745" i="1"/>
  <c r="A745" i="1"/>
  <c r="J744" i="1"/>
  <c r="I744" i="1"/>
  <c r="H744" i="1"/>
  <c r="G744" i="1"/>
  <c r="F744" i="1"/>
  <c r="E744" i="1"/>
  <c r="D744" i="1"/>
  <c r="C744" i="1"/>
  <c r="B744" i="1"/>
  <c r="A744" i="1"/>
  <c r="J743" i="1"/>
  <c r="H743" i="1"/>
  <c r="G743" i="1"/>
  <c r="F743" i="1"/>
  <c r="E743" i="1"/>
  <c r="D743" i="1"/>
  <c r="C743" i="1"/>
  <c r="B743" i="1"/>
  <c r="A743" i="1"/>
  <c r="J742" i="1"/>
  <c r="H742" i="1"/>
  <c r="G742" i="1"/>
  <c r="F742" i="1"/>
  <c r="E742" i="1"/>
  <c r="D742" i="1"/>
  <c r="C742" i="1"/>
  <c r="B742" i="1"/>
  <c r="A742" i="1"/>
  <c r="J741" i="1"/>
  <c r="H741" i="1"/>
  <c r="G741" i="1"/>
  <c r="F741" i="1"/>
  <c r="E741" i="1"/>
  <c r="D741" i="1"/>
  <c r="C741" i="1"/>
  <c r="B741" i="1"/>
  <c r="A741" i="1"/>
  <c r="J740" i="1"/>
  <c r="H740" i="1"/>
  <c r="G740" i="1"/>
  <c r="F740" i="1"/>
  <c r="E740" i="1"/>
  <c r="D740" i="1"/>
  <c r="C740" i="1"/>
  <c r="B740" i="1"/>
  <c r="A740" i="1"/>
  <c r="J739" i="1"/>
  <c r="H739" i="1"/>
  <c r="G739" i="1"/>
  <c r="F739" i="1"/>
  <c r="E739" i="1"/>
  <c r="D739" i="1"/>
  <c r="C739" i="1"/>
  <c r="B739" i="1"/>
  <c r="A739" i="1"/>
  <c r="J738" i="1"/>
  <c r="H738" i="1"/>
  <c r="G738" i="1"/>
  <c r="F738" i="1"/>
  <c r="E738" i="1"/>
  <c r="D738" i="1"/>
  <c r="C738" i="1"/>
  <c r="B738" i="1"/>
  <c r="A738" i="1"/>
  <c r="J737" i="1"/>
  <c r="H737" i="1"/>
  <c r="G737" i="1"/>
  <c r="F737" i="1"/>
  <c r="E737" i="1"/>
  <c r="D737" i="1"/>
  <c r="C737" i="1"/>
  <c r="B737" i="1"/>
  <c r="A737" i="1"/>
  <c r="J736" i="1"/>
  <c r="I736" i="1"/>
  <c r="H736" i="1"/>
  <c r="G736" i="1"/>
  <c r="F736" i="1"/>
  <c r="E736" i="1"/>
  <c r="D736" i="1"/>
  <c r="C736" i="1"/>
  <c r="B736" i="1"/>
  <c r="A736" i="1"/>
  <c r="J735" i="1"/>
  <c r="I735" i="1"/>
  <c r="H735" i="1"/>
  <c r="G735" i="1"/>
  <c r="F735" i="1"/>
  <c r="E735" i="1"/>
  <c r="D735" i="1"/>
  <c r="C735" i="1"/>
  <c r="B735" i="1"/>
  <c r="A735" i="1"/>
  <c r="J734" i="1"/>
  <c r="I734" i="1"/>
  <c r="H734" i="1"/>
  <c r="G734" i="1"/>
  <c r="F734" i="1"/>
  <c r="E734" i="1"/>
  <c r="D734" i="1"/>
  <c r="C734" i="1"/>
  <c r="B734" i="1"/>
  <c r="A734" i="1"/>
  <c r="J733" i="1"/>
  <c r="I733" i="1"/>
  <c r="H733" i="1"/>
  <c r="G733" i="1"/>
  <c r="F733" i="1"/>
  <c r="E733" i="1"/>
  <c r="D733" i="1"/>
  <c r="C733" i="1"/>
  <c r="B733" i="1"/>
  <c r="A733" i="1"/>
  <c r="J732" i="1"/>
  <c r="I732" i="1"/>
  <c r="H732" i="1"/>
  <c r="G732" i="1"/>
  <c r="F732" i="1"/>
  <c r="E732" i="1"/>
  <c r="D732" i="1"/>
  <c r="C732" i="1"/>
  <c r="B732" i="1"/>
  <c r="A732" i="1"/>
  <c r="J731" i="1"/>
  <c r="I731" i="1"/>
  <c r="H731" i="1"/>
  <c r="G731" i="1"/>
  <c r="F731" i="1"/>
  <c r="E731" i="1"/>
  <c r="D731" i="1"/>
  <c r="C731" i="1"/>
  <c r="B731" i="1"/>
  <c r="A731" i="1"/>
  <c r="J730" i="1"/>
  <c r="I730" i="1"/>
  <c r="H730" i="1"/>
  <c r="G730" i="1"/>
  <c r="F730" i="1"/>
  <c r="E730" i="1"/>
  <c r="D730" i="1"/>
  <c r="C730" i="1"/>
  <c r="B730" i="1"/>
  <c r="A730" i="1"/>
  <c r="J729" i="1"/>
  <c r="I729" i="1"/>
  <c r="H729" i="1"/>
  <c r="G729" i="1"/>
  <c r="F729" i="1"/>
  <c r="E729" i="1"/>
  <c r="D729" i="1"/>
  <c r="C729" i="1"/>
  <c r="B729" i="1"/>
  <c r="A729" i="1"/>
  <c r="J728" i="1"/>
  <c r="I728" i="1"/>
  <c r="H728" i="1"/>
  <c r="G728" i="1"/>
  <c r="F728" i="1"/>
  <c r="E728" i="1"/>
  <c r="D728" i="1"/>
  <c r="C728" i="1"/>
  <c r="B728" i="1"/>
  <c r="A728" i="1"/>
  <c r="J727" i="1"/>
  <c r="I727" i="1"/>
  <c r="H727" i="1"/>
  <c r="G727" i="1"/>
  <c r="F727" i="1"/>
  <c r="E727" i="1"/>
  <c r="D727" i="1"/>
  <c r="C727" i="1"/>
  <c r="B727" i="1"/>
  <c r="A727" i="1"/>
  <c r="J726" i="1"/>
  <c r="I726" i="1"/>
  <c r="H726" i="1"/>
  <c r="G726" i="1"/>
  <c r="F726" i="1"/>
  <c r="E726" i="1"/>
  <c r="D726" i="1"/>
  <c r="C726" i="1"/>
  <c r="B726" i="1"/>
  <c r="A726" i="1"/>
  <c r="J725" i="1"/>
  <c r="I725" i="1"/>
  <c r="H725" i="1"/>
  <c r="G725" i="1"/>
  <c r="F725" i="1"/>
  <c r="E725" i="1"/>
  <c r="D725" i="1"/>
  <c r="C725" i="1"/>
  <c r="B725" i="1"/>
  <c r="A725" i="1"/>
  <c r="J724" i="1"/>
  <c r="I724" i="1"/>
  <c r="H724" i="1"/>
  <c r="G724" i="1"/>
  <c r="F724" i="1"/>
  <c r="E724" i="1"/>
  <c r="D724" i="1"/>
  <c r="C724" i="1"/>
  <c r="B724" i="1"/>
  <c r="A724" i="1"/>
  <c r="J723" i="1"/>
  <c r="I723" i="1"/>
  <c r="H723" i="1"/>
  <c r="G723" i="1"/>
  <c r="F723" i="1"/>
  <c r="E723" i="1"/>
  <c r="D723" i="1"/>
  <c r="C723" i="1"/>
  <c r="B723" i="1"/>
  <c r="A723" i="1"/>
  <c r="J722" i="1"/>
  <c r="I722" i="1"/>
  <c r="H722" i="1"/>
  <c r="G722" i="1"/>
  <c r="F722" i="1"/>
  <c r="E722" i="1"/>
  <c r="D722" i="1"/>
  <c r="C722" i="1"/>
  <c r="B722" i="1"/>
  <c r="A722" i="1"/>
  <c r="J721" i="1"/>
  <c r="I721" i="1"/>
  <c r="H721" i="1"/>
  <c r="G721" i="1"/>
  <c r="F721" i="1"/>
  <c r="E721" i="1"/>
  <c r="D721" i="1"/>
  <c r="C721" i="1"/>
  <c r="B721" i="1"/>
  <c r="A721" i="1"/>
  <c r="J720" i="1"/>
  <c r="I720" i="1"/>
  <c r="H720" i="1"/>
  <c r="G720" i="1"/>
  <c r="F720" i="1"/>
  <c r="E720" i="1"/>
  <c r="D720" i="1"/>
  <c r="C720" i="1"/>
  <c r="B720" i="1"/>
  <c r="A720" i="1"/>
  <c r="J719" i="1"/>
  <c r="I719" i="1"/>
  <c r="H719" i="1"/>
  <c r="G719" i="1"/>
  <c r="F719" i="1"/>
  <c r="E719" i="1"/>
  <c r="D719" i="1"/>
  <c r="C719" i="1"/>
  <c r="B719" i="1"/>
  <c r="A719" i="1"/>
  <c r="J718" i="1"/>
  <c r="I718" i="1"/>
  <c r="H718" i="1"/>
  <c r="G718" i="1"/>
  <c r="F718" i="1"/>
  <c r="E718" i="1"/>
  <c r="D718" i="1"/>
  <c r="C718" i="1"/>
  <c r="B718" i="1"/>
  <c r="A718" i="1"/>
  <c r="J717" i="1"/>
  <c r="I717" i="1"/>
  <c r="H717" i="1"/>
  <c r="G717" i="1"/>
  <c r="F717" i="1"/>
  <c r="E717" i="1"/>
  <c r="D717" i="1"/>
  <c r="C717" i="1"/>
  <c r="B717" i="1"/>
  <c r="A717" i="1"/>
  <c r="J716" i="1"/>
  <c r="I716" i="1"/>
  <c r="H716" i="1"/>
  <c r="G716" i="1"/>
  <c r="F716" i="1"/>
  <c r="E716" i="1"/>
  <c r="D716" i="1"/>
  <c r="C716" i="1"/>
  <c r="B716" i="1"/>
  <c r="A716" i="1"/>
  <c r="J715" i="1"/>
  <c r="I715" i="1"/>
  <c r="H715" i="1"/>
  <c r="G715" i="1"/>
  <c r="F715" i="1"/>
  <c r="E715" i="1"/>
  <c r="D715" i="1"/>
  <c r="C715" i="1"/>
  <c r="B715" i="1"/>
  <c r="A715" i="1"/>
  <c r="J714" i="1"/>
  <c r="I714" i="1"/>
  <c r="H714" i="1"/>
  <c r="G714" i="1"/>
  <c r="F714" i="1"/>
  <c r="E714" i="1"/>
  <c r="D714" i="1"/>
  <c r="C714" i="1"/>
  <c r="B714" i="1"/>
  <c r="A714" i="1"/>
  <c r="J713" i="1"/>
  <c r="I713" i="1"/>
  <c r="H713" i="1"/>
  <c r="G713" i="1"/>
  <c r="F713" i="1"/>
  <c r="E713" i="1"/>
  <c r="D713" i="1"/>
  <c r="C713" i="1"/>
  <c r="B713" i="1"/>
  <c r="A713" i="1"/>
  <c r="J712" i="1"/>
  <c r="I712" i="1"/>
  <c r="H712" i="1"/>
  <c r="G712" i="1"/>
  <c r="F712" i="1"/>
  <c r="E712" i="1"/>
  <c r="D712" i="1"/>
  <c r="C712" i="1"/>
  <c r="B712" i="1"/>
  <c r="A712" i="1"/>
  <c r="J711" i="1"/>
  <c r="I711" i="1"/>
  <c r="H711" i="1"/>
  <c r="G711" i="1"/>
  <c r="F711" i="1"/>
  <c r="E711" i="1"/>
  <c r="D711" i="1"/>
  <c r="C711" i="1"/>
  <c r="B711" i="1"/>
  <c r="A711" i="1"/>
  <c r="J710" i="1"/>
  <c r="I710" i="1"/>
  <c r="H710" i="1"/>
  <c r="G710" i="1"/>
  <c r="F710" i="1"/>
  <c r="E710" i="1"/>
  <c r="D710" i="1"/>
  <c r="C710" i="1"/>
  <c r="B710" i="1"/>
  <c r="A710" i="1"/>
  <c r="J709" i="1"/>
  <c r="I709" i="1"/>
  <c r="H709" i="1"/>
  <c r="G709" i="1"/>
  <c r="F709" i="1"/>
  <c r="E709" i="1"/>
  <c r="D709" i="1"/>
  <c r="C709" i="1"/>
  <c r="B709" i="1"/>
  <c r="A709" i="1"/>
  <c r="J708" i="1"/>
  <c r="I708" i="1"/>
  <c r="H708" i="1"/>
  <c r="G708" i="1"/>
  <c r="F708" i="1"/>
  <c r="E708" i="1"/>
  <c r="D708" i="1"/>
  <c r="C708" i="1"/>
  <c r="B708" i="1"/>
  <c r="A708" i="1"/>
  <c r="J707" i="1"/>
  <c r="I707" i="1"/>
  <c r="H707" i="1"/>
  <c r="G707" i="1"/>
  <c r="F707" i="1"/>
  <c r="E707" i="1"/>
  <c r="D707" i="1"/>
  <c r="C707" i="1"/>
  <c r="B707" i="1"/>
  <c r="A707" i="1"/>
  <c r="J706" i="1"/>
  <c r="I706" i="1"/>
  <c r="H706" i="1"/>
  <c r="G706" i="1"/>
  <c r="F706" i="1"/>
  <c r="E706" i="1"/>
  <c r="D706" i="1"/>
  <c r="C706" i="1"/>
  <c r="B706" i="1"/>
  <c r="A706" i="1"/>
  <c r="J705" i="1"/>
  <c r="I705" i="1"/>
  <c r="H705" i="1"/>
  <c r="G705" i="1"/>
  <c r="F705" i="1"/>
  <c r="E705" i="1"/>
  <c r="D705" i="1"/>
  <c r="C705" i="1"/>
  <c r="B705" i="1"/>
  <c r="A705" i="1"/>
  <c r="J704" i="1"/>
  <c r="I704" i="1"/>
  <c r="H704" i="1"/>
  <c r="G704" i="1"/>
  <c r="F704" i="1"/>
  <c r="E704" i="1"/>
  <c r="D704" i="1"/>
  <c r="C704" i="1"/>
  <c r="B704" i="1"/>
  <c r="A704" i="1"/>
  <c r="J703" i="1"/>
  <c r="I703" i="1"/>
  <c r="H703" i="1"/>
  <c r="G703" i="1"/>
  <c r="F703" i="1"/>
  <c r="E703" i="1"/>
  <c r="D703" i="1"/>
  <c r="C703" i="1"/>
  <c r="B703" i="1"/>
  <c r="A703" i="1"/>
  <c r="J702" i="1"/>
  <c r="I702" i="1"/>
  <c r="H702" i="1"/>
  <c r="G702" i="1"/>
  <c r="F702" i="1"/>
  <c r="E702" i="1"/>
  <c r="D702" i="1"/>
  <c r="C702" i="1"/>
  <c r="B702" i="1"/>
  <c r="A702" i="1"/>
  <c r="J701" i="1"/>
  <c r="I701" i="1"/>
  <c r="H701" i="1"/>
  <c r="G701" i="1"/>
  <c r="F701" i="1"/>
  <c r="E701" i="1"/>
  <c r="D701" i="1"/>
  <c r="C701" i="1"/>
  <c r="B701" i="1"/>
  <c r="A701" i="1"/>
  <c r="J700" i="1"/>
  <c r="I700" i="1"/>
  <c r="H700" i="1"/>
  <c r="G700" i="1"/>
  <c r="F700" i="1"/>
  <c r="E700" i="1"/>
  <c r="D700" i="1"/>
  <c r="C700" i="1"/>
  <c r="B700" i="1"/>
  <c r="A700" i="1"/>
  <c r="J699" i="1"/>
  <c r="I699" i="1"/>
  <c r="H699" i="1"/>
  <c r="G699" i="1"/>
  <c r="F699" i="1"/>
  <c r="E699" i="1"/>
  <c r="D699" i="1"/>
  <c r="C699" i="1"/>
  <c r="B699" i="1"/>
  <c r="A699" i="1"/>
  <c r="J698" i="1"/>
  <c r="I698" i="1"/>
  <c r="H698" i="1"/>
  <c r="G698" i="1"/>
  <c r="F698" i="1"/>
  <c r="E698" i="1"/>
  <c r="D698" i="1"/>
  <c r="C698" i="1"/>
  <c r="B698" i="1"/>
  <c r="A698" i="1"/>
  <c r="J697" i="1"/>
  <c r="I697" i="1"/>
  <c r="H697" i="1"/>
  <c r="G697" i="1"/>
  <c r="F697" i="1"/>
  <c r="E697" i="1"/>
  <c r="D697" i="1"/>
  <c r="C697" i="1"/>
  <c r="B697" i="1"/>
  <c r="A697" i="1"/>
  <c r="J696" i="1"/>
  <c r="I696" i="1"/>
  <c r="H696" i="1"/>
  <c r="G696" i="1"/>
  <c r="F696" i="1"/>
  <c r="E696" i="1"/>
  <c r="D696" i="1"/>
  <c r="C696" i="1"/>
  <c r="B696" i="1"/>
  <c r="A696" i="1"/>
  <c r="J695" i="1"/>
  <c r="I695" i="1"/>
  <c r="H695" i="1"/>
  <c r="G695" i="1"/>
  <c r="F695" i="1"/>
  <c r="E695" i="1"/>
  <c r="D695" i="1"/>
  <c r="C695" i="1"/>
  <c r="B695" i="1"/>
  <c r="A695" i="1"/>
  <c r="J694" i="1"/>
  <c r="I694" i="1"/>
  <c r="H694" i="1"/>
  <c r="G694" i="1"/>
  <c r="F694" i="1"/>
  <c r="E694" i="1"/>
  <c r="D694" i="1"/>
  <c r="C694" i="1"/>
  <c r="B694" i="1"/>
  <c r="A694" i="1"/>
  <c r="J693" i="1"/>
  <c r="I693" i="1"/>
  <c r="H693" i="1"/>
  <c r="G693" i="1"/>
  <c r="F693" i="1"/>
  <c r="E693" i="1"/>
  <c r="D693" i="1"/>
  <c r="C693" i="1"/>
  <c r="B693" i="1"/>
  <c r="A693" i="1"/>
  <c r="J692" i="1"/>
  <c r="I692" i="1"/>
  <c r="H692" i="1"/>
  <c r="G692" i="1"/>
  <c r="F692" i="1"/>
  <c r="E692" i="1"/>
  <c r="D692" i="1"/>
  <c r="C692" i="1"/>
  <c r="B692" i="1"/>
  <c r="A692" i="1"/>
  <c r="J691" i="1"/>
  <c r="I691" i="1"/>
  <c r="H691" i="1"/>
  <c r="G691" i="1"/>
  <c r="F691" i="1"/>
  <c r="E691" i="1"/>
  <c r="D691" i="1"/>
  <c r="C691" i="1"/>
  <c r="B691" i="1"/>
  <c r="A691" i="1"/>
  <c r="J690" i="1"/>
  <c r="I690" i="1"/>
  <c r="H690" i="1"/>
  <c r="G690" i="1"/>
  <c r="F690" i="1"/>
  <c r="E690" i="1"/>
  <c r="D690" i="1"/>
  <c r="C690" i="1"/>
  <c r="B690" i="1"/>
  <c r="A690" i="1"/>
  <c r="J689" i="1"/>
  <c r="I689" i="1"/>
  <c r="H689" i="1"/>
  <c r="G689" i="1"/>
  <c r="F689" i="1"/>
  <c r="E689" i="1"/>
  <c r="D689" i="1"/>
  <c r="C689" i="1"/>
  <c r="B689" i="1"/>
  <c r="A689" i="1"/>
  <c r="J688" i="1"/>
  <c r="I688" i="1"/>
  <c r="H688" i="1"/>
  <c r="G688" i="1"/>
  <c r="F688" i="1"/>
  <c r="E688" i="1"/>
  <c r="D688" i="1"/>
  <c r="C688" i="1"/>
  <c r="B688" i="1"/>
  <c r="A688" i="1"/>
  <c r="J687" i="1"/>
  <c r="I687" i="1"/>
  <c r="H687" i="1"/>
  <c r="G687" i="1"/>
  <c r="F687" i="1"/>
  <c r="E687" i="1"/>
  <c r="D687" i="1"/>
  <c r="C687" i="1"/>
  <c r="B687" i="1"/>
  <c r="A687" i="1"/>
  <c r="J686" i="1"/>
  <c r="I686" i="1"/>
  <c r="H686" i="1"/>
  <c r="G686" i="1"/>
  <c r="F686" i="1"/>
  <c r="E686" i="1"/>
  <c r="D686" i="1"/>
  <c r="C686" i="1"/>
  <c r="B686" i="1"/>
  <c r="A686" i="1"/>
  <c r="J685" i="1"/>
  <c r="I685" i="1"/>
  <c r="H685" i="1"/>
  <c r="G685" i="1"/>
  <c r="F685" i="1"/>
  <c r="E685" i="1"/>
  <c r="D685" i="1"/>
  <c r="C685" i="1"/>
  <c r="B685" i="1"/>
  <c r="A685" i="1"/>
  <c r="J684" i="1"/>
  <c r="I684" i="1"/>
  <c r="H684" i="1"/>
  <c r="G684" i="1"/>
  <c r="F684" i="1"/>
  <c r="E684" i="1"/>
  <c r="D684" i="1"/>
  <c r="C684" i="1"/>
  <c r="B684" i="1"/>
  <c r="A684" i="1"/>
  <c r="J683" i="1"/>
  <c r="I683" i="1"/>
  <c r="H683" i="1"/>
  <c r="G683" i="1"/>
  <c r="F683" i="1"/>
  <c r="E683" i="1"/>
  <c r="D683" i="1"/>
  <c r="C683" i="1"/>
  <c r="B683" i="1"/>
  <c r="A683" i="1"/>
  <c r="J682" i="1"/>
  <c r="I682" i="1"/>
  <c r="H682" i="1"/>
  <c r="G682" i="1"/>
  <c r="F682" i="1"/>
  <c r="E682" i="1"/>
  <c r="D682" i="1"/>
  <c r="C682" i="1"/>
  <c r="B682" i="1"/>
  <c r="A682" i="1"/>
  <c r="J681" i="1"/>
  <c r="I681" i="1"/>
  <c r="H681" i="1"/>
  <c r="G681" i="1"/>
  <c r="F681" i="1"/>
  <c r="E681" i="1"/>
  <c r="D681" i="1"/>
  <c r="C681" i="1"/>
  <c r="B681" i="1"/>
  <c r="A681" i="1"/>
  <c r="J680" i="1"/>
  <c r="I680" i="1"/>
  <c r="H680" i="1"/>
  <c r="G680" i="1"/>
  <c r="F680" i="1"/>
  <c r="E680" i="1"/>
  <c r="D680" i="1"/>
  <c r="C680" i="1"/>
  <c r="B680" i="1"/>
  <c r="A680" i="1"/>
  <c r="J679" i="1"/>
  <c r="I679" i="1"/>
  <c r="H679" i="1"/>
  <c r="G679" i="1"/>
  <c r="F679" i="1"/>
  <c r="E679" i="1"/>
  <c r="D679" i="1"/>
  <c r="C679" i="1"/>
  <c r="B679" i="1"/>
  <c r="A679" i="1"/>
  <c r="J678" i="1"/>
  <c r="I678" i="1"/>
  <c r="H678" i="1"/>
  <c r="G678" i="1"/>
  <c r="F678" i="1"/>
  <c r="E678" i="1"/>
  <c r="D678" i="1"/>
  <c r="C678" i="1"/>
  <c r="B678" i="1"/>
  <c r="A678" i="1"/>
  <c r="J677" i="1"/>
  <c r="I677" i="1"/>
  <c r="H677" i="1"/>
  <c r="G677" i="1"/>
  <c r="F677" i="1"/>
  <c r="E677" i="1"/>
  <c r="D677" i="1"/>
  <c r="C677" i="1"/>
  <c r="B677" i="1"/>
  <c r="A677" i="1"/>
  <c r="J676" i="1"/>
  <c r="I676" i="1"/>
  <c r="H676" i="1"/>
  <c r="G676" i="1"/>
  <c r="F676" i="1"/>
  <c r="E676" i="1"/>
  <c r="D676" i="1"/>
  <c r="C676" i="1"/>
  <c r="B676" i="1"/>
  <c r="A676" i="1"/>
  <c r="J675" i="1"/>
  <c r="I675" i="1"/>
  <c r="H675" i="1"/>
  <c r="G675" i="1"/>
  <c r="F675" i="1"/>
  <c r="E675" i="1"/>
  <c r="D675" i="1"/>
  <c r="C675" i="1"/>
  <c r="B675" i="1"/>
  <c r="A675" i="1"/>
  <c r="J674" i="1"/>
  <c r="I674" i="1"/>
  <c r="H674" i="1"/>
  <c r="G674" i="1"/>
  <c r="F674" i="1"/>
  <c r="E674" i="1"/>
  <c r="D674" i="1"/>
  <c r="C674" i="1"/>
  <c r="B674" i="1"/>
  <c r="A674" i="1"/>
  <c r="J673" i="1"/>
  <c r="I673" i="1"/>
  <c r="H673" i="1"/>
  <c r="G673" i="1"/>
  <c r="F673" i="1"/>
  <c r="E673" i="1"/>
  <c r="D673" i="1"/>
  <c r="C673" i="1"/>
  <c r="B673" i="1"/>
  <c r="A673" i="1"/>
  <c r="J672" i="1"/>
  <c r="I672" i="1"/>
  <c r="H672" i="1"/>
  <c r="G672" i="1"/>
  <c r="F672" i="1"/>
  <c r="E672" i="1"/>
  <c r="D672" i="1"/>
  <c r="C672" i="1"/>
  <c r="B672" i="1"/>
  <c r="A672" i="1"/>
  <c r="J671" i="1"/>
  <c r="I671" i="1"/>
  <c r="H671" i="1"/>
  <c r="G671" i="1"/>
  <c r="F671" i="1"/>
  <c r="E671" i="1"/>
  <c r="D671" i="1"/>
  <c r="C671" i="1"/>
  <c r="B671" i="1"/>
  <c r="A671" i="1"/>
  <c r="J670" i="1"/>
  <c r="I670" i="1"/>
  <c r="H670" i="1"/>
  <c r="G670" i="1"/>
  <c r="F670" i="1"/>
  <c r="E670" i="1"/>
  <c r="D670" i="1"/>
  <c r="C670" i="1"/>
  <c r="B670" i="1"/>
  <c r="A670" i="1"/>
  <c r="J669" i="1"/>
  <c r="I669" i="1"/>
  <c r="H669" i="1"/>
  <c r="G669" i="1"/>
  <c r="F669" i="1"/>
  <c r="E669" i="1"/>
  <c r="D669" i="1"/>
  <c r="C669" i="1"/>
  <c r="B669" i="1"/>
  <c r="A669" i="1"/>
  <c r="J668" i="1"/>
  <c r="I668" i="1"/>
  <c r="H668" i="1"/>
  <c r="G668" i="1"/>
  <c r="F668" i="1"/>
  <c r="E668" i="1"/>
  <c r="D668" i="1"/>
  <c r="C668" i="1"/>
  <c r="B668" i="1"/>
  <c r="A668" i="1"/>
  <c r="J667" i="1"/>
  <c r="I667" i="1"/>
  <c r="H667" i="1"/>
  <c r="G667" i="1"/>
  <c r="F667" i="1"/>
  <c r="E667" i="1"/>
  <c r="D667" i="1"/>
  <c r="C667" i="1"/>
  <c r="B667" i="1"/>
  <c r="A667" i="1"/>
  <c r="J666" i="1"/>
  <c r="I666" i="1"/>
  <c r="H666" i="1"/>
  <c r="G666" i="1"/>
  <c r="F666" i="1"/>
  <c r="E666" i="1"/>
  <c r="D666" i="1"/>
  <c r="C666" i="1"/>
  <c r="B666" i="1"/>
  <c r="A666" i="1"/>
  <c r="J665" i="1"/>
  <c r="I665" i="1"/>
  <c r="H665" i="1"/>
  <c r="G665" i="1"/>
  <c r="F665" i="1"/>
  <c r="E665" i="1"/>
  <c r="D665" i="1"/>
  <c r="C665" i="1"/>
  <c r="B665" i="1"/>
  <c r="A665" i="1"/>
  <c r="J664" i="1"/>
  <c r="I664" i="1"/>
  <c r="H664" i="1"/>
  <c r="G664" i="1"/>
  <c r="F664" i="1"/>
  <c r="E664" i="1"/>
  <c r="D664" i="1"/>
  <c r="C664" i="1"/>
  <c r="B664" i="1"/>
  <c r="A664" i="1"/>
  <c r="J663" i="1"/>
  <c r="I663" i="1"/>
  <c r="H663" i="1"/>
  <c r="G663" i="1"/>
  <c r="F663" i="1"/>
  <c r="E663" i="1"/>
  <c r="D663" i="1"/>
  <c r="C663" i="1"/>
  <c r="B663" i="1"/>
  <c r="A663" i="1"/>
  <c r="J662" i="1"/>
  <c r="I662" i="1"/>
  <c r="H662" i="1"/>
  <c r="G662" i="1"/>
  <c r="F662" i="1"/>
  <c r="E662" i="1"/>
  <c r="D662" i="1"/>
  <c r="C662" i="1"/>
  <c r="B662" i="1"/>
  <c r="A662" i="1"/>
  <c r="J661" i="1"/>
  <c r="I661" i="1"/>
  <c r="H661" i="1"/>
  <c r="G661" i="1"/>
  <c r="F661" i="1"/>
  <c r="E661" i="1"/>
  <c r="D661" i="1"/>
  <c r="C661" i="1"/>
  <c r="B661" i="1"/>
  <c r="A661" i="1"/>
  <c r="J660" i="1"/>
  <c r="I660" i="1"/>
  <c r="H660" i="1"/>
  <c r="G660" i="1"/>
  <c r="F660" i="1"/>
  <c r="E660" i="1"/>
  <c r="D660" i="1"/>
  <c r="C660" i="1"/>
  <c r="B660" i="1"/>
  <c r="A660" i="1"/>
  <c r="J659" i="1"/>
  <c r="H659" i="1"/>
  <c r="G659" i="1"/>
  <c r="F659" i="1"/>
  <c r="E659" i="1"/>
  <c r="D659" i="1"/>
  <c r="C659" i="1"/>
  <c r="B659" i="1"/>
  <c r="A659" i="1"/>
  <c r="J658" i="1"/>
  <c r="H658" i="1"/>
  <c r="G658" i="1"/>
  <c r="F658" i="1"/>
  <c r="E658" i="1"/>
  <c r="D658" i="1"/>
  <c r="C658" i="1"/>
  <c r="B658" i="1"/>
  <c r="A658" i="1"/>
  <c r="J657" i="1"/>
  <c r="H657" i="1"/>
  <c r="G657" i="1"/>
  <c r="F657" i="1"/>
  <c r="E657" i="1"/>
  <c r="D657" i="1"/>
  <c r="C657" i="1"/>
  <c r="B657" i="1"/>
  <c r="A657" i="1"/>
  <c r="J656" i="1"/>
  <c r="H656" i="1"/>
  <c r="G656" i="1"/>
  <c r="F656" i="1"/>
  <c r="E656" i="1"/>
  <c r="D656" i="1"/>
  <c r="C656" i="1"/>
  <c r="B656" i="1"/>
  <c r="A656" i="1"/>
  <c r="J655" i="1"/>
  <c r="H655" i="1"/>
  <c r="G655" i="1"/>
  <c r="F655" i="1"/>
  <c r="E655" i="1"/>
  <c r="D655" i="1"/>
  <c r="C655" i="1"/>
  <c r="B655" i="1"/>
  <c r="A655" i="1"/>
  <c r="J654" i="1"/>
  <c r="H654" i="1"/>
  <c r="G654" i="1"/>
  <c r="F654" i="1"/>
  <c r="E654" i="1"/>
  <c r="D654" i="1"/>
  <c r="C654" i="1"/>
  <c r="B654" i="1"/>
  <c r="A654" i="1"/>
  <c r="J653" i="1"/>
  <c r="H653" i="1"/>
  <c r="G653" i="1"/>
  <c r="F653" i="1"/>
  <c r="E653" i="1"/>
  <c r="D653" i="1"/>
  <c r="C653" i="1"/>
  <c r="B653" i="1"/>
  <c r="A653" i="1"/>
  <c r="J652" i="1"/>
  <c r="I652" i="1"/>
  <c r="H652" i="1"/>
  <c r="G652" i="1"/>
  <c r="F652" i="1"/>
  <c r="E652" i="1"/>
  <c r="D652" i="1"/>
  <c r="C652" i="1"/>
  <c r="B652" i="1"/>
  <c r="A652" i="1"/>
  <c r="J651" i="1"/>
  <c r="I651" i="1"/>
  <c r="H651" i="1"/>
  <c r="G651" i="1"/>
  <c r="F651" i="1"/>
  <c r="E651" i="1"/>
  <c r="D651" i="1"/>
  <c r="C651" i="1"/>
  <c r="B651" i="1"/>
  <c r="A651" i="1"/>
  <c r="J650" i="1"/>
  <c r="I650" i="1"/>
  <c r="H650" i="1"/>
  <c r="G650" i="1"/>
  <c r="F650" i="1"/>
  <c r="E650" i="1"/>
  <c r="D650" i="1"/>
  <c r="C650" i="1"/>
  <c r="B650" i="1"/>
  <c r="A650" i="1"/>
  <c r="J649" i="1"/>
  <c r="I649" i="1"/>
  <c r="H649" i="1"/>
  <c r="G649" i="1"/>
  <c r="F649" i="1"/>
  <c r="E649" i="1"/>
  <c r="D649" i="1"/>
  <c r="C649" i="1"/>
  <c r="B649" i="1"/>
  <c r="A649" i="1"/>
  <c r="J648" i="1"/>
  <c r="I648" i="1"/>
  <c r="H648" i="1"/>
  <c r="G648" i="1"/>
  <c r="F648" i="1"/>
  <c r="E648" i="1"/>
  <c r="D648" i="1"/>
  <c r="C648" i="1"/>
  <c r="B648" i="1"/>
  <c r="A648" i="1"/>
  <c r="J647" i="1"/>
  <c r="I647" i="1"/>
  <c r="H647" i="1"/>
  <c r="G647" i="1"/>
  <c r="F647" i="1"/>
  <c r="E647" i="1"/>
  <c r="D647" i="1"/>
  <c r="C647" i="1"/>
  <c r="B647" i="1"/>
  <c r="A647" i="1"/>
  <c r="J646" i="1"/>
  <c r="I646" i="1"/>
  <c r="H646" i="1"/>
  <c r="G646" i="1"/>
  <c r="F646" i="1"/>
  <c r="E646" i="1"/>
  <c r="D646" i="1"/>
  <c r="C646" i="1"/>
  <c r="B646" i="1"/>
  <c r="A646" i="1"/>
  <c r="J645" i="1"/>
  <c r="I645" i="1"/>
  <c r="H645" i="1"/>
  <c r="G645" i="1"/>
  <c r="F645" i="1"/>
  <c r="E645" i="1"/>
  <c r="D645" i="1"/>
  <c r="C645" i="1"/>
  <c r="B645" i="1"/>
  <c r="A645" i="1"/>
  <c r="J644" i="1"/>
  <c r="I644" i="1"/>
  <c r="H644" i="1"/>
  <c r="G644" i="1"/>
  <c r="F644" i="1"/>
  <c r="E644" i="1"/>
  <c r="D644" i="1"/>
  <c r="C644" i="1"/>
  <c r="B644" i="1"/>
  <c r="A644" i="1"/>
  <c r="J643" i="1"/>
  <c r="I643" i="1"/>
  <c r="H643" i="1"/>
  <c r="G643" i="1"/>
  <c r="F643" i="1"/>
  <c r="E643" i="1"/>
  <c r="D643" i="1"/>
  <c r="C643" i="1"/>
  <c r="B643" i="1"/>
  <c r="A643" i="1"/>
  <c r="J642" i="1"/>
  <c r="I642" i="1"/>
  <c r="H642" i="1"/>
  <c r="G642" i="1"/>
  <c r="F642" i="1"/>
  <c r="E642" i="1"/>
  <c r="D642" i="1"/>
  <c r="C642" i="1"/>
  <c r="B642" i="1"/>
  <c r="A642" i="1"/>
  <c r="J641" i="1"/>
  <c r="I641" i="1"/>
  <c r="H641" i="1"/>
  <c r="G641" i="1"/>
  <c r="F641" i="1"/>
  <c r="E641" i="1"/>
  <c r="D641" i="1"/>
  <c r="C641" i="1"/>
  <c r="B641" i="1"/>
  <c r="A641" i="1"/>
  <c r="J640" i="1"/>
  <c r="I640" i="1"/>
  <c r="H640" i="1"/>
  <c r="G640" i="1"/>
  <c r="F640" i="1"/>
  <c r="E640" i="1"/>
  <c r="D640" i="1"/>
  <c r="C640" i="1"/>
  <c r="B640" i="1"/>
  <c r="A640" i="1"/>
  <c r="J639" i="1"/>
  <c r="I639" i="1"/>
  <c r="H639" i="1"/>
  <c r="G639" i="1"/>
  <c r="F639" i="1"/>
  <c r="E639" i="1"/>
  <c r="D639" i="1"/>
  <c r="C639" i="1"/>
  <c r="B639" i="1"/>
  <c r="A639" i="1"/>
  <c r="J638" i="1"/>
  <c r="I638" i="1"/>
  <c r="H638" i="1"/>
  <c r="G638" i="1"/>
  <c r="F638" i="1"/>
  <c r="E638" i="1"/>
  <c r="D638" i="1"/>
  <c r="C638" i="1"/>
  <c r="B638" i="1"/>
  <c r="A638" i="1"/>
  <c r="J637" i="1"/>
  <c r="I637" i="1"/>
  <c r="H637" i="1"/>
  <c r="G637" i="1"/>
  <c r="F637" i="1"/>
  <c r="E637" i="1"/>
  <c r="D637" i="1"/>
  <c r="C637" i="1"/>
  <c r="B637" i="1"/>
  <c r="A637" i="1"/>
  <c r="J636" i="1"/>
  <c r="I636" i="1"/>
  <c r="H636" i="1"/>
  <c r="G636" i="1"/>
  <c r="F636" i="1"/>
  <c r="E636" i="1"/>
  <c r="D636" i="1"/>
  <c r="C636" i="1"/>
  <c r="B636" i="1"/>
  <c r="A636" i="1"/>
  <c r="J635" i="1"/>
  <c r="I635" i="1"/>
  <c r="H635" i="1"/>
  <c r="G635" i="1"/>
  <c r="F635" i="1"/>
  <c r="E635" i="1"/>
  <c r="D635" i="1"/>
  <c r="C635" i="1"/>
  <c r="B635" i="1"/>
  <c r="A635" i="1"/>
  <c r="J634" i="1"/>
  <c r="I634" i="1"/>
  <c r="H634" i="1"/>
  <c r="G634" i="1"/>
  <c r="F634" i="1"/>
  <c r="E634" i="1"/>
  <c r="D634" i="1"/>
  <c r="C634" i="1"/>
  <c r="B634" i="1"/>
  <c r="A634" i="1"/>
  <c r="J633" i="1"/>
  <c r="I633" i="1"/>
  <c r="H633" i="1"/>
  <c r="G633" i="1"/>
  <c r="F633" i="1"/>
  <c r="E633" i="1"/>
  <c r="D633" i="1"/>
  <c r="C633" i="1"/>
  <c r="B633" i="1"/>
  <c r="A633" i="1"/>
  <c r="J632" i="1"/>
  <c r="I632" i="1"/>
  <c r="H632" i="1"/>
  <c r="G632" i="1"/>
  <c r="F632" i="1"/>
  <c r="E632" i="1"/>
  <c r="D632" i="1"/>
  <c r="C632" i="1"/>
  <c r="B632" i="1"/>
  <c r="A632" i="1"/>
  <c r="J631" i="1"/>
  <c r="I631" i="1"/>
  <c r="H631" i="1"/>
  <c r="G631" i="1"/>
  <c r="F631" i="1"/>
  <c r="E631" i="1"/>
  <c r="D631" i="1"/>
  <c r="C631" i="1"/>
  <c r="B631" i="1"/>
  <c r="A631" i="1"/>
  <c r="J630" i="1"/>
  <c r="I630" i="1"/>
  <c r="H630" i="1"/>
  <c r="G630" i="1"/>
  <c r="F630" i="1"/>
  <c r="E630" i="1"/>
  <c r="D630" i="1"/>
  <c r="C630" i="1"/>
  <c r="B630" i="1"/>
  <c r="A630" i="1"/>
  <c r="J629" i="1"/>
  <c r="I629" i="1"/>
  <c r="H629" i="1"/>
  <c r="G629" i="1"/>
  <c r="F629" i="1"/>
  <c r="E629" i="1"/>
  <c r="D629" i="1"/>
  <c r="C629" i="1"/>
  <c r="B629" i="1"/>
  <c r="A629" i="1"/>
  <c r="J628" i="1"/>
  <c r="I628" i="1"/>
  <c r="H628" i="1"/>
  <c r="G628" i="1"/>
  <c r="F628" i="1"/>
  <c r="E628" i="1"/>
  <c r="D628" i="1"/>
  <c r="C628" i="1"/>
  <c r="B628" i="1"/>
  <c r="A628" i="1"/>
  <c r="J627" i="1"/>
  <c r="I627" i="1"/>
  <c r="H627" i="1"/>
  <c r="G627" i="1"/>
  <c r="F627" i="1"/>
  <c r="E627" i="1"/>
  <c r="D627" i="1"/>
  <c r="C627" i="1"/>
  <c r="B627" i="1"/>
  <c r="A627" i="1"/>
  <c r="J626" i="1"/>
  <c r="I626" i="1"/>
  <c r="H626" i="1"/>
  <c r="G626" i="1"/>
  <c r="F626" i="1"/>
  <c r="E626" i="1"/>
  <c r="D626" i="1"/>
  <c r="C626" i="1"/>
  <c r="B626" i="1"/>
  <c r="A626" i="1"/>
  <c r="J625" i="1"/>
  <c r="I625" i="1"/>
  <c r="H625" i="1"/>
  <c r="G625" i="1"/>
  <c r="F625" i="1"/>
  <c r="E625" i="1"/>
  <c r="D625" i="1"/>
  <c r="C625" i="1"/>
  <c r="B625" i="1"/>
  <c r="A625" i="1"/>
  <c r="J624" i="1"/>
  <c r="I624" i="1"/>
  <c r="H624" i="1"/>
  <c r="G624" i="1"/>
  <c r="F624" i="1"/>
  <c r="E624" i="1"/>
  <c r="D624" i="1"/>
  <c r="C624" i="1"/>
  <c r="B624" i="1"/>
  <c r="A624" i="1"/>
  <c r="J623" i="1"/>
  <c r="I623" i="1"/>
  <c r="H623" i="1"/>
  <c r="G623" i="1"/>
  <c r="F623" i="1"/>
  <c r="E623" i="1"/>
  <c r="D623" i="1"/>
  <c r="C623" i="1"/>
  <c r="B623" i="1"/>
  <c r="A623" i="1"/>
  <c r="J622" i="1"/>
  <c r="I622" i="1"/>
  <c r="H622" i="1"/>
  <c r="G622" i="1"/>
  <c r="F622" i="1"/>
  <c r="E622" i="1"/>
  <c r="D622" i="1"/>
  <c r="C622" i="1"/>
  <c r="B622" i="1"/>
  <c r="A622" i="1"/>
  <c r="J621" i="1"/>
  <c r="I621" i="1"/>
  <c r="H621" i="1"/>
  <c r="G621" i="1"/>
  <c r="F621" i="1"/>
  <c r="E621" i="1"/>
  <c r="D621" i="1"/>
  <c r="C621" i="1"/>
  <c r="B621" i="1"/>
  <c r="A621" i="1"/>
  <c r="J620" i="1"/>
  <c r="I620" i="1"/>
  <c r="H620" i="1"/>
  <c r="G620" i="1"/>
  <c r="F620" i="1"/>
  <c r="E620" i="1"/>
  <c r="D620" i="1"/>
  <c r="C620" i="1"/>
  <c r="B620" i="1"/>
  <c r="A620" i="1"/>
  <c r="J619" i="1"/>
  <c r="I619" i="1"/>
  <c r="H619" i="1"/>
  <c r="G619" i="1"/>
  <c r="F619" i="1"/>
  <c r="E619" i="1"/>
  <c r="D619" i="1"/>
  <c r="C619" i="1"/>
  <c r="B619" i="1"/>
  <c r="A619" i="1"/>
  <c r="J618" i="1"/>
  <c r="I618" i="1"/>
  <c r="H618" i="1"/>
  <c r="G618" i="1"/>
  <c r="F618" i="1"/>
  <c r="E618" i="1"/>
  <c r="D618" i="1"/>
  <c r="C618" i="1"/>
  <c r="B618" i="1"/>
  <c r="A618" i="1"/>
  <c r="J617" i="1"/>
  <c r="I617" i="1"/>
  <c r="H617" i="1"/>
  <c r="G617" i="1"/>
  <c r="F617" i="1"/>
  <c r="E617" i="1"/>
  <c r="D617" i="1"/>
  <c r="C617" i="1"/>
  <c r="B617" i="1"/>
  <c r="A617" i="1"/>
  <c r="J616" i="1"/>
  <c r="I616" i="1"/>
  <c r="H616" i="1"/>
  <c r="G616" i="1"/>
  <c r="F616" i="1"/>
  <c r="E616" i="1"/>
  <c r="D616" i="1"/>
  <c r="C616" i="1"/>
  <c r="B616" i="1"/>
  <c r="A616" i="1"/>
  <c r="J615" i="1"/>
  <c r="I615" i="1"/>
  <c r="H615" i="1"/>
  <c r="G615" i="1"/>
  <c r="F615" i="1"/>
  <c r="E615" i="1"/>
  <c r="D615" i="1"/>
  <c r="C615" i="1"/>
  <c r="B615" i="1"/>
  <c r="A615" i="1"/>
  <c r="J614" i="1"/>
  <c r="I614" i="1"/>
  <c r="H614" i="1"/>
  <c r="G614" i="1"/>
  <c r="F614" i="1"/>
  <c r="E614" i="1"/>
  <c r="D614" i="1"/>
  <c r="C614" i="1"/>
  <c r="B614" i="1"/>
  <c r="A614" i="1"/>
  <c r="J613" i="1"/>
  <c r="I613" i="1"/>
  <c r="H613" i="1"/>
  <c r="G613" i="1"/>
  <c r="F613" i="1"/>
  <c r="E613" i="1"/>
  <c r="D613" i="1"/>
  <c r="C613" i="1"/>
  <c r="B613" i="1"/>
  <c r="A613" i="1"/>
  <c r="J612" i="1"/>
  <c r="I612" i="1"/>
  <c r="H612" i="1"/>
  <c r="G612" i="1"/>
  <c r="F612" i="1"/>
  <c r="E612" i="1"/>
  <c r="D612" i="1"/>
  <c r="C612" i="1"/>
  <c r="B612" i="1"/>
  <c r="A612" i="1"/>
  <c r="J611" i="1"/>
  <c r="I611" i="1"/>
  <c r="H611" i="1"/>
  <c r="G611" i="1"/>
  <c r="F611" i="1"/>
  <c r="E611" i="1"/>
  <c r="D611" i="1"/>
  <c r="C611" i="1"/>
  <c r="B611" i="1"/>
  <c r="A611" i="1"/>
  <c r="J610" i="1"/>
  <c r="I610" i="1"/>
  <c r="H610" i="1"/>
  <c r="G610" i="1"/>
  <c r="F610" i="1"/>
  <c r="E610" i="1"/>
  <c r="D610" i="1"/>
  <c r="C610" i="1"/>
  <c r="B610" i="1"/>
  <c r="A610" i="1"/>
  <c r="J609" i="1"/>
  <c r="I609" i="1"/>
  <c r="H609" i="1"/>
  <c r="G609" i="1"/>
  <c r="F609" i="1"/>
  <c r="E609" i="1"/>
  <c r="D609" i="1"/>
  <c r="C609" i="1"/>
  <c r="B609" i="1"/>
  <c r="A609" i="1"/>
  <c r="J608" i="1"/>
  <c r="I608" i="1"/>
  <c r="H608" i="1"/>
  <c r="G608" i="1"/>
  <c r="F608" i="1"/>
  <c r="E608" i="1"/>
  <c r="D608" i="1"/>
  <c r="C608" i="1"/>
  <c r="B608" i="1"/>
  <c r="A608" i="1"/>
  <c r="J607" i="1"/>
  <c r="I607" i="1"/>
  <c r="H607" i="1"/>
  <c r="G607" i="1"/>
  <c r="F607" i="1"/>
  <c r="E607" i="1"/>
  <c r="D607" i="1"/>
  <c r="C607" i="1"/>
  <c r="B607" i="1"/>
  <c r="A607" i="1"/>
  <c r="J606" i="1"/>
  <c r="I606" i="1"/>
  <c r="H606" i="1"/>
  <c r="G606" i="1"/>
  <c r="F606" i="1"/>
  <c r="E606" i="1"/>
  <c r="D606" i="1"/>
  <c r="C606" i="1"/>
  <c r="B606" i="1"/>
  <c r="A606" i="1"/>
  <c r="J605" i="1"/>
  <c r="I605" i="1"/>
  <c r="H605" i="1"/>
  <c r="G605" i="1"/>
  <c r="F605" i="1"/>
  <c r="E605" i="1"/>
  <c r="D605" i="1"/>
  <c r="C605" i="1"/>
  <c r="B605" i="1"/>
  <c r="A605" i="1"/>
  <c r="J604" i="1"/>
  <c r="I604" i="1"/>
  <c r="H604" i="1"/>
  <c r="G604" i="1"/>
  <c r="F604" i="1"/>
  <c r="E604" i="1"/>
  <c r="D604" i="1"/>
  <c r="C604" i="1"/>
  <c r="B604" i="1"/>
  <c r="A604" i="1"/>
  <c r="J603" i="1"/>
  <c r="I603" i="1"/>
  <c r="H603" i="1"/>
  <c r="G603" i="1"/>
  <c r="F603" i="1"/>
  <c r="E603" i="1"/>
  <c r="D603" i="1"/>
  <c r="C603" i="1"/>
  <c r="B603" i="1"/>
  <c r="A603" i="1"/>
  <c r="J602" i="1"/>
  <c r="I602" i="1"/>
  <c r="H602" i="1"/>
  <c r="G602" i="1"/>
  <c r="F602" i="1"/>
  <c r="E602" i="1"/>
  <c r="D602" i="1"/>
  <c r="C602" i="1"/>
  <c r="B602" i="1"/>
  <c r="A602" i="1"/>
  <c r="J601" i="1"/>
  <c r="I601" i="1"/>
  <c r="H601" i="1"/>
  <c r="G601" i="1"/>
  <c r="F601" i="1"/>
  <c r="E601" i="1"/>
  <c r="D601" i="1"/>
  <c r="C601" i="1"/>
  <c r="B601" i="1"/>
  <c r="A601" i="1"/>
  <c r="J600" i="1"/>
  <c r="I600" i="1"/>
  <c r="H600" i="1"/>
  <c r="G600" i="1"/>
  <c r="F600" i="1"/>
  <c r="E600" i="1"/>
  <c r="D600" i="1"/>
  <c r="C600" i="1"/>
  <c r="B600" i="1"/>
  <c r="A600" i="1"/>
  <c r="J599" i="1"/>
  <c r="I599" i="1"/>
  <c r="H599" i="1"/>
  <c r="G599" i="1"/>
  <c r="F599" i="1"/>
  <c r="E599" i="1"/>
  <c r="D599" i="1"/>
  <c r="C599" i="1"/>
  <c r="B599" i="1"/>
  <c r="A599" i="1"/>
  <c r="J598" i="1"/>
  <c r="I598" i="1"/>
  <c r="H598" i="1"/>
  <c r="G598" i="1"/>
  <c r="F598" i="1"/>
  <c r="E598" i="1"/>
  <c r="D598" i="1"/>
  <c r="C598" i="1"/>
  <c r="B598" i="1"/>
  <c r="A598" i="1"/>
  <c r="J597" i="1"/>
  <c r="I597" i="1"/>
  <c r="H597" i="1"/>
  <c r="G597" i="1"/>
  <c r="F597" i="1"/>
  <c r="E597" i="1"/>
  <c r="D597" i="1"/>
  <c r="C597" i="1"/>
  <c r="B597" i="1"/>
  <c r="A597" i="1"/>
  <c r="J596" i="1"/>
  <c r="I596" i="1"/>
  <c r="H596" i="1"/>
  <c r="G596" i="1"/>
  <c r="F596" i="1"/>
  <c r="E596" i="1"/>
  <c r="D596" i="1"/>
  <c r="C596" i="1"/>
  <c r="B596" i="1"/>
  <c r="A596" i="1"/>
  <c r="J595" i="1"/>
  <c r="I595" i="1"/>
  <c r="H595" i="1"/>
  <c r="G595" i="1"/>
  <c r="F595" i="1"/>
  <c r="E595" i="1"/>
  <c r="D595" i="1"/>
  <c r="C595" i="1"/>
  <c r="B595" i="1"/>
  <c r="A595" i="1"/>
  <c r="J594" i="1"/>
  <c r="I594" i="1"/>
  <c r="H594" i="1"/>
  <c r="G594" i="1"/>
  <c r="F594" i="1"/>
  <c r="E594" i="1"/>
  <c r="D594" i="1"/>
  <c r="C594" i="1"/>
  <c r="B594" i="1"/>
  <c r="A594" i="1"/>
  <c r="J593" i="1"/>
  <c r="I593" i="1"/>
  <c r="H593" i="1"/>
  <c r="G593" i="1"/>
  <c r="F593" i="1"/>
  <c r="E593" i="1"/>
  <c r="D593" i="1"/>
  <c r="C593" i="1"/>
  <c r="B593" i="1"/>
  <c r="A593" i="1"/>
  <c r="J592" i="1"/>
  <c r="I592" i="1"/>
  <c r="H592" i="1"/>
  <c r="G592" i="1"/>
  <c r="F592" i="1"/>
  <c r="E592" i="1"/>
  <c r="D592" i="1"/>
  <c r="C592" i="1"/>
  <c r="B592" i="1"/>
  <c r="A592" i="1"/>
  <c r="J591" i="1"/>
  <c r="I591" i="1"/>
  <c r="H591" i="1"/>
  <c r="G591" i="1"/>
  <c r="F591" i="1"/>
  <c r="E591" i="1"/>
  <c r="D591" i="1"/>
  <c r="C591" i="1"/>
  <c r="B591" i="1"/>
  <c r="A591" i="1"/>
  <c r="J590" i="1"/>
  <c r="I590" i="1"/>
  <c r="H590" i="1"/>
  <c r="G590" i="1"/>
  <c r="F590" i="1"/>
  <c r="E590" i="1"/>
  <c r="D590" i="1"/>
  <c r="C590" i="1"/>
  <c r="B590" i="1"/>
  <c r="A590" i="1"/>
  <c r="J589" i="1"/>
  <c r="I589" i="1"/>
  <c r="H589" i="1"/>
  <c r="G589" i="1"/>
  <c r="F589" i="1"/>
  <c r="E589" i="1"/>
  <c r="D589" i="1"/>
  <c r="C589" i="1"/>
  <c r="B589" i="1"/>
  <c r="A589" i="1"/>
  <c r="J588" i="1"/>
  <c r="I588" i="1"/>
  <c r="H588" i="1"/>
  <c r="G588" i="1"/>
  <c r="F588" i="1"/>
  <c r="E588" i="1"/>
  <c r="D588" i="1"/>
  <c r="C588" i="1"/>
  <c r="B588" i="1"/>
  <c r="A588" i="1"/>
  <c r="J587" i="1"/>
  <c r="I587" i="1"/>
  <c r="H587" i="1"/>
  <c r="G587" i="1"/>
  <c r="F587" i="1"/>
  <c r="E587" i="1"/>
  <c r="D587" i="1"/>
  <c r="C587" i="1"/>
  <c r="B587" i="1"/>
  <c r="A587" i="1"/>
  <c r="J586" i="1"/>
  <c r="I586" i="1"/>
  <c r="H586" i="1"/>
  <c r="G586" i="1"/>
  <c r="F586" i="1"/>
  <c r="E586" i="1"/>
  <c r="D586" i="1"/>
  <c r="C586" i="1"/>
  <c r="B586" i="1"/>
  <c r="A586" i="1"/>
  <c r="J585" i="1"/>
  <c r="I585" i="1"/>
  <c r="H585" i="1"/>
  <c r="G585" i="1"/>
  <c r="F585" i="1"/>
  <c r="E585" i="1"/>
  <c r="D585" i="1"/>
  <c r="C585" i="1"/>
  <c r="B585" i="1"/>
  <c r="A585" i="1"/>
  <c r="J584" i="1"/>
  <c r="I584" i="1"/>
  <c r="H584" i="1"/>
  <c r="G584" i="1"/>
  <c r="F584" i="1"/>
  <c r="E584" i="1"/>
  <c r="D584" i="1"/>
  <c r="C584" i="1"/>
  <c r="B584" i="1"/>
  <c r="A584" i="1"/>
  <c r="J583" i="1"/>
  <c r="I583" i="1"/>
  <c r="H583" i="1"/>
  <c r="G583" i="1"/>
  <c r="F583" i="1"/>
  <c r="E583" i="1"/>
  <c r="D583" i="1"/>
  <c r="C583" i="1"/>
  <c r="B583" i="1"/>
  <c r="A583" i="1"/>
  <c r="J582" i="1"/>
  <c r="H582" i="1"/>
  <c r="G582" i="1"/>
  <c r="F582" i="1"/>
  <c r="E582" i="1"/>
  <c r="D582" i="1"/>
  <c r="C582" i="1"/>
  <c r="B582" i="1"/>
  <c r="A582" i="1"/>
  <c r="J581" i="1"/>
  <c r="H581" i="1"/>
  <c r="G581" i="1"/>
  <c r="F581" i="1"/>
  <c r="E581" i="1"/>
  <c r="D581" i="1"/>
  <c r="C581" i="1"/>
  <c r="B581" i="1"/>
  <c r="A581" i="1"/>
  <c r="J580" i="1"/>
  <c r="H580" i="1"/>
  <c r="G580" i="1"/>
  <c r="F580" i="1"/>
  <c r="E580" i="1"/>
  <c r="D580" i="1"/>
  <c r="C580" i="1"/>
  <c r="B580" i="1"/>
  <c r="A580" i="1"/>
  <c r="J579" i="1"/>
  <c r="H579" i="1"/>
  <c r="G579" i="1"/>
  <c r="F579" i="1"/>
  <c r="E579" i="1"/>
  <c r="D579" i="1"/>
  <c r="C579" i="1"/>
  <c r="B579" i="1"/>
  <c r="A579" i="1"/>
  <c r="J578" i="1"/>
  <c r="H578" i="1"/>
  <c r="G578" i="1"/>
  <c r="F578" i="1"/>
  <c r="E578" i="1"/>
  <c r="D578" i="1"/>
  <c r="C578" i="1"/>
  <c r="B578" i="1"/>
  <c r="A578" i="1"/>
  <c r="J577" i="1"/>
  <c r="H577" i="1"/>
  <c r="G577" i="1"/>
  <c r="F577" i="1"/>
  <c r="E577" i="1"/>
  <c r="D577" i="1"/>
  <c r="C577" i="1"/>
  <c r="B577" i="1"/>
  <c r="A577" i="1"/>
  <c r="J576" i="1"/>
  <c r="H576" i="1"/>
  <c r="G576" i="1"/>
  <c r="F576" i="1"/>
  <c r="E576" i="1"/>
  <c r="D576" i="1"/>
  <c r="C576" i="1"/>
  <c r="B576" i="1"/>
  <c r="A576" i="1"/>
  <c r="J575" i="1"/>
  <c r="I575" i="1"/>
  <c r="H575" i="1"/>
  <c r="G575" i="1"/>
  <c r="F575" i="1"/>
  <c r="E575" i="1"/>
  <c r="D575" i="1"/>
  <c r="C575" i="1"/>
  <c r="B575" i="1"/>
  <c r="A575" i="1"/>
  <c r="J574" i="1"/>
  <c r="I574" i="1"/>
  <c r="H574" i="1"/>
  <c r="G574" i="1"/>
  <c r="F574" i="1"/>
  <c r="E574" i="1"/>
  <c r="D574" i="1"/>
  <c r="C574" i="1"/>
  <c r="B574" i="1"/>
  <c r="A574" i="1"/>
  <c r="J573" i="1"/>
  <c r="I573" i="1"/>
  <c r="H573" i="1"/>
  <c r="G573" i="1"/>
  <c r="F573" i="1"/>
  <c r="E573" i="1"/>
  <c r="D573" i="1"/>
  <c r="C573" i="1"/>
  <c r="B573" i="1"/>
  <c r="A573" i="1"/>
  <c r="J572" i="1"/>
  <c r="I572" i="1"/>
  <c r="H572" i="1"/>
  <c r="G572" i="1"/>
  <c r="F572" i="1"/>
  <c r="E572" i="1"/>
  <c r="D572" i="1"/>
  <c r="C572" i="1"/>
  <c r="B572" i="1"/>
  <c r="A572" i="1"/>
  <c r="J571" i="1"/>
  <c r="I571" i="1"/>
  <c r="H571" i="1"/>
  <c r="G571" i="1"/>
  <c r="F571" i="1"/>
  <c r="E571" i="1"/>
  <c r="D571" i="1"/>
  <c r="C571" i="1"/>
  <c r="B571" i="1"/>
  <c r="A571" i="1"/>
  <c r="J570" i="1"/>
  <c r="I570" i="1"/>
  <c r="H570" i="1"/>
  <c r="G570" i="1"/>
  <c r="F570" i="1"/>
  <c r="E570" i="1"/>
  <c r="D570" i="1"/>
  <c r="C570" i="1"/>
  <c r="B570" i="1"/>
  <c r="A570" i="1"/>
  <c r="J569" i="1"/>
  <c r="I569" i="1"/>
  <c r="H569" i="1"/>
  <c r="G569" i="1"/>
  <c r="F569" i="1"/>
  <c r="E569" i="1"/>
  <c r="D569" i="1"/>
  <c r="C569" i="1"/>
  <c r="B569" i="1"/>
  <c r="A569" i="1"/>
  <c r="J568" i="1"/>
  <c r="I568" i="1"/>
  <c r="H568" i="1"/>
  <c r="G568" i="1"/>
  <c r="F568" i="1"/>
  <c r="E568" i="1"/>
  <c r="D568" i="1"/>
  <c r="C568" i="1"/>
  <c r="B568" i="1"/>
  <c r="A568" i="1"/>
  <c r="J567" i="1"/>
  <c r="I567" i="1"/>
  <c r="H567" i="1"/>
  <c r="G567" i="1"/>
  <c r="F567" i="1"/>
  <c r="E567" i="1"/>
  <c r="D567" i="1"/>
  <c r="C567" i="1"/>
  <c r="B567" i="1"/>
  <c r="A567" i="1"/>
  <c r="J566" i="1"/>
  <c r="I566" i="1"/>
  <c r="H566" i="1"/>
  <c r="G566" i="1"/>
  <c r="F566" i="1"/>
  <c r="E566" i="1"/>
  <c r="D566" i="1"/>
  <c r="C566" i="1"/>
  <c r="B566" i="1"/>
  <c r="A566" i="1"/>
  <c r="J565" i="1"/>
  <c r="I565" i="1"/>
  <c r="H565" i="1"/>
  <c r="G565" i="1"/>
  <c r="F565" i="1"/>
  <c r="E565" i="1"/>
  <c r="D565" i="1"/>
  <c r="C565" i="1"/>
  <c r="B565" i="1"/>
  <c r="A565" i="1"/>
  <c r="J564" i="1"/>
  <c r="I564" i="1"/>
  <c r="H564" i="1"/>
  <c r="G564" i="1"/>
  <c r="F564" i="1"/>
  <c r="E564" i="1"/>
  <c r="D564" i="1"/>
  <c r="C564" i="1"/>
  <c r="B564" i="1"/>
  <c r="A564" i="1"/>
  <c r="J563" i="1"/>
  <c r="I563" i="1"/>
  <c r="H563" i="1"/>
  <c r="G563" i="1"/>
  <c r="F563" i="1"/>
  <c r="E563" i="1"/>
  <c r="D563" i="1"/>
  <c r="C563" i="1"/>
  <c r="B563" i="1"/>
  <c r="A563" i="1"/>
  <c r="J562" i="1"/>
  <c r="I562" i="1"/>
  <c r="H562" i="1"/>
  <c r="G562" i="1"/>
  <c r="F562" i="1"/>
  <c r="E562" i="1"/>
  <c r="D562" i="1"/>
  <c r="C562" i="1"/>
  <c r="B562" i="1"/>
  <c r="A562" i="1"/>
  <c r="J561" i="1"/>
  <c r="I561" i="1"/>
  <c r="H561" i="1"/>
  <c r="G561" i="1"/>
  <c r="F561" i="1"/>
  <c r="E561" i="1"/>
  <c r="D561" i="1"/>
  <c r="C561" i="1"/>
  <c r="B561" i="1"/>
  <c r="A561" i="1"/>
  <c r="J560" i="1"/>
  <c r="I560" i="1"/>
  <c r="H560" i="1"/>
  <c r="G560" i="1"/>
  <c r="F560" i="1"/>
  <c r="E560" i="1"/>
  <c r="D560" i="1"/>
  <c r="C560" i="1"/>
  <c r="B560" i="1"/>
  <c r="A560" i="1"/>
  <c r="J559" i="1"/>
  <c r="I559" i="1"/>
  <c r="H559" i="1"/>
  <c r="G559" i="1"/>
  <c r="F559" i="1"/>
  <c r="E559" i="1"/>
  <c r="D559" i="1"/>
  <c r="C559" i="1"/>
  <c r="B559" i="1"/>
  <c r="A559" i="1"/>
  <c r="J558" i="1"/>
  <c r="I558" i="1"/>
  <c r="H558" i="1"/>
  <c r="G558" i="1"/>
  <c r="F558" i="1"/>
  <c r="E558" i="1"/>
  <c r="D558" i="1"/>
  <c r="C558" i="1"/>
  <c r="B558" i="1"/>
  <c r="A558" i="1"/>
  <c r="J557" i="1"/>
  <c r="I557" i="1"/>
  <c r="H557" i="1"/>
  <c r="G557" i="1"/>
  <c r="F557" i="1"/>
  <c r="E557" i="1"/>
  <c r="D557" i="1"/>
  <c r="C557" i="1"/>
  <c r="B557" i="1"/>
  <c r="A557" i="1"/>
  <c r="J556" i="1"/>
  <c r="I556" i="1"/>
  <c r="H556" i="1"/>
  <c r="G556" i="1"/>
  <c r="F556" i="1"/>
  <c r="E556" i="1"/>
  <c r="D556" i="1"/>
  <c r="C556" i="1"/>
  <c r="B556" i="1"/>
  <c r="A556" i="1"/>
  <c r="J555" i="1"/>
  <c r="I555" i="1"/>
  <c r="H555" i="1"/>
  <c r="G555" i="1"/>
  <c r="F555" i="1"/>
  <c r="E555" i="1"/>
  <c r="D555" i="1"/>
  <c r="C555" i="1"/>
  <c r="B555" i="1"/>
  <c r="A555" i="1"/>
  <c r="J554" i="1"/>
  <c r="I554" i="1"/>
  <c r="H554" i="1"/>
  <c r="G554" i="1"/>
  <c r="F554" i="1"/>
  <c r="E554" i="1"/>
  <c r="D554" i="1"/>
  <c r="C554" i="1"/>
  <c r="B554" i="1"/>
  <c r="A554" i="1"/>
  <c r="J553" i="1"/>
  <c r="I553" i="1"/>
  <c r="H553" i="1"/>
  <c r="G553" i="1"/>
  <c r="F553" i="1"/>
  <c r="E553" i="1"/>
  <c r="D553" i="1"/>
  <c r="C553" i="1"/>
  <c r="B553" i="1"/>
  <c r="A553" i="1"/>
  <c r="J552" i="1"/>
  <c r="I552" i="1"/>
  <c r="H552" i="1"/>
  <c r="G552" i="1"/>
  <c r="F552" i="1"/>
  <c r="E552" i="1"/>
  <c r="D552" i="1"/>
  <c r="C552" i="1"/>
  <c r="B552" i="1"/>
  <c r="A552" i="1"/>
  <c r="J551" i="1"/>
  <c r="I551" i="1"/>
  <c r="H551" i="1"/>
  <c r="G551" i="1"/>
  <c r="F551" i="1"/>
  <c r="E551" i="1"/>
  <c r="D551" i="1"/>
  <c r="C551" i="1"/>
  <c r="B551" i="1"/>
  <c r="A551" i="1"/>
  <c r="J550" i="1"/>
  <c r="I550" i="1"/>
  <c r="H550" i="1"/>
  <c r="G550" i="1"/>
  <c r="F550" i="1"/>
  <c r="E550" i="1"/>
  <c r="D550" i="1"/>
  <c r="C550" i="1"/>
  <c r="B550" i="1"/>
  <c r="A550" i="1"/>
  <c r="J549" i="1"/>
  <c r="I549" i="1"/>
  <c r="H549" i="1"/>
  <c r="G549" i="1"/>
  <c r="F549" i="1"/>
  <c r="E549" i="1"/>
  <c r="D549" i="1"/>
  <c r="C549" i="1"/>
  <c r="B549" i="1"/>
  <c r="A549" i="1"/>
  <c r="J548" i="1"/>
  <c r="I548" i="1"/>
  <c r="H548" i="1"/>
  <c r="G548" i="1"/>
  <c r="F548" i="1"/>
  <c r="E548" i="1"/>
  <c r="D548" i="1"/>
  <c r="C548" i="1"/>
  <c r="B548" i="1"/>
  <c r="A548" i="1"/>
  <c r="J547" i="1"/>
  <c r="I547" i="1"/>
  <c r="H547" i="1"/>
  <c r="G547" i="1"/>
  <c r="F547" i="1"/>
  <c r="E547" i="1"/>
  <c r="D547" i="1"/>
  <c r="C547" i="1"/>
  <c r="B547" i="1"/>
  <c r="A547" i="1"/>
  <c r="J546" i="1"/>
  <c r="I546" i="1"/>
  <c r="H546" i="1"/>
  <c r="G546" i="1"/>
  <c r="F546" i="1"/>
  <c r="E546" i="1"/>
  <c r="D546" i="1"/>
  <c r="C546" i="1"/>
  <c r="B546" i="1"/>
  <c r="A546" i="1"/>
  <c r="J545" i="1"/>
  <c r="I545" i="1"/>
  <c r="H545" i="1"/>
  <c r="G545" i="1"/>
  <c r="F545" i="1"/>
  <c r="E545" i="1"/>
  <c r="D545" i="1"/>
  <c r="C545" i="1"/>
  <c r="B545" i="1"/>
  <c r="A545" i="1"/>
  <c r="J544" i="1"/>
  <c r="I544" i="1"/>
  <c r="H544" i="1"/>
  <c r="G544" i="1"/>
  <c r="F544" i="1"/>
  <c r="E544" i="1"/>
  <c r="D544" i="1"/>
  <c r="C544" i="1"/>
  <c r="B544" i="1"/>
  <c r="A544" i="1"/>
  <c r="J543" i="1"/>
  <c r="I543" i="1"/>
  <c r="H543" i="1"/>
  <c r="G543" i="1"/>
  <c r="F543" i="1"/>
  <c r="E543" i="1"/>
  <c r="D543" i="1"/>
  <c r="C543" i="1"/>
  <c r="B543" i="1"/>
  <c r="A543" i="1"/>
  <c r="J542" i="1"/>
  <c r="I542" i="1"/>
  <c r="H542" i="1"/>
  <c r="G542" i="1"/>
  <c r="F542" i="1"/>
  <c r="E542" i="1"/>
  <c r="D542" i="1"/>
  <c r="C542" i="1"/>
  <c r="B542" i="1"/>
  <c r="A542" i="1"/>
  <c r="J541" i="1"/>
  <c r="I541" i="1"/>
  <c r="H541" i="1"/>
  <c r="G541" i="1"/>
  <c r="F541" i="1"/>
  <c r="E541" i="1"/>
  <c r="D541" i="1"/>
  <c r="C541" i="1"/>
  <c r="B541" i="1"/>
  <c r="A541" i="1"/>
  <c r="J540" i="1"/>
  <c r="I540" i="1"/>
  <c r="H540" i="1"/>
  <c r="G540" i="1"/>
  <c r="F540" i="1"/>
  <c r="E540" i="1"/>
  <c r="D540" i="1"/>
  <c r="C540" i="1"/>
  <c r="B540" i="1"/>
  <c r="A540" i="1"/>
  <c r="J539" i="1"/>
  <c r="I539" i="1"/>
  <c r="H539" i="1"/>
  <c r="G539" i="1"/>
  <c r="F539" i="1"/>
  <c r="E539" i="1"/>
  <c r="D539" i="1"/>
  <c r="C539" i="1"/>
  <c r="B539" i="1"/>
  <c r="A539" i="1"/>
  <c r="J538" i="1"/>
  <c r="I538" i="1"/>
  <c r="H538" i="1"/>
  <c r="G538" i="1"/>
  <c r="F538" i="1"/>
  <c r="E538" i="1"/>
  <c r="D538" i="1"/>
  <c r="C538" i="1"/>
  <c r="B538" i="1"/>
  <c r="A538" i="1"/>
  <c r="J537" i="1"/>
  <c r="I537" i="1"/>
  <c r="H537" i="1"/>
  <c r="G537" i="1"/>
  <c r="F537" i="1"/>
  <c r="E537" i="1"/>
  <c r="D537" i="1"/>
  <c r="C537" i="1"/>
  <c r="B537" i="1"/>
  <c r="A537" i="1"/>
  <c r="J536" i="1"/>
  <c r="I536" i="1"/>
  <c r="H536" i="1"/>
  <c r="G536" i="1"/>
  <c r="F536" i="1"/>
  <c r="E536" i="1"/>
  <c r="D536" i="1"/>
  <c r="C536" i="1"/>
  <c r="B536" i="1"/>
  <c r="A536" i="1"/>
  <c r="J535" i="1"/>
  <c r="I535" i="1"/>
  <c r="H535" i="1"/>
  <c r="G535" i="1"/>
  <c r="F535" i="1"/>
  <c r="E535" i="1"/>
  <c r="D535" i="1"/>
  <c r="C535" i="1"/>
  <c r="B535" i="1"/>
  <c r="A535" i="1"/>
  <c r="J534" i="1"/>
  <c r="I534" i="1"/>
  <c r="H534" i="1"/>
  <c r="G534" i="1"/>
  <c r="F534" i="1"/>
  <c r="E534" i="1"/>
  <c r="D534" i="1"/>
  <c r="C534" i="1"/>
  <c r="B534" i="1"/>
  <c r="A534" i="1"/>
  <c r="J533" i="1"/>
  <c r="I533" i="1"/>
  <c r="H533" i="1"/>
  <c r="G533" i="1"/>
  <c r="F533" i="1"/>
  <c r="E533" i="1"/>
  <c r="D533" i="1"/>
  <c r="C533" i="1"/>
  <c r="B533" i="1"/>
  <c r="A533" i="1"/>
  <c r="J532" i="1"/>
  <c r="I532" i="1"/>
  <c r="H532" i="1"/>
  <c r="G532" i="1"/>
  <c r="F532" i="1"/>
  <c r="E532" i="1"/>
  <c r="D532" i="1"/>
  <c r="C532" i="1"/>
  <c r="B532" i="1"/>
  <c r="A532" i="1"/>
  <c r="J531" i="1"/>
  <c r="I531" i="1"/>
  <c r="H531" i="1"/>
  <c r="G531" i="1"/>
  <c r="F531" i="1"/>
  <c r="E531" i="1"/>
  <c r="D531" i="1"/>
  <c r="C531" i="1"/>
  <c r="B531" i="1"/>
  <c r="A531" i="1"/>
  <c r="J530" i="1"/>
  <c r="I530" i="1"/>
  <c r="H530" i="1"/>
  <c r="G530" i="1"/>
  <c r="F530" i="1"/>
  <c r="E530" i="1"/>
  <c r="D530" i="1"/>
  <c r="C530" i="1"/>
  <c r="B530" i="1"/>
  <c r="A530" i="1"/>
  <c r="J529" i="1"/>
  <c r="I529" i="1"/>
  <c r="H529" i="1"/>
  <c r="G529" i="1"/>
  <c r="F529" i="1"/>
  <c r="E529" i="1"/>
  <c r="D529" i="1"/>
  <c r="C529" i="1"/>
  <c r="B529" i="1"/>
  <c r="A529" i="1"/>
  <c r="J528" i="1"/>
  <c r="I528" i="1"/>
  <c r="H528" i="1"/>
  <c r="G528" i="1"/>
  <c r="F528" i="1"/>
  <c r="E528" i="1"/>
  <c r="D528" i="1"/>
  <c r="C528" i="1"/>
  <c r="B528" i="1"/>
  <c r="A528" i="1"/>
  <c r="J527" i="1"/>
  <c r="I527" i="1"/>
  <c r="H527" i="1"/>
  <c r="G527" i="1"/>
  <c r="F527" i="1"/>
  <c r="E527" i="1"/>
  <c r="D527" i="1"/>
  <c r="C527" i="1"/>
  <c r="B527" i="1"/>
  <c r="A527" i="1"/>
  <c r="J526" i="1"/>
  <c r="I526" i="1"/>
  <c r="H526" i="1"/>
  <c r="G526" i="1"/>
  <c r="F526" i="1"/>
  <c r="E526" i="1"/>
  <c r="D526" i="1"/>
  <c r="C526" i="1"/>
  <c r="B526" i="1"/>
  <c r="A526" i="1"/>
  <c r="J525" i="1"/>
  <c r="I525" i="1"/>
  <c r="H525" i="1"/>
  <c r="G525" i="1"/>
  <c r="F525" i="1"/>
  <c r="E525" i="1"/>
  <c r="D525" i="1"/>
  <c r="C525" i="1"/>
  <c r="B525" i="1"/>
  <c r="A525" i="1"/>
  <c r="J524" i="1"/>
  <c r="I524" i="1"/>
  <c r="H524" i="1"/>
  <c r="G524" i="1"/>
  <c r="F524" i="1"/>
  <c r="E524" i="1"/>
  <c r="D524" i="1"/>
  <c r="C524" i="1"/>
  <c r="B524" i="1"/>
  <c r="A524" i="1"/>
  <c r="J523" i="1"/>
  <c r="I523" i="1"/>
  <c r="H523" i="1"/>
  <c r="G523" i="1"/>
  <c r="F523" i="1"/>
  <c r="E523" i="1"/>
  <c r="D523" i="1"/>
  <c r="C523" i="1"/>
  <c r="B523" i="1"/>
  <c r="A523" i="1"/>
  <c r="J522" i="1"/>
  <c r="I522" i="1"/>
  <c r="H522" i="1"/>
  <c r="G522" i="1"/>
  <c r="F522" i="1"/>
  <c r="E522" i="1"/>
  <c r="D522" i="1"/>
  <c r="C522" i="1"/>
  <c r="B522" i="1"/>
  <c r="A522" i="1"/>
  <c r="J521" i="1"/>
  <c r="I521" i="1"/>
  <c r="H521" i="1"/>
  <c r="G521" i="1"/>
  <c r="F521" i="1"/>
  <c r="E521" i="1"/>
  <c r="D521" i="1"/>
  <c r="C521" i="1"/>
  <c r="B521" i="1"/>
  <c r="A521" i="1"/>
  <c r="J520" i="1"/>
  <c r="I520" i="1"/>
  <c r="H520" i="1"/>
  <c r="G520" i="1"/>
  <c r="F520" i="1"/>
  <c r="E520" i="1"/>
  <c r="D520" i="1"/>
  <c r="C520" i="1"/>
  <c r="B520" i="1"/>
  <c r="A520" i="1"/>
  <c r="J519" i="1"/>
  <c r="I519" i="1"/>
  <c r="H519" i="1"/>
  <c r="G519" i="1"/>
  <c r="F519" i="1"/>
  <c r="E519" i="1"/>
  <c r="D519" i="1"/>
  <c r="C519" i="1"/>
  <c r="B519" i="1"/>
  <c r="A519" i="1"/>
  <c r="J518" i="1"/>
  <c r="I518" i="1"/>
  <c r="H518" i="1"/>
  <c r="G518" i="1"/>
  <c r="F518" i="1"/>
  <c r="E518" i="1"/>
  <c r="D518" i="1"/>
  <c r="C518" i="1"/>
  <c r="B518" i="1"/>
  <c r="A518" i="1"/>
  <c r="J517" i="1"/>
  <c r="I517" i="1"/>
  <c r="H517" i="1"/>
  <c r="G517" i="1"/>
  <c r="F517" i="1"/>
  <c r="E517" i="1"/>
  <c r="D517" i="1"/>
  <c r="C517" i="1"/>
  <c r="B517" i="1"/>
  <c r="A517" i="1"/>
  <c r="J516" i="1"/>
  <c r="I516" i="1"/>
  <c r="H516" i="1"/>
  <c r="G516" i="1"/>
  <c r="F516" i="1"/>
  <c r="E516" i="1"/>
  <c r="D516" i="1"/>
  <c r="C516" i="1"/>
  <c r="B516" i="1"/>
  <c r="A516" i="1"/>
  <c r="J515" i="1"/>
  <c r="I515" i="1"/>
  <c r="H515" i="1"/>
  <c r="G515" i="1"/>
  <c r="F515" i="1"/>
  <c r="E515" i="1"/>
  <c r="D515" i="1"/>
  <c r="C515" i="1"/>
  <c r="B515" i="1"/>
  <c r="A515" i="1"/>
  <c r="J514" i="1"/>
  <c r="I514" i="1"/>
  <c r="H514" i="1"/>
  <c r="G514" i="1"/>
  <c r="F514" i="1"/>
  <c r="E514" i="1"/>
  <c r="D514" i="1"/>
  <c r="C514" i="1"/>
  <c r="B514" i="1"/>
  <c r="A514" i="1"/>
  <c r="J513" i="1"/>
  <c r="I513" i="1"/>
  <c r="H513" i="1"/>
  <c r="G513" i="1"/>
  <c r="F513" i="1"/>
  <c r="E513" i="1"/>
  <c r="D513" i="1"/>
  <c r="C513" i="1"/>
  <c r="B513" i="1"/>
  <c r="A513" i="1"/>
  <c r="J512" i="1"/>
  <c r="I512" i="1"/>
  <c r="H512" i="1"/>
  <c r="G512" i="1"/>
  <c r="F512" i="1"/>
  <c r="E512" i="1"/>
  <c r="D512" i="1"/>
  <c r="C512" i="1"/>
  <c r="B512" i="1"/>
  <c r="A512" i="1"/>
  <c r="J511" i="1"/>
  <c r="I511" i="1"/>
  <c r="H511" i="1"/>
  <c r="G511" i="1"/>
  <c r="F511" i="1"/>
  <c r="E511" i="1"/>
  <c r="D511" i="1"/>
  <c r="C511" i="1"/>
  <c r="B511" i="1"/>
  <c r="A511" i="1"/>
  <c r="J510" i="1"/>
  <c r="I510" i="1"/>
  <c r="H510" i="1"/>
  <c r="G510" i="1"/>
  <c r="F510" i="1"/>
  <c r="E510" i="1"/>
  <c r="D510" i="1"/>
  <c r="C510" i="1"/>
  <c r="B510" i="1"/>
  <c r="A510" i="1"/>
  <c r="J509" i="1"/>
  <c r="I509" i="1"/>
  <c r="H509" i="1"/>
  <c r="G509" i="1"/>
  <c r="F509" i="1"/>
  <c r="E509" i="1"/>
  <c r="D509" i="1"/>
  <c r="C509" i="1"/>
  <c r="B509" i="1"/>
  <c r="A509" i="1"/>
  <c r="J508" i="1"/>
  <c r="I508" i="1"/>
  <c r="H508" i="1"/>
  <c r="G508" i="1"/>
  <c r="F508" i="1"/>
  <c r="E508" i="1"/>
  <c r="D508" i="1"/>
  <c r="C508" i="1"/>
  <c r="B508" i="1"/>
  <c r="A508" i="1"/>
  <c r="J507" i="1"/>
  <c r="I507" i="1"/>
  <c r="H507" i="1"/>
  <c r="G507" i="1"/>
  <c r="F507" i="1"/>
  <c r="E507" i="1"/>
  <c r="D507" i="1"/>
  <c r="C507" i="1"/>
  <c r="B507" i="1"/>
  <c r="A507" i="1"/>
  <c r="J506" i="1"/>
  <c r="I506" i="1"/>
  <c r="H506" i="1"/>
  <c r="G506" i="1"/>
  <c r="F506" i="1"/>
  <c r="E506" i="1"/>
  <c r="D506" i="1"/>
  <c r="C506" i="1"/>
  <c r="B506" i="1"/>
  <c r="A506" i="1"/>
  <c r="J505" i="1"/>
  <c r="H505" i="1"/>
  <c r="G505" i="1"/>
  <c r="F505" i="1"/>
  <c r="E505" i="1"/>
  <c r="D505" i="1"/>
  <c r="C505" i="1"/>
  <c r="B505" i="1"/>
  <c r="A505" i="1"/>
  <c r="J504" i="1"/>
  <c r="H504" i="1"/>
  <c r="G504" i="1"/>
  <c r="F504" i="1"/>
  <c r="E504" i="1"/>
  <c r="D504" i="1"/>
  <c r="C504" i="1"/>
  <c r="B504" i="1"/>
  <c r="A504" i="1"/>
  <c r="J503" i="1"/>
  <c r="H503" i="1"/>
  <c r="G503" i="1"/>
  <c r="F503" i="1"/>
  <c r="E503" i="1"/>
  <c r="D503" i="1"/>
  <c r="C503" i="1"/>
  <c r="B503" i="1"/>
  <c r="A503" i="1"/>
  <c r="J502" i="1"/>
  <c r="H502" i="1"/>
  <c r="G502" i="1"/>
  <c r="F502" i="1"/>
  <c r="E502" i="1"/>
  <c r="D502" i="1"/>
  <c r="C502" i="1"/>
  <c r="B502" i="1"/>
  <c r="A502" i="1"/>
  <c r="J501" i="1"/>
  <c r="H501" i="1"/>
  <c r="G501" i="1"/>
  <c r="F501" i="1"/>
  <c r="E501" i="1"/>
  <c r="D501" i="1"/>
  <c r="C501" i="1"/>
  <c r="B501" i="1"/>
  <c r="A501" i="1"/>
  <c r="J500" i="1"/>
  <c r="H500" i="1"/>
  <c r="G500" i="1"/>
  <c r="F500" i="1"/>
  <c r="E500" i="1"/>
  <c r="D500" i="1"/>
  <c r="C500" i="1"/>
  <c r="B500" i="1"/>
  <c r="A500" i="1"/>
  <c r="J499" i="1"/>
  <c r="H499" i="1"/>
  <c r="G499" i="1"/>
  <c r="F499" i="1"/>
  <c r="E499" i="1"/>
  <c r="D499" i="1"/>
  <c r="C499" i="1"/>
  <c r="B499" i="1"/>
  <c r="A499" i="1"/>
  <c r="J498" i="1"/>
  <c r="I498" i="1"/>
  <c r="H498" i="1"/>
  <c r="G498" i="1"/>
  <c r="F498" i="1"/>
  <c r="E498" i="1"/>
  <c r="D498" i="1"/>
  <c r="C498" i="1"/>
  <c r="B498" i="1"/>
  <c r="A498" i="1"/>
  <c r="J497" i="1"/>
  <c r="I497" i="1"/>
  <c r="H497" i="1"/>
  <c r="G497" i="1"/>
  <c r="F497" i="1"/>
  <c r="E497" i="1"/>
  <c r="D497" i="1"/>
  <c r="C497" i="1"/>
  <c r="B497" i="1"/>
  <c r="A497" i="1"/>
  <c r="J496" i="1"/>
  <c r="I496" i="1"/>
  <c r="H496" i="1"/>
  <c r="G496" i="1"/>
  <c r="F496" i="1"/>
  <c r="E496" i="1"/>
  <c r="D496" i="1"/>
  <c r="C496" i="1"/>
  <c r="B496" i="1"/>
  <c r="A496" i="1"/>
  <c r="J495" i="1"/>
  <c r="I495" i="1"/>
  <c r="H495" i="1"/>
  <c r="G495" i="1"/>
  <c r="F495" i="1"/>
  <c r="E495" i="1"/>
  <c r="D495" i="1"/>
  <c r="C495" i="1"/>
  <c r="B495" i="1"/>
  <c r="A495" i="1"/>
  <c r="J494" i="1"/>
  <c r="I494" i="1"/>
  <c r="H494" i="1"/>
  <c r="G494" i="1"/>
  <c r="F494" i="1"/>
  <c r="E494" i="1"/>
  <c r="D494" i="1"/>
  <c r="C494" i="1"/>
  <c r="B494" i="1"/>
  <c r="A494" i="1"/>
  <c r="J493" i="1"/>
  <c r="I493" i="1"/>
  <c r="H493" i="1"/>
  <c r="G493" i="1"/>
  <c r="F493" i="1"/>
  <c r="E493" i="1"/>
  <c r="D493" i="1"/>
  <c r="C493" i="1"/>
  <c r="B493" i="1"/>
  <c r="A493" i="1"/>
  <c r="J492" i="1"/>
  <c r="I492" i="1"/>
  <c r="H492" i="1"/>
  <c r="G492" i="1"/>
  <c r="F492" i="1"/>
  <c r="E492" i="1"/>
  <c r="D492" i="1"/>
  <c r="C492" i="1"/>
  <c r="B492" i="1"/>
  <c r="A492" i="1"/>
  <c r="J491" i="1"/>
  <c r="I491" i="1"/>
  <c r="H491" i="1"/>
  <c r="G491" i="1"/>
  <c r="F491" i="1"/>
  <c r="E491" i="1"/>
  <c r="D491" i="1"/>
  <c r="C491" i="1"/>
  <c r="B491" i="1"/>
  <c r="A491" i="1"/>
  <c r="J490" i="1"/>
  <c r="I490" i="1"/>
  <c r="H490" i="1"/>
  <c r="G490" i="1"/>
  <c r="F490" i="1"/>
  <c r="E490" i="1"/>
  <c r="D490" i="1"/>
  <c r="C490" i="1"/>
  <c r="B490" i="1"/>
  <c r="A490" i="1"/>
  <c r="J489" i="1"/>
  <c r="I489" i="1"/>
  <c r="H489" i="1"/>
  <c r="G489" i="1"/>
  <c r="F489" i="1"/>
  <c r="E489" i="1"/>
  <c r="D489" i="1"/>
  <c r="C489" i="1"/>
  <c r="B489" i="1"/>
  <c r="A489" i="1"/>
  <c r="J488" i="1"/>
  <c r="I488" i="1"/>
  <c r="H488" i="1"/>
  <c r="G488" i="1"/>
  <c r="F488" i="1"/>
  <c r="E488" i="1"/>
  <c r="D488" i="1"/>
  <c r="C488" i="1"/>
  <c r="B488" i="1"/>
  <c r="A488" i="1"/>
  <c r="J487" i="1"/>
  <c r="I487" i="1"/>
  <c r="H487" i="1"/>
  <c r="G487" i="1"/>
  <c r="F487" i="1"/>
  <c r="E487" i="1"/>
  <c r="D487" i="1"/>
  <c r="C487" i="1"/>
  <c r="B487" i="1"/>
  <c r="A487" i="1"/>
  <c r="J486" i="1"/>
  <c r="I486" i="1"/>
  <c r="H486" i="1"/>
  <c r="G486" i="1"/>
  <c r="F486" i="1"/>
  <c r="E486" i="1"/>
  <c r="D486" i="1"/>
  <c r="C486" i="1"/>
  <c r="B486" i="1"/>
  <c r="A486" i="1"/>
  <c r="J485" i="1"/>
  <c r="I485" i="1"/>
  <c r="H485" i="1"/>
  <c r="G485" i="1"/>
  <c r="F485" i="1"/>
  <c r="E485" i="1"/>
  <c r="D485" i="1"/>
  <c r="C485" i="1"/>
  <c r="B485" i="1"/>
  <c r="A485" i="1"/>
  <c r="J484" i="1"/>
  <c r="I484" i="1"/>
  <c r="H484" i="1"/>
  <c r="G484" i="1"/>
  <c r="F484" i="1"/>
  <c r="E484" i="1"/>
  <c r="D484" i="1"/>
  <c r="C484" i="1"/>
  <c r="B484" i="1"/>
  <c r="A484" i="1"/>
  <c r="J483" i="1"/>
  <c r="I483" i="1"/>
  <c r="H483" i="1"/>
  <c r="G483" i="1"/>
  <c r="F483" i="1"/>
  <c r="E483" i="1"/>
  <c r="D483" i="1"/>
  <c r="C483" i="1"/>
  <c r="B483" i="1"/>
  <c r="A483" i="1"/>
  <c r="J482" i="1"/>
  <c r="I482" i="1"/>
  <c r="H482" i="1"/>
  <c r="G482" i="1"/>
  <c r="F482" i="1"/>
  <c r="E482" i="1"/>
  <c r="D482" i="1"/>
  <c r="C482" i="1"/>
  <c r="B482" i="1"/>
  <c r="A482" i="1"/>
  <c r="J481" i="1"/>
  <c r="I481" i="1"/>
  <c r="H481" i="1"/>
  <c r="G481" i="1"/>
  <c r="F481" i="1"/>
  <c r="E481" i="1"/>
  <c r="D481" i="1"/>
  <c r="C481" i="1"/>
  <c r="B481" i="1"/>
  <c r="A481" i="1"/>
  <c r="J480" i="1"/>
  <c r="I480" i="1"/>
  <c r="H480" i="1"/>
  <c r="G480" i="1"/>
  <c r="F480" i="1"/>
  <c r="E480" i="1"/>
  <c r="D480" i="1"/>
  <c r="C480" i="1"/>
  <c r="B480" i="1"/>
  <c r="A480" i="1"/>
  <c r="J479" i="1"/>
  <c r="I479" i="1"/>
  <c r="H479" i="1"/>
  <c r="G479" i="1"/>
  <c r="F479" i="1"/>
  <c r="E479" i="1"/>
  <c r="D479" i="1"/>
  <c r="C479" i="1"/>
  <c r="B479" i="1"/>
  <c r="A479" i="1"/>
  <c r="J478" i="1"/>
  <c r="I478" i="1"/>
  <c r="H478" i="1"/>
  <c r="G478" i="1"/>
  <c r="F478" i="1"/>
  <c r="E478" i="1"/>
  <c r="D478" i="1"/>
  <c r="C478" i="1"/>
  <c r="B478" i="1"/>
  <c r="A478" i="1"/>
  <c r="J477" i="1"/>
  <c r="I477" i="1"/>
  <c r="H477" i="1"/>
  <c r="G477" i="1"/>
  <c r="F477" i="1"/>
  <c r="E477" i="1"/>
  <c r="D477" i="1"/>
  <c r="C477" i="1"/>
  <c r="B477" i="1"/>
  <c r="A477" i="1"/>
  <c r="J476" i="1"/>
  <c r="I476" i="1"/>
  <c r="H476" i="1"/>
  <c r="G476" i="1"/>
  <c r="F476" i="1"/>
  <c r="E476" i="1"/>
  <c r="D476" i="1"/>
  <c r="C476" i="1"/>
  <c r="B476" i="1"/>
  <c r="A476" i="1"/>
  <c r="J475" i="1"/>
  <c r="I475" i="1"/>
  <c r="H475" i="1"/>
  <c r="G475" i="1"/>
  <c r="F475" i="1"/>
  <c r="E475" i="1"/>
  <c r="D475" i="1"/>
  <c r="C475" i="1"/>
  <c r="B475" i="1"/>
  <c r="A475" i="1"/>
  <c r="J474" i="1"/>
  <c r="I474" i="1"/>
  <c r="H474" i="1"/>
  <c r="G474" i="1"/>
  <c r="F474" i="1"/>
  <c r="E474" i="1"/>
  <c r="D474" i="1"/>
  <c r="C474" i="1"/>
  <c r="B474" i="1"/>
  <c r="A474" i="1"/>
  <c r="J473" i="1"/>
  <c r="I473" i="1"/>
  <c r="H473" i="1"/>
  <c r="G473" i="1"/>
  <c r="F473" i="1"/>
  <c r="E473" i="1"/>
  <c r="D473" i="1"/>
  <c r="C473" i="1"/>
  <c r="B473" i="1"/>
  <c r="A473" i="1"/>
  <c r="J472" i="1"/>
  <c r="I472" i="1"/>
  <c r="H472" i="1"/>
  <c r="G472" i="1"/>
  <c r="F472" i="1"/>
  <c r="E472" i="1"/>
  <c r="D472" i="1"/>
  <c r="C472" i="1"/>
  <c r="B472" i="1"/>
  <c r="A472" i="1"/>
  <c r="J471" i="1"/>
  <c r="I471" i="1"/>
  <c r="H471" i="1"/>
  <c r="G471" i="1"/>
  <c r="F471" i="1"/>
  <c r="E471" i="1"/>
  <c r="D471" i="1"/>
  <c r="C471" i="1"/>
  <c r="B471" i="1"/>
  <c r="A471" i="1"/>
  <c r="J470" i="1"/>
  <c r="I470" i="1"/>
  <c r="H470" i="1"/>
  <c r="G470" i="1"/>
  <c r="F470" i="1"/>
  <c r="E470" i="1"/>
  <c r="D470" i="1"/>
  <c r="C470" i="1"/>
  <c r="B470" i="1"/>
  <c r="A470" i="1"/>
  <c r="J469" i="1"/>
  <c r="I469" i="1"/>
  <c r="H469" i="1"/>
  <c r="G469" i="1"/>
  <c r="F469" i="1"/>
  <c r="E469" i="1"/>
  <c r="D469" i="1"/>
  <c r="C469" i="1"/>
  <c r="B469" i="1"/>
  <c r="A469" i="1"/>
  <c r="J468" i="1"/>
  <c r="I468" i="1"/>
  <c r="H468" i="1"/>
  <c r="G468" i="1"/>
  <c r="F468" i="1"/>
  <c r="E468" i="1"/>
  <c r="D468" i="1"/>
  <c r="C468" i="1"/>
  <c r="B468" i="1"/>
  <c r="A468" i="1"/>
  <c r="J467" i="1"/>
  <c r="I467" i="1"/>
  <c r="H467" i="1"/>
  <c r="G467" i="1"/>
  <c r="F467" i="1"/>
  <c r="E467" i="1"/>
  <c r="D467" i="1"/>
  <c r="C467" i="1"/>
  <c r="B467" i="1"/>
  <c r="A467" i="1"/>
  <c r="J466" i="1"/>
  <c r="I466" i="1"/>
  <c r="H466" i="1"/>
  <c r="G466" i="1"/>
  <c r="F466" i="1"/>
  <c r="E466" i="1"/>
  <c r="D466" i="1"/>
  <c r="C466" i="1"/>
  <c r="B466" i="1"/>
  <c r="A466" i="1"/>
  <c r="J465" i="1"/>
  <c r="I465" i="1"/>
  <c r="H465" i="1"/>
  <c r="G465" i="1"/>
  <c r="F465" i="1"/>
  <c r="E465" i="1"/>
  <c r="D465" i="1"/>
  <c r="C465" i="1"/>
  <c r="B465" i="1"/>
  <c r="A465" i="1"/>
  <c r="J464" i="1"/>
  <c r="I464" i="1"/>
  <c r="H464" i="1"/>
  <c r="G464" i="1"/>
  <c r="F464" i="1"/>
  <c r="E464" i="1"/>
  <c r="D464" i="1"/>
  <c r="C464" i="1"/>
  <c r="B464" i="1"/>
  <c r="A464" i="1"/>
  <c r="J463" i="1"/>
  <c r="I463" i="1"/>
  <c r="H463" i="1"/>
  <c r="G463" i="1"/>
  <c r="F463" i="1"/>
  <c r="E463" i="1"/>
  <c r="D463" i="1"/>
  <c r="C463" i="1"/>
  <c r="B463" i="1"/>
  <c r="A463" i="1"/>
  <c r="J462" i="1"/>
  <c r="I462" i="1"/>
  <c r="H462" i="1"/>
  <c r="G462" i="1"/>
  <c r="F462" i="1"/>
  <c r="E462" i="1"/>
  <c r="D462" i="1"/>
  <c r="C462" i="1"/>
  <c r="B462" i="1"/>
  <c r="A462" i="1"/>
  <c r="J461" i="1"/>
  <c r="I461" i="1"/>
  <c r="H461" i="1"/>
  <c r="G461" i="1"/>
  <c r="F461" i="1"/>
  <c r="E461" i="1"/>
  <c r="D461" i="1"/>
  <c r="C461" i="1"/>
  <c r="B461" i="1"/>
  <c r="A461" i="1"/>
  <c r="J460" i="1"/>
  <c r="I460" i="1"/>
  <c r="H460" i="1"/>
  <c r="G460" i="1"/>
  <c r="F460" i="1"/>
  <c r="E460" i="1"/>
  <c r="D460" i="1"/>
  <c r="C460" i="1"/>
  <c r="B460" i="1"/>
  <c r="A460" i="1"/>
  <c r="J459" i="1"/>
  <c r="I459" i="1"/>
  <c r="H459" i="1"/>
  <c r="G459" i="1"/>
  <c r="F459" i="1"/>
  <c r="E459" i="1"/>
  <c r="D459" i="1"/>
  <c r="C459" i="1"/>
  <c r="B459" i="1"/>
  <c r="A459" i="1"/>
  <c r="J458" i="1"/>
  <c r="I458" i="1"/>
  <c r="H458" i="1"/>
  <c r="G458" i="1"/>
  <c r="F458" i="1"/>
  <c r="E458" i="1"/>
  <c r="D458" i="1"/>
  <c r="C458" i="1"/>
  <c r="B458" i="1"/>
  <c r="A458" i="1"/>
  <c r="J457" i="1"/>
  <c r="I457" i="1"/>
  <c r="H457" i="1"/>
  <c r="G457" i="1"/>
  <c r="F457" i="1"/>
  <c r="E457" i="1"/>
  <c r="D457" i="1"/>
  <c r="C457" i="1"/>
  <c r="B457" i="1"/>
  <c r="A457" i="1"/>
  <c r="J456" i="1"/>
  <c r="I456" i="1"/>
  <c r="H456" i="1"/>
  <c r="G456" i="1"/>
  <c r="F456" i="1"/>
  <c r="E456" i="1"/>
  <c r="D456" i="1"/>
  <c r="C456" i="1"/>
  <c r="B456" i="1"/>
  <c r="A456" i="1"/>
  <c r="J455" i="1"/>
  <c r="I455" i="1"/>
  <c r="H455" i="1"/>
  <c r="G455" i="1"/>
  <c r="F455" i="1"/>
  <c r="E455" i="1"/>
  <c r="D455" i="1"/>
  <c r="C455" i="1"/>
  <c r="B455" i="1"/>
  <c r="A455" i="1"/>
  <c r="J454" i="1"/>
  <c r="I454" i="1"/>
  <c r="H454" i="1"/>
  <c r="G454" i="1"/>
  <c r="F454" i="1"/>
  <c r="E454" i="1"/>
  <c r="D454" i="1"/>
  <c r="C454" i="1"/>
  <c r="B454" i="1"/>
  <c r="A454" i="1"/>
  <c r="J453" i="1"/>
  <c r="I453" i="1"/>
  <c r="H453" i="1"/>
  <c r="G453" i="1"/>
  <c r="F453" i="1"/>
  <c r="E453" i="1"/>
  <c r="D453" i="1"/>
  <c r="C453" i="1"/>
  <c r="B453" i="1"/>
  <c r="A453" i="1"/>
  <c r="J452" i="1"/>
  <c r="I452" i="1"/>
  <c r="H452" i="1"/>
  <c r="G452" i="1"/>
  <c r="F452" i="1"/>
  <c r="E452" i="1"/>
  <c r="D452" i="1"/>
  <c r="C452" i="1"/>
  <c r="B452" i="1"/>
  <c r="A452" i="1"/>
  <c r="J451" i="1"/>
  <c r="I451" i="1"/>
  <c r="H451" i="1"/>
  <c r="G451" i="1"/>
  <c r="F451" i="1"/>
  <c r="E451" i="1"/>
  <c r="D451" i="1"/>
  <c r="C451" i="1"/>
  <c r="B451" i="1"/>
  <c r="A451" i="1"/>
  <c r="J450" i="1"/>
  <c r="I450" i="1"/>
  <c r="H450" i="1"/>
  <c r="G450" i="1"/>
  <c r="F450" i="1"/>
  <c r="E450" i="1"/>
  <c r="D450" i="1"/>
  <c r="C450" i="1"/>
  <c r="B450" i="1"/>
  <c r="A450" i="1"/>
  <c r="J449" i="1"/>
  <c r="I449" i="1"/>
  <c r="H449" i="1"/>
  <c r="G449" i="1"/>
  <c r="F449" i="1"/>
  <c r="E449" i="1"/>
  <c r="D449" i="1"/>
  <c r="C449" i="1"/>
  <c r="B449" i="1"/>
  <c r="A449" i="1"/>
  <c r="J448" i="1"/>
  <c r="I448" i="1"/>
  <c r="H448" i="1"/>
  <c r="G448" i="1"/>
  <c r="F448" i="1"/>
  <c r="E448" i="1"/>
  <c r="D448" i="1"/>
  <c r="C448" i="1"/>
  <c r="B448" i="1"/>
  <c r="A448" i="1"/>
  <c r="J447" i="1"/>
  <c r="I447" i="1"/>
  <c r="H447" i="1"/>
  <c r="G447" i="1"/>
  <c r="F447" i="1"/>
  <c r="E447" i="1"/>
  <c r="D447" i="1"/>
  <c r="C447" i="1"/>
  <c r="B447" i="1"/>
  <c r="A447" i="1"/>
  <c r="J446" i="1"/>
  <c r="I446" i="1"/>
  <c r="H446" i="1"/>
  <c r="G446" i="1"/>
  <c r="F446" i="1"/>
  <c r="E446" i="1"/>
  <c r="D446" i="1"/>
  <c r="C446" i="1"/>
  <c r="B446" i="1"/>
  <c r="A446" i="1"/>
  <c r="J445" i="1"/>
  <c r="I445" i="1"/>
  <c r="H445" i="1"/>
  <c r="G445" i="1"/>
  <c r="F445" i="1"/>
  <c r="E445" i="1"/>
  <c r="D445" i="1"/>
  <c r="C445" i="1"/>
  <c r="B445" i="1"/>
  <c r="A445" i="1"/>
  <c r="J444" i="1"/>
  <c r="I444" i="1"/>
  <c r="H444" i="1"/>
  <c r="G444" i="1"/>
  <c r="F444" i="1"/>
  <c r="E444" i="1"/>
  <c r="D444" i="1"/>
  <c r="C444" i="1"/>
  <c r="B444" i="1"/>
  <c r="A444" i="1"/>
  <c r="J443" i="1"/>
  <c r="I443" i="1"/>
  <c r="H443" i="1"/>
  <c r="G443" i="1"/>
  <c r="F443" i="1"/>
  <c r="E443" i="1"/>
  <c r="D443" i="1"/>
  <c r="C443" i="1"/>
  <c r="B443" i="1"/>
  <c r="A443" i="1"/>
  <c r="J442" i="1"/>
  <c r="I442" i="1"/>
  <c r="H442" i="1"/>
  <c r="G442" i="1"/>
  <c r="F442" i="1"/>
  <c r="E442" i="1"/>
  <c r="D442" i="1"/>
  <c r="C442" i="1"/>
  <c r="B442" i="1"/>
  <c r="A442" i="1"/>
  <c r="J441" i="1"/>
  <c r="I441" i="1"/>
  <c r="H441" i="1"/>
  <c r="G441" i="1"/>
  <c r="F441" i="1"/>
  <c r="E441" i="1"/>
  <c r="D441" i="1"/>
  <c r="C441" i="1"/>
  <c r="B441" i="1"/>
  <c r="A441" i="1"/>
  <c r="J440" i="1"/>
  <c r="I440" i="1"/>
  <c r="H440" i="1"/>
  <c r="G440" i="1"/>
  <c r="F440" i="1"/>
  <c r="E440" i="1"/>
  <c r="D440" i="1"/>
  <c r="C440" i="1"/>
  <c r="B440" i="1"/>
  <c r="A440" i="1"/>
  <c r="J439" i="1"/>
  <c r="I439" i="1"/>
  <c r="H439" i="1"/>
  <c r="G439" i="1"/>
  <c r="F439" i="1"/>
  <c r="E439" i="1"/>
  <c r="D439" i="1"/>
  <c r="C439" i="1"/>
  <c r="B439" i="1"/>
  <c r="A439" i="1"/>
  <c r="J438" i="1"/>
  <c r="I438" i="1"/>
  <c r="H438" i="1"/>
  <c r="G438" i="1"/>
  <c r="F438" i="1"/>
  <c r="E438" i="1"/>
  <c r="D438" i="1"/>
  <c r="C438" i="1"/>
  <c r="B438" i="1"/>
  <c r="A438" i="1"/>
  <c r="J437" i="1"/>
  <c r="I437" i="1"/>
  <c r="H437" i="1"/>
  <c r="G437" i="1"/>
  <c r="F437" i="1"/>
  <c r="E437" i="1"/>
  <c r="D437" i="1"/>
  <c r="C437" i="1"/>
  <c r="B437" i="1"/>
  <c r="A437" i="1"/>
  <c r="J436" i="1"/>
  <c r="I436" i="1"/>
  <c r="H436" i="1"/>
  <c r="G436" i="1"/>
  <c r="F436" i="1"/>
  <c r="E436" i="1"/>
  <c r="D436" i="1"/>
  <c r="C436" i="1"/>
  <c r="B436" i="1"/>
  <c r="A436" i="1"/>
  <c r="J435" i="1"/>
  <c r="H435" i="1"/>
  <c r="G435" i="1"/>
  <c r="F435" i="1"/>
  <c r="E435" i="1"/>
  <c r="D435" i="1"/>
  <c r="C435" i="1"/>
  <c r="B435" i="1"/>
  <c r="A435" i="1"/>
  <c r="J434" i="1"/>
  <c r="H434" i="1"/>
  <c r="G434" i="1"/>
  <c r="F434" i="1"/>
  <c r="E434" i="1"/>
  <c r="D434" i="1"/>
  <c r="C434" i="1"/>
  <c r="B434" i="1"/>
  <c r="A434" i="1"/>
  <c r="J433" i="1"/>
  <c r="H433" i="1"/>
  <c r="G433" i="1"/>
  <c r="F433" i="1"/>
  <c r="E433" i="1"/>
  <c r="D433" i="1"/>
  <c r="C433" i="1"/>
  <c r="B433" i="1"/>
  <c r="A433" i="1"/>
  <c r="J432" i="1"/>
  <c r="H432" i="1"/>
  <c r="G432" i="1"/>
  <c r="F432" i="1"/>
  <c r="E432" i="1"/>
  <c r="D432" i="1"/>
  <c r="C432" i="1"/>
  <c r="B432" i="1"/>
  <c r="A432" i="1"/>
  <c r="J431" i="1"/>
  <c r="H431" i="1"/>
  <c r="G431" i="1"/>
  <c r="F431" i="1"/>
  <c r="E431" i="1"/>
  <c r="D431" i="1"/>
  <c r="C431" i="1"/>
  <c r="B431" i="1"/>
  <c r="A431" i="1"/>
  <c r="J430" i="1"/>
  <c r="H430" i="1"/>
  <c r="G430" i="1"/>
  <c r="F430" i="1"/>
  <c r="E430" i="1"/>
  <c r="D430" i="1"/>
  <c r="C430" i="1"/>
  <c r="B430" i="1"/>
  <c r="A430" i="1"/>
  <c r="J429" i="1"/>
  <c r="H429" i="1"/>
  <c r="G429" i="1"/>
  <c r="F429" i="1"/>
  <c r="E429" i="1"/>
  <c r="D429" i="1"/>
  <c r="C429" i="1"/>
  <c r="B429" i="1"/>
  <c r="A429" i="1"/>
  <c r="J428" i="1"/>
  <c r="I428" i="1"/>
  <c r="H428" i="1"/>
  <c r="G428" i="1"/>
  <c r="F428" i="1"/>
  <c r="E428" i="1"/>
  <c r="D428" i="1"/>
  <c r="C428" i="1"/>
  <c r="B428" i="1"/>
  <c r="A428" i="1"/>
  <c r="J427" i="1"/>
  <c r="I427" i="1"/>
  <c r="H427" i="1"/>
  <c r="G427" i="1"/>
  <c r="F427" i="1"/>
  <c r="E427" i="1"/>
  <c r="D427" i="1"/>
  <c r="C427" i="1"/>
  <c r="B427" i="1"/>
  <c r="A427" i="1"/>
  <c r="J426" i="1"/>
  <c r="I426" i="1"/>
  <c r="H426" i="1"/>
  <c r="G426" i="1"/>
  <c r="F426" i="1"/>
  <c r="E426" i="1"/>
  <c r="D426" i="1"/>
  <c r="C426" i="1"/>
  <c r="B426" i="1"/>
  <c r="A426" i="1"/>
  <c r="J425" i="1"/>
  <c r="I425" i="1"/>
  <c r="H425" i="1"/>
  <c r="G425" i="1"/>
  <c r="F425" i="1"/>
  <c r="E425" i="1"/>
  <c r="D425" i="1"/>
  <c r="C425" i="1"/>
  <c r="B425" i="1"/>
  <c r="A425" i="1"/>
  <c r="J424" i="1"/>
  <c r="I424" i="1"/>
  <c r="H424" i="1"/>
  <c r="G424" i="1"/>
  <c r="F424" i="1"/>
  <c r="E424" i="1"/>
  <c r="D424" i="1"/>
  <c r="C424" i="1"/>
  <c r="B424" i="1"/>
  <c r="A424" i="1"/>
  <c r="J423" i="1"/>
  <c r="I423" i="1"/>
  <c r="H423" i="1"/>
  <c r="G423" i="1"/>
  <c r="F423" i="1"/>
  <c r="E423" i="1"/>
  <c r="D423" i="1"/>
  <c r="C423" i="1"/>
  <c r="B423" i="1"/>
  <c r="A423" i="1"/>
  <c r="J422" i="1"/>
  <c r="I422" i="1"/>
  <c r="H422" i="1"/>
  <c r="G422" i="1"/>
  <c r="F422" i="1"/>
  <c r="E422" i="1"/>
  <c r="D422" i="1"/>
  <c r="C422" i="1"/>
  <c r="B422" i="1"/>
  <c r="A422" i="1"/>
  <c r="J421" i="1"/>
  <c r="I421" i="1"/>
  <c r="H421" i="1"/>
  <c r="G421" i="1"/>
  <c r="F421" i="1"/>
  <c r="E421" i="1"/>
  <c r="D421" i="1"/>
  <c r="C421" i="1"/>
  <c r="B421" i="1"/>
  <c r="A421" i="1"/>
  <c r="J420" i="1"/>
  <c r="I420" i="1"/>
  <c r="H420" i="1"/>
  <c r="G420" i="1"/>
  <c r="F420" i="1"/>
  <c r="E420" i="1"/>
  <c r="D420" i="1"/>
  <c r="C420" i="1"/>
  <c r="B420" i="1"/>
  <c r="A420" i="1"/>
  <c r="J419" i="1"/>
  <c r="I419" i="1"/>
  <c r="H419" i="1"/>
  <c r="G419" i="1"/>
  <c r="F419" i="1"/>
  <c r="E419" i="1"/>
  <c r="D419" i="1"/>
  <c r="C419" i="1"/>
  <c r="B419" i="1"/>
  <c r="A419" i="1"/>
  <c r="J418" i="1"/>
  <c r="I418" i="1"/>
  <c r="H418" i="1"/>
  <c r="G418" i="1"/>
  <c r="F418" i="1"/>
  <c r="E418" i="1"/>
  <c r="D418" i="1"/>
  <c r="C418" i="1"/>
  <c r="B418" i="1"/>
  <c r="A418" i="1"/>
  <c r="J417" i="1"/>
  <c r="I417" i="1"/>
  <c r="H417" i="1"/>
  <c r="G417" i="1"/>
  <c r="F417" i="1"/>
  <c r="E417" i="1"/>
  <c r="D417" i="1"/>
  <c r="C417" i="1"/>
  <c r="B417" i="1"/>
  <c r="A417" i="1"/>
  <c r="J416" i="1"/>
  <c r="I416" i="1"/>
  <c r="H416" i="1"/>
  <c r="G416" i="1"/>
  <c r="F416" i="1"/>
  <c r="E416" i="1"/>
  <c r="D416" i="1"/>
  <c r="C416" i="1"/>
  <c r="B416" i="1"/>
  <c r="A416" i="1"/>
  <c r="J415" i="1"/>
  <c r="I415" i="1"/>
  <c r="H415" i="1"/>
  <c r="G415" i="1"/>
  <c r="F415" i="1"/>
  <c r="E415" i="1"/>
  <c r="D415" i="1"/>
  <c r="C415" i="1"/>
  <c r="B415" i="1"/>
  <c r="A415" i="1"/>
  <c r="J414" i="1"/>
  <c r="I414" i="1"/>
  <c r="H414" i="1"/>
  <c r="G414" i="1"/>
  <c r="F414" i="1"/>
  <c r="E414" i="1"/>
  <c r="D414" i="1"/>
  <c r="C414" i="1"/>
  <c r="B414" i="1"/>
  <c r="A414" i="1"/>
  <c r="J413" i="1"/>
  <c r="I413" i="1"/>
  <c r="H413" i="1"/>
  <c r="G413" i="1"/>
  <c r="F413" i="1"/>
  <c r="E413" i="1"/>
  <c r="D413" i="1"/>
  <c r="C413" i="1"/>
  <c r="B413" i="1"/>
  <c r="A413" i="1"/>
  <c r="J412" i="1"/>
  <c r="I412" i="1"/>
  <c r="H412" i="1"/>
  <c r="G412" i="1"/>
  <c r="F412" i="1"/>
  <c r="E412" i="1"/>
  <c r="D412" i="1"/>
  <c r="C412" i="1"/>
  <c r="B412" i="1"/>
  <c r="A412" i="1"/>
  <c r="J411" i="1"/>
  <c r="I411" i="1"/>
  <c r="H411" i="1"/>
  <c r="G411" i="1"/>
  <c r="F411" i="1"/>
  <c r="E411" i="1"/>
  <c r="D411" i="1"/>
  <c r="C411" i="1"/>
  <c r="B411" i="1"/>
  <c r="A411" i="1"/>
  <c r="J410" i="1"/>
  <c r="I410" i="1"/>
  <c r="H410" i="1"/>
  <c r="G410" i="1"/>
  <c r="F410" i="1"/>
  <c r="E410" i="1"/>
  <c r="D410" i="1"/>
  <c r="C410" i="1"/>
  <c r="B410" i="1"/>
  <c r="A410" i="1"/>
  <c r="J409" i="1"/>
  <c r="I409" i="1"/>
  <c r="H409" i="1"/>
  <c r="G409" i="1"/>
  <c r="F409" i="1"/>
  <c r="E409" i="1"/>
  <c r="D409" i="1"/>
  <c r="C409" i="1"/>
  <c r="B409" i="1"/>
  <c r="A409" i="1"/>
  <c r="J408" i="1"/>
  <c r="I408" i="1"/>
  <c r="H408" i="1"/>
  <c r="G408" i="1"/>
  <c r="F408" i="1"/>
  <c r="E408" i="1"/>
  <c r="D408" i="1"/>
  <c r="C408" i="1"/>
  <c r="B408" i="1"/>
  <c r="A408" i="1"/>
  <c r="J407" i="1"/>
  <c r="I407" i="1"/>
  <c r="H407" i="1"/>
  <c r="G407" i="1"/>
  <c r="F407" i="1"/>
  <c r="E407" i="1"/>
  <c r="D407" i="1"/>
  <c r="C407" i="1"/>
  <c r="B407" i="1"/>
  <c r="A407" i="1"/>
  <c r="J406" i="1"/>
  <c r="I406" i="1"/>
  <c r="H406" i="1"/>
  <c r="G406" i="1"/>
  <c r="F406" i="1"/>
  <c r="E406" i="1"/>
  <c r="D406" i="1"/>
  <c r="C406" i="1"/>
  <c r="B406" i="1"/>
  <c r="A406" i="1"/>
  <c r="J405" i="1"/>
  <c r="I405" i="1"/>
  <c r="H405" i="1"/>
  <c r="G405" i="1"/>
  <c r="F405" i="1"/>
  <c r="E405" i="1"/>
  <c r="D405" i="1"/>
  <c r="C405" i="1"/>
  <c r="B405" i="1"/>
  <c r="A405" i="1"/>
  <c r="J404" i="1"/>
  <c r="I404" i="1"/>
  <c r="H404" i="1"/>
  <c r="G404" i="1"/>
  <c r="F404" i="1"/>
  <c r="E404" i="1"/>
  <c r="D404" i="1"/>
  <c r="C404" i="1"/>
  <c r="B404" i="1"/>
  <c r="A404" i="1"/>
  <c r="J403" i="1"/>
  <c r="I403" i="1"/>
  <c r="H403" i="1"/>
  <c r="G403" i="1"/>
  <c r="F403" i="1"/>
  <c r="E403" i="1"/>
  <c r="D403" i="1"/>
  <c r="C403" i="1"/>
  <c r="B403" i="1"/>
  <c r="A403" i="1"/>
  <c r="J402" i="1"/>
  <c r="I402" i="1"/>
  <c r="H402" i="1"/>
  <c r="G402" i="1"/>
  <c r="F402" i="1"/>
  <c r="E402" i="1"/>
  <c r="D402" i="1"/>
  <c r="C402" i="1"/>
  <c r="B402" i="1"/>
  <c r="A402" i="1"/>
  <c r="J401" i="1"/>
  <c r="I401" i="1"/>
  <c r="H401" i="1"/>
  <c r="G401" i="1"/>
  <c r="F401" i="1"/>
  <c r="E401" i="1"/>
  <c r="D401" i="1"/>
  <c r="C401" i="1"/>
  <c r="B401" i="1"/>
  <c r="A401" i="1"/>
  <c r="J400" i="1"/>
  <c r="I400" i="1"/>
  <c r="H400" i="1"/>
  <c r="G400" i="1"/>
  <c r="F400" i="1"/>
  <c r="E400" i="1"/>
  <c r="D400" i="1"/>
  <c r="C400" i="1"/>
  <c r="B400" i="1"/>
  <c r="A400" i="1"/>
  <c r="J399" i="1"/>
  <c r="I399" i="1"/>
  <c r="H399" i="1"/>
  <c r="G399" i="1"/>
  <c r="F399" i="1"/>
  <c r="E399" i="1"/>
  <c r="D399" i="1"/>
  <c r="C399" i="1"/>
  <c r="B399" i="1"/>
  <c r="A399" i="1"/>
  <c r="J398" i="1"/>
  <c r="I398" i="1"/>
  <c r="H398" i="1"/>
  <c r="G398" i="1"/>
  <c r="F398" i="1"/>
  <c r="E398" i="1"/>
  <c r="D398" i="1"/>
  <c r="C398" i="1"/>
  <c r="B398" i="1"/>
  <c r="A398" i="1"/>
  <c r="J397" i="1"/>
  <c r="I397" i="1"/>
  <c r="H397" i="1"/>
  <c r="G397" i="1"/>
  <c r="F397" i="1"/>
  <c r="E397" i="1"/>
  <c r="D397" i="1"/>
  <c r="C397" i="1"/>
  <c r="B397" i="1"/>
  <c r="A397" i="1"/>
  <c r="J396" i="1"/>
  <c r="I396" i="1"/>
  <c r="H396" i="1"/>
  <c r="G396" i="1"/>
  <c r="F396" i="1"/>
  <c r="E396" i="1"/>
  <c r="D396" i="1"/>
  <c r="C396" i="1"/>
  <c r="B396" i="1"/>
  <c r="A396" i="1"/>
  <c r="J395" i="1"/>
  <c r="I395" i="1"/>
  <c r="H395" i="1"/>
  <c r="G395" i="1"/>
  <c r="F395" i="1"/>
  <c r="E395" i="1"/>
  <c r="D395" i="1"/>
  <c r="C395" i="1"/>
  <c r="B395" i="1"/>
  <c r="A395" i="1"/>
  <c r="J394" i="1"/>
  <c r="I394" i="1"/>
  <c r="H394" i="1"/>
  <c r="G394" i="1"/>
  <c r="F394" i="1"/>
  <c r="E394" i="1"/>
  <c r="D394" i="1"/>
  <c r="C394" i="1"/>
  <c r="B394" i="1"/>
  <c r="A394" i="1"/>
  <c r="J393" i="1"/>
  <c r="I393" i="1"/>
  <c r="H393" i="1"/>
  <c r="G393" i="1"/>
  <c r="F393" i="1"/>
  <c r="E393" i="1"/>
  <c r="D393" i="1"/>
  <c r="C393" i="1"/>
  <c r="B393" i="1"/>
  <c r="A393" i="1"/>
  <c r="J392" i="1"/>
  <c r="I392" i="1"/>
  <c r="H392" i="1"/>
  <c r="G392" i="1"/>
  <c r="F392" i="1"/>
  <c r="E392" i="1"/>
  <c r="D392" i="1"/>
  <c r="C392" i="1"/>
  <c r="B392" i="1"/>
  <c r="A392" i="1"/>
  <c r="J391" i="1"/>
  <c r="I391" i="1"/>
  <c r="H391" i="1"/>
  <c r="G391" i="1"/>
  <c r="F391" i="1"/>
  <c r="E391" i="1"/>
  <c r="D391" i="1"/>
  <c r="C391" i="1"/>
  <c r="B391" i="1"/>
  <c r="A391" i="1"/>
  <c r="J390" i="1"/>
  <c r="I390" i="1"/>
  <c r="H390" i="1"/>
  <c r="G390" i="1"/>
  <c r="F390" i="1"/>
  <c r="E390" i="1"/>
  <c r="D390" i="1"/>
  <c r="C390" i="1"/>
  <c r="B390" i="1"/>
  <c r="A390" i="1"/>
  <c r="J389" i="1"/>
  <c r="I389" i="1"/>
  <c r="H389" i="1"/>
  <c r="G389" i="1"/>
  <c r="F389" i="1"/>
  <c r="E389" i="1"/>
  <c r="D389" i="1"/>
  <c r="C389" i="1"/>
  <c r="B389" i="1"/>
  <c r="A389" i="1"/>
  <c r="J388" i="1"/>
  <c r="I388" i="1"/>
  <c r="H388" i="1"/>
  <c r="G388" i="1"/>
  <c r="F388" i="1"/>
  <c r="E388" i="1"/>
  <c r="D388" i="1"/>
  <c r="C388" i="1"/>
  <c r="B388" i="1"/>
  <c r="A388" i="1"/>
  <c r="J387" i="1"/>
  <c r="I387" i="1"/>
  <c r="H387" i="1"/>
  <c r="G387" i="1"/>
  <c r="F387" i="1"/>
  <c r="E387" i="1"/>
  <c r="D387" i="1"/>
  <c r="C387" i="1"/>
  <c r="B387" i="1"/>
  <c r="A387" i="1"/>
  <c r="J386" i="1"/>
  <c r="I386" i="1"/>
  <c r="H386" i="1"/>
  <c r="G386" i="1"/>
  <c r="F386" i="1"/>
  <c r="E386" i="1"/>
  <c r="D386" i="1"/>
  <c r="C386" i="1"/>
  <c r="B386" i="1"/>
  <c r="A386" i="1"/>
  <c r="J385" i="1"/>
  <c r="I385" i="1"/>
  <c r="H385" i="1"/>
  <c r="G385" i="1"/>
  <c r="F385" i="1"/>
  <c r="E385" i="1"/>
  <c r="D385" i="1"/>
  <c r="C385" i="1"/>
  <c r="B385" i="1"/>
  <c r="A385" i="1"/>
  <c r="J384" i="1"/>
  <c r="I384" i="1"/>
  <c r="H384" i="1"/>
  <c r="G384" i="1"/>
  <c r="F384" i="1"/>
  <c r="E384" i="1"/>
  <c r="D384" i="1"/>
  <c r="C384" i="1"/>
  <c r="B384" i="1"/>
  <c r="A384" i="1"/>
  <c r="J383" i="1"/>
  <c r="I383" i="1"/>
  <c r="H383" i="1"/>
  <c r="G383" i="1"/>
  <c r="F383" i="1"/>
  <c r="E383" i="1"/>
  <c r="D383" i="1"/>
  <c r="C383" i="1"/>
  <c r="B383" i="1"/>
  <c r="A383" i="1"/>
  <c r="J382" i="1"/>
  <c r="I382" i="1"/>
  <c r="H382" i="1"/>
  <c r="G382" i="1"/>
  <c r="F382" i="1"/>
  <c r="E382" i="1"/>
  <c r="D382" i="1"/>
  <c r="C382" i="1"/>
  <c r="B382" i="1"/>
  <c r="A382" i="1"/>
  <c r="J381" i="1"/>
  <c r="I381" i="1"/>
  <c r="H381" i="1"/>
  <c r="G381" i="1"/>
  <c r="F381" i="1"/>
  <c r="E381" i="1"/>
  <c r="D381" i="1"/>
  <c r="C381" i="1"/>
  <c r="B381" i="1"/>
  <c r="A381" i="1"/>
  <c r="J380" i="1"/>
  <c r="I380" i="1"/>
  <c r="H380" i="1"/>
  <c r="G380" i="1"/>
  <c r="F380" i="1"/>
  <c r="E380" i="1"/>
  <c r="D380" i="1"/>
  <c r="C380" i="1"/>
  <c r="B380" i="1"/>
  <c r="A380" i="1"/>
  <c r="J379" i="1"/>
  <c r="I379" i="1"/>
  <c r="H379" i="1"/>
  <c r="G379" i="1"/>
  <c r="F379" i="1"/>
  <c r="E379" i="1"/>
  <c r="D379" i="1"/>
  <c r="C379" i="1"/>
  <c r="B379" i="1"/>
  <c r="A379" i="1"/>
  <c r="J378" i="1"/>
  <c r="I378" i="1"/>
  <c r="H378" i="1"/>
  <c r="G378" i="1"/>
  <c r="F378" i="1"/>
  <c r="E378" i="1"/>
  <c r="D378" i="1"/>
  <c r="C378" i="1"/>
  <c r="B378" i="1"/>
  <c r="A378" i="1"/>
  <c r="J377" i="1"/>
  <c r="I377" i="1"/>
  <c r="H377" i="1"/>
  <c r="G377" i="1"/>
  <c r="F377" i="1"/>
  <c r="E377" i="1"/>
  <c r="D377" i="1"/>
  <c r="C377" i="1"/>
  <c r="B377" i="1"/>
  <c r="A377" i="1"/>
  <c r="J376" i="1"/>
  <c r="I376" i="1"/>
  <c r="H376" i="1"/>
  <c r="G376" i="1"/>
  <c r="F376" i="1"/>
  <c r="E376" i="1"/>
  <c r="D376" i="1"/>
  <c r="C376" i="1"/>
  <c r="B376" i="1"/>
  <c r="A376" i="1"/>
  <c r="J375" i="1"/>
  <c r="I375" i="1"/>
  <c r="H375" i="1"/>
  <c r="G375" i="1"/>
  <c r="F375" i="1"/>
  <c r="E375" i="1"/>
  <c r="D375" i="1"/>
  <c r="C375" i="1"/>
  <c r="B375" i="1"/>
  <c r="A375" i="1"/>
  <c r="J374" i="1"/>
  <c r="I374" i="1"/>
  <c r="H374" i="1"/>
  <c r="G374" i="1"/>
  <c r="F374" i="1"/>
  <c r="E374" i="1"/>
  <c r="D374" i="1"/>
  <c r="C374" i="1"/>
  <c r="B374" i="1"/>
  <c r="A374" i="1"/>
  <c r="J373" i="1"/>
  <c r="I373" i="1"/>
  <c r="H373" i="1"/>
  <c r="G373" i="1"/>
  <c r="F373" i="1"/>
  <c r="E373" i="1"/>
  <c r="D373" i="1"/>
  <c r="C373" i="1"/>
  <c r="B373" i="1"/>
  <c r="A373" i="1"/>
  <c r="J372" i="1"/>
  <c r="I372" i="1"/>
  <c r="H372" i="1"/>
  <c r="G372" i="1"/>
  <c r="F372" i="1"/>
  <c r="E372" i="1"/>
  <c r="D372" i="1"/>
  <c r="C372" i="1"/>
  <c r="B372" i="1"/>
  <c r="A372" i="1"/>
  <c r="J371" i="1"/>
  <c r="I371" i="1"/>
  <c r="H371" i="1"/>
  <c r="G371" i="1"/>
  <c r="F371" i="1"/>
  <c r="E371" i="1"/>
  <c r="D371" i="1"/>
  <c r="C371" i="1"/>
  <c r="B371" i="1"/>
  <c r="A371" i="1"/>
  <c r="J370" i="1"/>
  <c r="I370" i="1"/>
  <c r="H370" i="1"/>
  <c r="G370" i="1"/>
  <c r="F370" i="1"/>
  <c r="E370" i="1"/>
  <c r="D370" i="1"/>
  <c r="C370" i="1"/>
  <c r="B370" i="1"/>
  <c r="A370" i="1"/>
  <c r="J369" i="1"/>
  <c r="I369" i="1"/>
  <c r="H369" i="1"/>
  <c r="G369" i="1"/>
  <c r="F369" i="1"/>
  <c r="E369" i="1"/>
  <c r="D369" i="1"/>
  <c r="C369" i="1"/>
  <c r="B369" i="1"/>
  <c r="A369" i="1"/>
  <c r="J368" i="1"/>
  <c r="I368" i="1"/>
  <c r="H368" i="1"/>
  <c r="G368" i="1"/>
  <c r="F368" i="1"/>
  <c r="E368" i="1"/>
  <c r="D368" i="1"/>
  <c r="C368" i="1"/>
  <c r="B368" i="1"/>
  <c r="A368" i="1"/>
  <c r="J367" i="1"/>
  <c r="I367" i="1"/>
  <c r="H367" i="1"/>
  <c r="G367" i="1"/>
  <c r="F367" i="1"/>
  <c r="E367" i="1"/>
  <c r="D367" i="1"/>
  <c r="C367" i="1"/>
  <c r="B367" i="1"/>
  <c r="A367" i="1"/>
  <c r="J366" i="1"/>
  <c r="I366" i="1"/>
  <c r="H366" i="1"/>
  <c r="G366" i="1"/>
  <c r="F366" i="1"/>
  <c r="E366" i="1"/>
  <c r="D366" i="1"/>
  <c r="C366" i="1"/>
  <c r="B366" i="1"/>
  <c r="A366" i="1"/>
  <c r="J365" i="1"/>
  <c r="I365" i="1"/>
  <c r="H365" i="1"/>
  <c r="G365" i="1"/>
  <c r="F365" i="1"/>
  <c r="E365" i="1"/>
  <c r="D365" i="1"/>
  <c r="C365" i="1"/>
  <c r="B365" i="1"/>
  <c r="A365" i="1"/>
  <c r="J364" i="1"/>
  <c r="I364" i="1"/>
  <c r="H364" i="1"/>
  <c r="G364" i="1"/>
  <c r="F364" i="1"/>
  <c r="E364" i="1"/>
  <c r="D364" i="1"/>
  <c r="C364" i="1"/>
  <c r="B364" i="1"/>
  <c r="A364" i="1"/>
  <c r="J363" i="1"/>
  <c r="I363" i="1"/>
  <c r="H363" i="1"/>
  <c r="G363" i="1"/>
  <c r="F363" i="1"/>
  <c r="E363" i="1"/>
  <c r="D363" i="1"/>
  <c r="C363" i="1"/>
  <c r="B363" i="1"/>
  <c r="A363" i="1"/>
  <c r="J362" i="1"/>
  <c r="I362" i="1"/>
  <c r="H362" i="1"/>
  <c r="G362" i="1"/>
  <c r="F362" i="1"/>
  <c r="E362" i="1"/>
  <c r="D362" i="1"/>
  <c r="C362" i="1"/>
  <c r="B362" i="1"/>
  <c r="A362" i="1"/>
  <c r="J361" i="1"/>
  <c r="I361" i="1"/>
  <c r="H361" i="1"/>
  <c r="G361" i="1"/>
  <c r="F361" i="1"/>
  <c r="E361" i="1"/>
  <c r="D361" i="1"/>
  <c r="C361" i="1"/>
  <c r="B361" i="1"/>
  <c r="A361" i="1"/>
  <c r="J360" i="1"/>
  <c r="I360" i="1"/>
  <c r="H360" i="1"/>
  <c r="G360" i="1"/>
  <c r="F360" i="1"/>
  <c r="E360" i="1"/>
  <c r="D360" i="1"/>
  <c r="C360" i="1"/>
  <c r="B360" i="1"/>
  <c r="A360" i="1"/>
  <c r="J359" i="1"/>
  <c r="I359" i="1"/>
  <c r="H359" i="1"/>
  <c r="G359" i="1"/>
  <c r="F359" i="1"/>
  <c r="E359" i="1"/>
  <c r="D359" i="1"/>
  <c r="C359" i="1"/>
  <c r="B359" i="1"/>
  <c r="A359" i="1"/>
  <c r="J358" i="1"/>
  <c r="I358" i="1"/>
  <c r="H358" i="1"/>
  <c r="G358" i="1"/>
  <c r="F358" i="1"/>
  <c r="E358" i="1"/>
  <c r="D358" i="1"/>
  <c r="C358" i="1"/>
  <c r="B358" i="1"/>
  <c r="A358" i="1"/>
  <c r="J357" i="1"/>
  <c r="I357" i="1"/>
  <c r="H357" i="1"/>
  <c r="G357" i="1"/>
  <c r="F357" i="1"/>
  <c r="E357" i="1"/>
  <c r="D357" i="1"/>
  <c r="C357" i="1"/>
  <c r="B357" i="1"/>
  <c r="A357" i="1"/>
  <c r="J356" i="1"/>
  <c r="I356" i="1"/>
  <c r="H356" i="1"/>
  <c r="G356" i="1"/>
  <c r="F356" i="1"/>
  <c r="E356" i="1"/>
  <c r="D356" i="1"/>
  <c r="C356" i="1"/>
  <c r="B356" i="1"/>
  <c r="A356" i="1"/>
  <c r="J355" i="1"/>
  <c r="I355" i="1"/>
  <c r="H355" i="1"/>
  <c r="G355" i="1"/>
  <c r="F355" i="1"/>
  <c r="E355" i="1"/>
  <c r="D355" i="1"/>
  <c r="C355" i="1"/>
  <c r="B355" i="1"/>
  <c r="A355" i="1"/>
  <c r="J354" i="1"/>
  <c r="I354" i="1"/>
  <c r="H354" i="1"/>
  <c r="G354" i="1"/>
  <c r="F354" i="1"/>
  <c r="E354" i="1"/>
  <c r="D354" i="1"/>
  <c r="C354" i="1"/>
  <c r="B354" i="1"/>
  <c r="A354" i="1"/>
  <c r="J353" i="1"/>
  <c r="I353" i="1"/>
  <c r="H353" i="1"/>
  <c r="G353" i="1"/>
  <c r="F353" i="1"/>
  <c r="E353" i="1"/>
  <c r="D353" i="1"/>
  <c r="C353" i="1"/>
  <c r="B353" i="1"/>
  <c r="A353" i="1"/>
  <c r="J352" i="1"/>
  <c r="I352" i="1"/>
  <c r="H352" i="1"/>
  <c r="G352" i="1"/>
  <c r="F352" i="1"/>
  <c r="E352" i="1"/>
  <c r="D352" i="1"/>
  <c r="C352" i="1"/>
  <c r="B352" i="1"/>
  <c r="A352" i="1"/>
  <c r="J351" i="1"/>
  <c r="H351" i="1"/>
  <c r="G351" i="1"/>
  <c r="F351" i="1"/>
  <c r="E351" i="1"/>
  <c r="D351" i="1"/>
  <c r="C351" i="1"/>
  <c r="B351" i="1"/>
  <c r="A351" i="1"/>
  <c r="J350" i="1"/>
  <c r="H350" i="1"/>
  <c r="G350" i="1"/>
  <c r="F350" i="1"/>
  <c r="E350" i="1"/>
  <c r="D350" i="1"/>
  <c r="C350" i="1"/>
  <c r="B350" i="1"/>
  <c r="A350" i="1"/>
  <c r="J349" i="1"/>
  <c r="H349" i="1"/>
  <c r="G349" i="1"/>
  <c r="F349" i="1"/>
  <c r="E349" i="1"/>
  <c r="D349" i="1"/>
  <c r="C349" i="1"/>
  <c r="B349" i="1"/>
  <c r="A349" i="1"/>
  <c r="J348" i="1"/>
  <c r="H348" i="1"/>
  <c r="G348" i="1"/>
  <c r="F348" i="1"/>
  <c r="E348" i="1"/>
  <c r="D348" i="1"/>
  <c r="C348" i="1"/>
  <c r="B348" i="1"/>
  <c r="A348" i="1"/>
  <c r="J347" i="1"/>
  <c r="H347" i="1"/>
  <c r="G347" i="1"/>
  <c r="F347" i="1"/>
  <c r="E347" i="1"/>
  <c r="D347" i="1"/>
  <c r="C347" i="1"/>
  <c r="B347" i="1"/>
  <c r="A347" i="1"/>
  <c r="J346" i="1"/>
  <c r="H346" i="1"/>
  <c r="G346" i="1"/>
  <c r="F346" i="1"/>
  <c r="E346" i="1"/>
  <c r="D346" i="1"/>
  <c r="C346" i="1"/>
  <c r="B346" i="1"/>
  <c r="A346" i="1"/>
  <c r="J345" i="1"/>
  <c r="H345" i="1"/>
  <c r="G345" i="1"/>
  <c r="F345" i="1"/>
  <c r="E345" i="1"/>
  <c r="D345" i="1"/>
  <c r="C345" i="1"/>
  <c r="B345" i="1"/>
  <c r="A345" i="1"/>
  <c r="J344" i="1"/>
  <c r="I344" i="1"/>
  <c r="H344" i="1"/>
  <c r="G344" i="1"/>
  <c r="F344" i="1"/>
  <c r="E344" i="1"/>
  <c r="D344" i="1"/>
  <c r="C344" i="1"/>
  <c r="B344" i="1"/>
  <c r="A344" i="1"/>
  <c r="J343" i="1"/>
  <c r="I343" i="1"/>
  <c r="H343" i="1"/>
  <c r="G343" i="1"/>
  <c r="F343" i="1"/>
  <c r="E343" i="1"/>
  <c r="D343" i="1"/>
  <c r="C343" i="1"/>
  <c r="B343" i="1"/>
  <c r="A343" i="1"/>
  <c r="J342" i="1"/>
  <c r="I342" i="1"/>
  <c r="H342" i="1"/>
  <c r="G342" i="1"/>
  <c r="F342" i="1"/>
  <c r="E342" i="1"/>
  <c r="D342" i="1"/>
  <c r="C342" i="1"/>
  <c r="B342" i="1"/>
  <c r="A342" i="1"/>
  <c r="J341" i="1"/>
  <c r="I341" i="1"/>
  <c r="H341" i="1"/>
  <c r="G341" i="1"/>
  <c r="F341" i="1"/>
  <c r="E341" i="1"/>
  <c r="D341" i="1"/>
  <c r="C341" i="1"/>
  <c r="B341" i="1"/>
  <c r="A341" i="1"/>
  <c r="J340" i="1"/>
  <c r="I340" i="1"/>
  <c r="H340" i="1"/>
  <c r="G340" i="1"/>
  <c r="F340" i="1"/>
  <c r="E340" i="1"/>
  <c r="D340" i="1"/>
  <c r="C340" i="1"/>
  <c r="B340" i="1"/>
  <c r="A340" i="1"/>
  <c r="J339" i="1"/>
  <c r="I339" i="1"/>
  <c r="H339" i="1"/>
  <c r="G339" i="1"/>
  <c r="F339" i="1"/>
  <c r="E339" i="1"/>
  <c r="D339" i="1"/>
  <c r="C339" i="1"/>
  <c r="B339" i="1"/>
  <c r="A339" i="1"/>
  <c r="J338" i="1"/>
  <c r="I338" i="1"/>
  <c r="H338" i="1"/>
  <c r="G338" i="1"/>
  <c r="F338" i="1"/>
  <c r="E338" i="1"/>
  <c r="D338" i="1"/>
  <c r="C338" i="1"/>
  <c r="B338" i="1"/>
  <c r="A338" i="1"/>
  <c r="J337" i="1"/>
  <c r="I337" i="1"/>
  <c r="H337" i="1"/>
  <c r="G337" i="1"/>
  <c r="F337" i="1"/>
  <c r="E337" i="1"/>
  <c r="D337" i="1"/>
  <c r="C337" i="1"/>
  <c r="B337" i="1"/>
  <c r="A337" i="1"/>
  <c r="J336" i="1"/>
  <c r="I336" i="1"/>
  <c r="H336" i="1"/>
  <c r="G336" i="1"/>
  <c r="F336" i="1"/>
  <c r="E336" i="1"/>
  <c r="D336" i="1"/>
  <c r="C336" i="1"/>
  <c r="B336" i="1"/>
  <c r="A336" i="1"/>
  <c r="J335" i="1"/>
  <c r="I335" i="1"/>
  <c r="H335" i="1"/>
  <c r="G335" i="1"/>
  <c r="F335" i="1"/>
  <c r="E335" i="1"/>
  <c r="D335" i="1"/>
  <c r="C335" i="1"/>
  <c r="B335" i="1"/>
  <c r="A335" i="1"/>
  <c r="J334" i="1"/>
  <c r="I334" i="1"/>
  <c r="H334" i="1"/>
  <c r="G334" i="1"/>
  <c r="F334" i="1"/>
  <c r="E334" i="1"/>
  <c r="D334" i="1"/>
  <c r="C334" i="1"/>
  <c r="B334" i="1"/>
  <c r="A334" i="1"/>
  <c r="J333" i="1"/>
  <c r="I333" i="1"/>
  <c r="H333" i="1"/>
  <c r="G333" i="1"/>
  <c r="F333" i="1"/>
  <c r="E333" i="1"/>
  <c r="D333" i="1"/>
  <c r="C333" i="1"/>
  <c r="B333" i="1"/>
  <c r="A333" i="1"/>
  <c r="J332" i="1"/>
  <c r="I332" i="1"/>
  <c r="H332" i="1"/>
  <c r="G332" i="1"/>
  <c r="F332" i="1"/>
  <c r="E332" i="1"/>
  <c r="D332" i="1"/>
  <c r="C332" i="1"/>
  <c r="B332" i="1"/>
  <c r="A332" i="1"/>
  <c r="J331" i="1"/>
  <c r="I331" i="1"/>
  <c r="H331" i="1"/>
  <c r="G331" i="1"/>
  <c r="F331" i="1"/>
  <c r="E331" i="1"/>
  <c r="D331" i="1"/>
  <c r="C331" i="1"/>
  <c r="B331" i="1"/>
  <c r="A331" i="1"/>
  <c r="J330" i="1"/>
  <c r="I330" i="1"/>
  <c r="H330" i="1"/>
  <c r="G330" i="1"/>
  <c r="F330" i="1"/>
  <c r="E330" i="1"/>
  <c r="D330" i="1"/>
  <c r="C330" i="1"/>
  <c r="B330" i="1"/>
  <c r="A330" i="1"/>
  <c r="J329" i="1"/>
  <c r="I329" i="1"/>
  <c r="H329" i="1"/>
  <c r="G329" i="1"/>
  <c r="F329" i="1"/>
  <c r="E329" i="1"/>
  <c r="D329" i="1"/>
  <c r="C329" i="1"/>
  <c r="B329" i="1"/>
  <c r="A329" i="1"/>
  <c r="J328" i="1"/>
  <c r="I328" i="1"/>
  <c r="H328" i="1"/>
  <c r="G328" i="1"/>
  <c r="F328" i="1"/>
  <c r="E328" i="1"/>
  <c r="D328" i="1"/>
  <c r="C328" i="1"/>
  <c r="B328" i="1"/>
  <c r="A328" i="1"/>
  <c r="J327" i="1"/>
  <c r="I327" i="1"/>
  <c r="H327" i="1"/>
  <c r="G327" i="1"/>
  <c r="F327" i="1"/>
  <c r="E327" i="1"/>
  <c r="D327" i="1"/>
  <c r="C327" i="1"/>
  <c r="B327" i="1"/>
  <c r="A327" i="1"/>
  <c r="J326" i="1"/>
  <c r="I326" i="1"/>
  <c r="H326" i="1"/>
  <c r="G326" i="1"/>
  <c r="F326" i="1"/>
  <c r="E326" i="1"/>
  <c r="D326" i="1"/>
  <c r="C326" i="1"/>
  <c r="B326" i="1"/>
  <c r="A326" i="1"/>
  <c r="J325" i="1"/>
  <c r="I325" i="1"/>
  <c r="H325" i="1"/>
  <c r="G325" i="1"/>
  <c r="F325" i="1"/>
  <c r="E325" i="1"/>
  <c r="D325" i="1"/>
  <c r="C325" i="1"/>
  <c r="B325" i="1"/>
  <c r="A325" i="1"/>
  <c r="J324" i="1"/>
  <c r="I324" i="1"/>
  <c r="H324" i="1"/>
  <c r="G324" i="1"/>
  <c r="F324" i="1"/>
  <c r="E324" i="1"/>
  <c r="D324" i="1"/>
  <c r="C324" i="1"/>
  <c r="B324" i="1"/>
  <c r="A324" i="1"/>
  <c r="J323" i="1"/>
  <c r="I323" i="1"/>
  <c r="H323" i="1"/>
  <c r="G323" i="1"/>
  <c r="F323" i="1"/>
  <c r="E323" i="1"/>
  <c r="D323" i="1"/>
  <c r="C323" i="1"/>
  <c r="B323" i="1"/>
  <c r="A323" i="1"/>
  <c r="J322" i="1"/>
  <c r="I322" i="1"/>
  <c r="H322" i="1"/>
  <c r="G322" i="1"/>
  <c r="F322" i="1"/>
  <c r="E322" i="1"/>
  <c r="D322" i="1"/>
  <c r="C322" i="1"/>
  <c r="B322" i="1"/>
  <c r="A322" i="1"/>
  <c r="J321" i="1"/>
  <c r="I321" i="1"/>
  <c r="H321" i="1"/>
  <c r="G321" i="1"/>
  <c r="F321" i="1"/>
  <c r="E321" i="1"/>
  <c r="D321" i="1"/>
  <c r="C321" i="1"/>
  <c r="B321" i="1"/>
  <c r="A321" i="1"/>
  <c r="J320" i="1"/>
  <c r="I320" i="1"/>
  <c r="H320" i="1"/>
  <c r="G320" i="1"/>
  <c r="F320" i="1"/>
  <c r="E320" i="1"/>
  <c r="D320" i="1"/>
  <c r="C320" i="1"/>
  <c r="B320" i="1"/>
  <c r="A320" i="1"/>
  <c r="J319" i="1"/>
  <c r="I319" i="1"/>
  <c r="H319" i="1"/>
  <c r="G319" i="1"/>
  <c r="F319" i="1"/>
  <c r="E319" i="1"/>
  <c r="D319" i="1"/>
  <c r="C319" i="1"/>
  <c r="B319" i="1"/>
  <c r="A319" i="1"/>
  <c r="J318" i="1"/>
  <c r="I318" i="1"/>
  <c r="H318" i="1"/>
  <c r="G318" i="1"/>
  <c r="F318" i="1"/>
  <c r="E318" i="1"/>
  <c r="D318" i="1"/>
  <c r="C318" i="1"/>
  <c r="B318" i="1"/>
  <c r="A318" i="1"/>
  <c r="J317" i="1"/>
  <c r="I317" i="1"/>
  <c r="H317" i="1"/>
  <c r="G317" i="1"/>
  <c r="F317" i="1"/>
  <c r="E317" i="1"/>
  <c r="D317" i="1"/>
  <c r="C317" i="1"/>
  <c r="B317" i="1"/>
  <c r="A317" i="1"/>
  <c r="J316" i="1"/>
  <c r="I316" i="1"/>
  <c r="H316" i="1"/>
  <c r="G316" i="1"/>
  <c r="F316" i="1"/>
  <c r="E316" i="1"/>
  <c r="D316" i="1"/>
  <c r="C316" i="1"/>
  <c r="B316" i="1"/>
  <c r="A316" i="1"/>
  <c r="J315" i="1"/>
  <c r="I315" i="1"/>
  <c r="H315" i="1"/>
  <c r="G315" i="1"/>
  <c r="F315" i="1"/>
  <c r="E315" i="1"/>
  <c r="D315" i="1"/>
  <c r="C315" i="1"/>
  <c r="B315" i="1"/>
  <c r="A315" i="1"/>
  <c r="J314" i="1"/>
  <c r="I314" i="1"/>
  <c r="H314" i="1"/>
  <c r="G314" i="1"/>
  <c r="F314" i="1"/>
  <c r="E314" i="1"/>
  <c r="D314" i="1"/>
  <c r="C314" i="1"/>
  <c r="B314" i="1"/>
  <c r="A314" i="1"/>
  <c r="J313" i="1"/>
  <c r="I313" i="1"/>
  <c r="H313" i="1"/>
  <c r="G313" i="1"/>
  <c r="F313" i="1"/>
  <c r="E313" i="1"/>
  <c r="D313" i="1"/>
  <c r="C313" i="1"/>
  <c r="B313" i="1"/>
  <c r="A313" i="1"/>
  <c r="J312" i="1"/>
  <c r="I312" i="1"/>
  <c r="H312" i="1"/>
  <c r="G312" i="1"/>
  <c r="F312" i="1"/>
  <c r="E312" i="1"/>
  <c r="D312" i="1"/>
  <c r="C312" i="1"/>
  <c r="B312" i="1"/>
  <c r="A312" i="1"/>
  <c r="J311" i="1"/>
  <c r="I311" i="1"/>
  <c r="H311" i="1"/>
  <c r="G311" i="1"/>
  <c r="F311" i="1"/>
  <c r="E311" i="1"/>
  <c r="D311" i="1"/>
  <c r="C311" i="1"/>
  <c r="B311" i="1"/>
  <c r="A311" i="1"/>
  <c r="J310" i="1"/>
  <c r="I310" i="1"/>
  <c r="H310" i="1"/>
  <c r="G310" i="1"/>
  <c r="F310" i="1"/>
  <c r="E310" i="1"/>
  <c r="D310" i="1"/>
  <c r="C310" i="1"/>
  <c r="B310" i="1"/>
  <c r="A310" i="1"/>
  <c r="J309" i="1"/>
  <c r="I309" i="1"/>
  <c r="H309" i="1"/>
  <c r="G309" i="1"/>
  <c r="F309" i="1"/>
  <c r="E309" i="1"/>
  <c r="D309" i="1"/>
  <c r="C309" i="1"/>
  <c r="B309" i="1"/>
  <c r="A309" i="1"/>
  <c r="J308" i="1"/>
  <c r="I308" i="1"/>
  <c r="H308" i="1"/>
  <c r="G308" i="1"/>
  <c r="F308" i="1"/>
  <c r="E308" i="1"/>
  <c r="D308" i="1"/>
  <c r="C308" i="1"/>
  <c r="B308" i="1"/>
  <c r="A308" i="1"/>
  <c r="J307" i="1"/>
  <c r="I307" i="1"/>
  <c r="H307" i="1"/>
  <c r="G307" i="1"/>
  <c r="F307" i="1"/>
  <c r="E307" i="1"/>
  <c r="D307" i="1"/>
  <c r="C307" i="1"/>
  <c r="B307" i="1"/>
  <c r="A307" i="1"/>
  <c r="J306" i="1"/>
  <c r="I306" i="1"/>
  <c r="H306" i="1"/>
  <c r="G306" i="1"/>
  <c r="F306" i="1"/>
  <c r="E306" i="1"/>
  <c r="D306" i="1"/>
  <c r="C306" i="1"/>
  <c r="B306" i="1"/>
  <c r="A306" i="1"/>
  <c r="J305" i="1"/>
  <c r="I305" i="1"/>
  <c r="H305" i="1"/>
  <c r="G305" i="1"/>
  <c r="F305" i="1"/>
  <c r="E305" i="1"/>
  <c r="D305" i="1"/>
  <c r="C305" i="1"/>
  <c r="B305" i="1"/>
  <c r="A305" i="1"/>
  <c r="J304" i="1"/>
  <c r="I304" i="1"/>
  <c r="H304" i="1"/>
  <c r="G304" i="1"/>
  <c r="F304" i="1"/>
  <c r="E304" i="1"/>
  <c r="D304" i="1"/>
  <c r="C304" i="1"/>
  <c r="B304" i="1"/>
  <c r="A304" i="1"/>
  <c r="J303" i="1"/>
  <c r="I303" i="1"/>
  <c r="H303" i="1"/>
  <c r="G303" i="1"/>
  <c r="F303" i="1"/>
  <c r="E303" i="1"/>
  <c r="D303" i="1"/>
  <c r="C303" i="1"/>
  <c r="B303" i="1"/>
  <c r="A303" i="1"/>
  <c r="J302" i="1"/>
  <c r="I302" i="1"/>
  <c r="H302" i="1"/>
  <c r="G302" i="1"/>
  <c r="F302" i="1"/>
  <c r="E302" i="1"/>
  <c r="D302" i="1"/>
  <c r="C302" i="1"/>
  <c r="B302" i="1"/>
  <c r="A302" i="1"/>
  <c r="J301" i="1"/>
  <c r="I301" i="1"/>
  <c r="H301" i="1"/>
  <c r="G301" i="1"/>
  <c r="F301" i="1"/>
  <c r="E301" i="1"/>
  <c r="D301" i="1"/>
  <c r="C301" i="1"/>
  <c r="B301" i="1"/>
  <c r="A301" i="1"/>
  <c r="J300" i="1"/>
  <c r="I300" i="1"/>
  <c r="H300" i="1"/>
  <c r="G300" i="1"/>
  <c r="F300" i="1"/>
  <c r="E300" i="1"/>
  <c r="D300" i="1"/>
  <c r="C300" i="1"/>
  <c r="B300" i="1"/>
  <c r="A300" i="1"/>
  <c r="J299" i="1"/>
  <c r="I299" i="1"/>
  <c r="H299" i="1"/>
  <c r="G299" i="1"/>
  <c r="F299" i="1"/>
  <c r="E299" i="1"/>
  <c r="D299" i="1"/>
  <c r="C299" i="1"/>
  <c r="B299" i="1"/>
  <c r="A299" i="1"/>
  <c r="J298" i="1"/>
  <c r="I298" i="1"/>
  <c r="H298" i="1"/>
  <c r="G298" i="1"/>
  <c r="F298" i="1"/>
  <c r="E298" i="1"/>
  <c r="D298" i="1"/>
  <c r="C298" i="1"/>
  <c r="B298" i="1"/>
  <c r="A298" i="1"/>
  <c r="J297" i="1"/>
  <c r="I297" i="1"/>
  <c r="H297" i="1"/>
  <c r="G297" i="1"/>
  <c r="F297" i="1"/>
  <c r="E297" i="1"/>
  <c r="D297" i="1"/>
  <c r="C297" i="1"/>
  <c r="B297" i="1"/>
  <c r="A297" i="1"/>
  <c r="J296" i="1"/>
  <c r="I296" i="1"/>
  <c r="H296" i="1"/>
  <c r="G296" i="1"/>
  <c r="F296" i="1"/>
  <c r="E296" i="1"/>
  <c r="D296" i="1"/>
  <c r="C296" i="1"/>
  <c r="B296" i="1"/>
  <c r="A296" i="1"/>
  <c r="J295" i="1"/>
  <c r="I295" i="1"/>
  <c r="H295" i="1"/>
  <c r="G295" i="1"/>
  <c r="F295" i="1"/>
  <c r="E295" i="1"/>
  <c r="D295" i="1"/>
  <c r="C295" i="1"/>
  <c r="B295" i="1"/>
  <c r="A295" i="1"/>
  <c r="J294" i="1"/>
  <c r="I294" i="1"/>
  <c r="H294" i="1"/>
  <c r="G294" i="1"/>
  <c r="F294" i="1"/>
  <c r="E294" i="1"/>
  <c r="D294" i="1"/>
  <c r="C294" i="1"/>
  <c r="B294" i="1"/>
  <c r="A294" i="1"/>
  <c r="J293" i="1"/>
  <c r="I293" i="1"/>
  <c r="H293" i="1"/>
  <c r="G293" i="1"/>
  <c r="F293" i="1"/>
  <c r="E293" i="1"/>
  <c r="D293" i="1"/>
  <c r="C293" i="1"/>
  <c r="B293" i="1"/>
  <c r="A293" i="1"/>
  <c r="J292" i="1"/>
  <c r="I292" i="1"/>
  <c r="H292" i="1"/>
  <c r="G292" i="1"/>
  <c r="F292" i="1"/>
  <c r="E292" i="1"/>
  <c r="D292" i="1"/>
  <c r="C292" i="1"/>
  <c r="B292" i="1"/>
  <c r="A292" i="1"/>
  <c r="J291" i="1"/>
  <c r="I291" i="1"/>
  <c r="H291" i="1"/>
  <c r="G291" i="1"/>
  <c r="F291" i="1"/>
  <c r="E291" i="1"/>
  <c r="D291" i="1"/>
  <c r="C291" i="1"/>
  <c r="B291" i="1"/>
  <c r="A291" i="1"/>
  <c r="J290" i="1"/>
  <c r="I290" i="1"/>
  <c r="H290" i="1"/>
  <c r="G290" i="1"/>
  <c r="F290" i="1"/>
  <c r="E290" i="1"/>
  <c r="D290" i="1"/>
  <c r="C290" i="1"/>
  <c r="B290" i="1"/>
  <c r="A290" i="1"/>
  <c r="J289" i="1"/>
  <c r="I289" i="1"/>
  <c r="H289" i="1"/>
  <c r="G289" i="1"/>
  <c r="F289" i="1"/>
  <c r="E289" i="1"/>
  <c r="D289" i="1"/>
  <c r="C289" i="1"/>
  <c r="B289" i="1"/>
  <c r="A289" i="1"/>
  <c r="J288" i="1"/>
  <c r="I288" i="1"/>
  <c r="H288" i="1"/>
  <c r="G288" i="1"/>
  <c r="F288" i="1"/>
  <c r="E288" i="1"/>
  <c r="D288" i="1"/>
  <c r="C288" i="1"/>
  <c r="B288" i="1"/>
  <c r="A288" i="1"/>
  <c r="J287" i="1"/>
  <c r="I287" i="1"/>
  <c r="H287" i="1"/>
  <c r="G287" i="1"/>
  <c r="F287" i="1"/>
  <c r="E287" i="1"/>
  <c r="D287" i="1"/>
  <c r="C287" i="1"/>
  <c r="B287" i="1"/>
  <c r="A287" i="1"/>
  <c r="J286" i="1"/>
  <c r="I286" i="1"/>
  <c r="H286" i="1"/>
  <c r="G286" i="1"/>
  <c r="F286" i="1"/>
  <c r="E286" i="1"/>
  <c r="D286" i="1"/>
  <c r="C286" i="1"/>
  <c r="B286" i="1"/>
  <c r="A286" i="1"/>
  <c r="J285" i="1"/>
  <c r="I285" i="1"/>
  <c r="H285" i="1"/>
  <c r="G285" i="1"/>
  <c r="F285" i="1"/>
  <c r="E285" i="1"/>
  <c r="D285" i="1"/>
  <c r="C285" i="1"/>
  <c r="B285" i="1"/>
  <c r="A285" i="1"/>
  <c r="J284" i="1"/>
  <c r="I284" i="1"/>
  <c r="H284" i="1"/>
  <c r="G284" i="1"/>
  <c r="F284" i="1"/>
  <c r="E284" i="1"/>
  <c r="D284" i="1"/>
  <c r="C284" i="1"/>
  <c r="B284" i="1"/>
  <c r="A284" i="1"/>
  <c r="J283" i="1"/>
  <c r="I283" i="1"/>
  <c r="H283" i="1"/>
  <c r="G283" i="1"/>
  <c r="F283" i="1"/>
  <c r="E283" i="1"/>
  <c r="D283" i="1"/>
  <c r="C283" i="1"/>
  <c r="B283" i="1"/>
  <c r="A283" i="1"/>
  <c r="J282" i="1"/>
  <c r="I282" i="1"/>
  <c r="H282" i="1"/>
  <c r="G282" i="1"/>
  <c r="F282" i="1"/>
  <c r="E282" i="1"/>
  <c r="D282" i="1"/>
  <c r="C282" i="1"/>
  <c r="B282" i="1"/>
  <c r="A282" i="1"/>
  <c r="J281" i="1"/>
  <c r="H281" i="1"/>
  <c r="G281" i="1"/>
  <c r="F281" i="1"/>
  <c r="E281" i="1"/>
  <c r="D281" i="1"/>
  <c r="C281" i="1"/>
  <c r="B281" i="1"/>
  <c r="A281" i="1"/>
  <c r="J280" i="1"/>
  <c r="H280" i="1"/>
  <c r="G280" i="1"/>
  <c r="F280" i="1"/>
  <c r="E280" i="1"/>
  <c r="D280" i="1"/>
  <c r="C280" i="1"/>
  <c r="B280" i="1"/>
  <c r="A280" i="1"/>
  <c r="J279" i="1"/>
  <c r="H279" i="1"/>
  <c r="G279" i="1"/>
  <c r="F279" i="1"/>
  <c r="E279" i="1"/>
  <c r="D279" i="1"/>
  <c r="C279" i="1"/>
  <c r="B279" i="1"/>
  <c r="A279" i="1"/>
  <c r="J278" i="1"/>
  <c r="H278" i="1"/>
  <c r="G278" i="1"/>
  <c r="F278" i="1"/>
  <c r="E278" i="1"/>
  <c r="D278" i="1"/>
  <c r="C278" i="1"/>
  <c r="B278" i="1"/>
  <c r="A278" i="1"/>
  <c r="J277" i="1"/>
  <c r="H277" i="1"/>
  <c r="G277" i="1"/>
  <c r="F277" i="1"/>
  <c r="E277" i="1"/>
  <c r="D277" i="1"/>
  <c r="C277" i="1"/>
  <c r="B277" i="1"/>
  <c r="A277" i="1"/>
  <c r="J276" i="1"/>
  <c r="H276" i="1"/>
  <c r="G276" i="1"/>
  <c r="F276" i="1"/>
  <c r="E276" i="1"/>
  <c r="D276" i="1"/>
  <c r="C276" i="1"/>
  <c r="B276" i="1"/>
  <c r="A276" i="1"/>
  <c r="J275" i="1"/>
  <c r="H275" i="1"/>
  <c r="G275" i="1"/>
  <c r="F275" i="1"/>
  <c r="E275" i="1"/>
  <c r="D275" i="1"/>
  <c r="C275" i="1"/>
  <c r="B275" i="1"/>
  <c r="A275" i="1"/>
  <c r="J274" i="1"/>
  <c r="I274" i="1"/>
  <c r="H274" i="1"/>
  <c r="G274" i="1"/>
  <c r="F274" i="1"/>
  <c r="E274" i="1"/>
  <c r="D274" i="1"/>
  <c r="C274" i="1"/>
  <c r="B274" i="1"/>
  <c r="A274" i="1"/>
  <c r="J273" i="1"/>
  <c r="I273" i="1"/>
  <c r="H273" i="1"/>
  <c r="G273" i="1"/>
  <c r="F273" i="1"/>
  <c r="E273" i="1"/>
  <c r="D273" i="1"/>
  <c r="C273" i="1"/>
  <c r="B273" i="1"/>
  <c r="A273" i="1"/>
  <c r="J272" i="1"/>
  <c r="I272" i="1"/>
  <c r="H272" i="1"/>
  <c r="G272" i="1"/>
  <c r="F272" i="1"/>
  <c r="E272" i="1"/>
  <c r="D272" i="1"/>
  <c r="C272" i="1"/>
  <c r="B272" i="1"/>
  <c r="A272" i="1"/>
  <c r="J271" i="1"/>
  <c r="I271" i="1"/>
  <c r="H271" i="1"/>
  <c r="G271" i="1"/>
  <c r="F271" i="1"/>
  <c r="E271" i="1"/>
  <c r="D271" i="1"/>
  <c r="C271" i="1"/>
  <c r="B271" i="1"/>
  <c r="A271" i="1"/>
  <c r="J270" i="1"/>
  <c r="I270" i="1"/>
  <c r="H270" i="1"/>
  <c r="G270" i="1"/>
  <c r="F270" i="1"/>
  <c r="E270" i="1"/>
  <c r="D270" i="1"/>
  <c r="C270" i="1"/>
  <c r="B270" i="1"/>
  <c r="A270" i="1"/>
  <c r="J269" i="1"/>
  <c r="I269" i="1"/>
  <c r="H269" i="1"/>
  <c r="G269" i="1"/>
  <c r="F269" i="1"/>
  <c r="E269" i="1"/>
  <c r="D269" i="1"/>
  <c r="C269" i="1"/>
  <c r="B269" i="1"/>
  <c r="A269" i="1"/>
  <c r="J268" i="1"/>
  <c r="I268" i="1"/>
  <c r="H268" i="1"/>
  <c r="G268" i="1"/>
  <c r="F268" i="1"/>
  <c r="E268" i="1"/>
  <c r="D268" i="1"/>
  <c r="C268" i="1"/>
  <c r="B268" i="1"/>
  <c r="A268" i="1"/>
  <c r="J267" i="1"/>
  <c r="I267" i="1"/>
  <c r="H267" i="1"/>
  <c r="G267" i="1"/>
  <c r="F267" i="1"/>
  <c r="E267" i="1"/>
  <c r="D267" i="1"/>
  <c r="C267" i="1"/>
  <c r="B267" i="1"/>
  <c r="A267" i="1"/>
  <c r="J266" i="1"/>
  <c r="I266" i="1"/>
  <c r="H266" i="1"/>
  <c r="G266" i="1"/>
  <c r="F266" i="1"/>
  <c r="E266" i="1"/>
  <c r="D266" i="1"/>
  <c r="C266" i="1"/>
  <c r="B266" i="1"/>
  <c r="A266" i="1"/>
  <c r="J265" i="1"/>
  <c r="I265" i="1"/>
  <c r="H265" i="1"/>
  <c r="G265" i="1"/>
  <c r="F265" i="1"/>
  <c r="E265" i="1"/>
  <c r="D265" i="1"/>
  <c r="C265" i="1"/>
  <c r="B265" i="1"/>
  <c r="A265" i="1"/>
  <c r="J264" i="1"/>
  <c r="I264" i="1"/>
  <c r="H264" i="1"/>
  <c r="G264" i="1"/>
  <c r="F264" i="1"/>
  <c r="E264" i="1"/>
  <c r="D264" i="1"/>
  <c r="C264" i="1"/>
  <c r="B264" i="1"/>
  <c r="A264" i="1"/>
  <c r="J263" i="1"/>
  <c r="I263" i="1"/>
  <c r="H263" i="1"/>
  <c r="G263" i="1"/>
  <c r="F263" i="1"/>
  <c r="E263" i="1"/>
  <c r="D263" i="1"/>
  <c r="C263" i="1"/>
  <c r="B263" i="1"/>
  <c r="A263" i="1"/>
  <c r="J262" i="1"/>
  <c r="I262" i="1"/>
  <c r="H262" i="1"/>
  <c r="G262" i="1"/>
  <c r="F262" i="1"/>
  <c r="E262" i="1"/>
  <c r="D262" i="1"/>
  <c r="C262" i="1"/>
  <c r="B262" i="1"/>
  <c r="A262" i="1"/>
  <c r="J261" i="1"/>
  <c r="I261" i="1"/>
  <c r="H261" i="1"/>
  <c r="G261" i="1"/>
  <c r="F261" i="1"/>
  <c r="E261" i="1"/>
  <c r="D261" i="1"/>
  <c r="C261" i="1"/>
  <c r="B261" i="1"/>
  <c r="A261" i="1"/>
  <c r="J260" i="1"/>
  <c r="I260" i="1"/>
  <c r="H260" i="1"/>
  <c r="G260" i="1"/>
  <c r="F260" i="1"/>
  <c r="E260" i="1"/>
  <c r="D260" i="1"/>
  <c r="C260" i="1"/>
  <c r="B260" i="1"/>
  <c r="A260" i="1"/>
  <c r="J259" i="1"/>
  <c r="I259" i="1"/>
  <c r="H259" i="1"/>
  <c r="G259" i="1"/>
  <c r="F259" i="1"/>
  <c r="E259" i="1"/>
  <c r="D259" i="1"/>
  <c r="C259" i="1"/>
  <c r="B259" i="1"/>
  <c r="A259" i="1"/>
  <c r="J258" i="1"/>
  <c r="I258" i="1"/>
  <c r="H258" i="1"/>
  <c r="G258" i="1"/>
  <c r="F258" i="1"/>
  <c r="E258" i="1"/>
  <c r="D258" i="1"/>
  <c r="C258" i="1"/>
  <c r="B258" i="1"/>
  <c r="A258" i="1"/>
  <c r="J257" i="1"/>
  <c r="I257" i="1"/>
  <c r="H257" i="1"/>
  <c r="G257" i="1"/>
  <c r="F257" i="1"/>
  <c r="E257" i="1"/>
  <c r="D257" i="1"/>
  <c r="C257" i="1"/>
  <c r="B257" i="1"/>
  <c r="A257" i="1"/>
  <c r="J256" i="1"/>
  <c r="I256" i="1"/>
  <c r="H256" i="1"/>
  <c r="G256" i="1"/>
  <c r="F256" i="1"/>
  <c r="E256" i="1"/>
  <c r="D256" i="1"/>
  <c r="C256" i="1"/>
  <c r="B256" i="1"/>
  <c r="A256" i="1"/>
  <c r="J255" i="1"/>
  <c r="I255" i="1"/>
  <c r="H255" i="1"/>
  <c r="G255" i="1"/>
  <c r="F255" i="1"/>
  <c r="E255" i="1"/>
  <c r="D255" i="1"/>
  <c r="C255" i="1"/>
  <c r="B255" i="1"/>
  <c r="A255" i="1"/>
  <c r="J254" i="1"/>
  <c r="I254" i="1"/>
  <c r="H254" i="1"/>
  <c r="G254" i="1"/>
  <c r="F254" i="1"/>
  <c r="E254" i="1"/>
  <c r="D254" i="1"/>
  <c r="C254" i="1"/>
  <c r="B254" i="1"/>
  <c r="A254" i="1"/>
  <c r="J253" i="1"/>
  <c r="I253" i="1"/>
  <c r="H253" i="1"/>
  <c r="G253" i="1"/>
  <c r="F253" i="1"/>
  <c r="E253" i="1"/>
  <c r="D253" i="1"/>
  <c r="C253" i="1"/>
  <c r="B253" i="1"/>
  <c r="A253" i="1"/>
  <c r="J252" i="1"/>
  <c r="I252" i="1"/>
  <c r="H252" i="1"/>
  <c r="G252" i="1"/>
  <c r="F252" i="1"/>
  <c r="E252" i="1"/>
  <c r="D252" i="1"/>
  <c r="C252" i="1"/>
  <c r="B252" i="1"/>
  <c r="A252" i="1"/>
  <c r="J251" i="1"/>
  <c r="I251" i="1"/>
  <c r="H251" i="1"/>
  <c r="G251" i="1"/>
  <c r="F251" i="1"/>
  <c r="E251" i="1"/>
  <c r="D251" i="1"/>
  <c r="C251" i="1"/>
  <c r="B251" i="1"/>
  <c r="A251" i="1"/>
  <c r="J250" i="1"/>
  <c r="I250" i="1"/>
  <c r="H250" i="1"/>
  <c r="G250" i="1"/>
  <c r="F250" i="1"/>
  <c r="E250" i="1"/>
  <c r="D250" i="1"/>
  <c r="C250" i="1"/>
  <c r="B250" i="1"/>
  <c r="A250" i="1"/>
  <c r="J249" i="1"/>
  <c r="I249" i="1"/>
  <c r="H249" i="1"/>
  <c r="G249" i="1"/>
  <c r="F249" i="1"/>
  <c r="E249" i="1"/>
  <c r="D249" i="1"/>
  <c r="C249" i="1"/>
  <c r="B249" i="1"/>
  <c r="A249" i="1"/>
  <c r="J248" i="1"/>
  <c r="I248" i="1"/>
  <c r="H248" i="1"/>
  <c r="G248" i="1"/>
  <c r="F248" i="1"/>
  <c r="E248" i="1"/>
  <c r="D248" i="1"/>
  <c r="C248" i="1"/>
  <c r="B248" i="1"/>
  <c r="A248" i="1"/>
  <c r="J247" i="1"/>
  <c r="I247" i="1"/>
  <c r="H247" i="1"/>
  <c r="G247" i="1"/>
  <c r="F247" i="1"/>
  <c r="E247" i="1"/>
  <c r="D247" i="1"/>
  <c r="C247" i="1"/>
  <c r="B247" i="1"/>
  <c r="A247" i="1"/>
  <c r="J246" i="1"/>
  <c r="I246" i="1"/>
  <c r="H246" i="1"/>
  <c r="G246" i="1"/>
  <c r="F246" i="1"/>
  <c r="E246" i="1"/>
  <c r="D246" i="1"/>
  <c r="C246" i="1"/>
  <c r="B246" i="1"/>
  <c r="A246" i="1"/>
  <c r="J245" i="1"/>
  <c r="I245" i="1"/>
  <c r="H245" i="1"/>
  <c r="G245" i="1"/>
  <c r="F245" i="1"/>
  <c r="E245" i="1"/>
  <c r="D245" i="1"/>
  <c r="C245" i="1"/>
  <c r="B245" i="1"/>
  <c r="A245" i="1"/>
  <c r="J244" i="1"/>
  <c r="I244" i="1"/>
  <c r="H244" i="1"/>
  <c r="G244" i="1"/>
  <c r="F244" i="1"/>
  <c r="E244" i="1"/>
  <c r="D244" i="1"/>
  <c r="C244" i="1"/>
  <c r="B244" i="1"/>
  <c r="A244" i="1"/>
  <c r="J243" i="1"/>
  <c r="I243" i="1"/>
  <c r="H243" i="1"/>
  <c r="G243" i="1"/>
  <c r="F243" i="1"/>
  <c r="E243" i="1"/>
  <c r="D243" i="1"/>
  <c r="C243" i="1"/>
  <c r="B243" i="1"/>
  <c r="A243" i="1"/>
  <c r="J242" i="1"/>
  <c r="I242" i="1"/>
  <c r="H242" i="1"/>
  <c r="G242" i="1"/>
  <c r="F242" i="1"/>
  <c r="E242" i="1"/>
  <c r="D242" i="1"/>
  <c r="C242" i="1"/>
  <c r="B242" i="1"/>
  <c r="A242" i="1"/>
  <c r="J241" i="1"/>
  <c r="I241" i="1"/>
  <c r="H241" i="1"/>
  <c r="G241" i="1"/>
  <c r="F241" i="1"/>
  <c r="E241" i="1"/>
  <c r="D241" i="1"/>
  <c r="C241" i="1"/>
  <c r="B241" i="1"/>
  <c r="A241" i="1"/>
  <c r="J240" i="1"/>
  <c r="I240" i="1"/>
  <c r="H240" i="1"/>
  <c r="G240" i="1"/>
  <c r="F240" i="1"/>
  <c r="E240" i="1"/>
  <c r="D240" i="1"/>
  <c r="C240" i="1"/>
  <c r="B240" i="1"/>
  <c r="A240" i="1"/>
  <c r="J239" i="1"/>
  <c r="I239" i="1"/>
  <c r="H239" i="1"/>
  <c r="G239" i="1"/>
  <c r="F239" i="1"/>
  <c r="E239" i="1"/>
  <c r="D239" i="1"/>
  <c r="C239" i="1"/>
  <c r="B239" i="1"/>
  <c r="A239" i="1"/>
  <c r="J238" i="1"/>
  <c r="I238" i="1"/>
  <c r="H238" i="1"/>
  <c r="G238" i="1"/>
  <c r="F238" i="1"/>
  <c r="E238" i="1"/>
  <c r="D238" i="1"/>
  <c r="C238" i="1"/>
  <c r="B238" i="1"/>
  <c r="A238" i="1"/>
  <c r="J237" i="1"/>
  <c r="I237" i="1"/>
  <c r="H237" i="1"/>
  <c r="G237" i="1"/>
  <c r="F237" i="1"/>
  <c r="E237" i="1"/>
  <c r="D237" i="1"/>
  <c r="C237" i="1"/>
  <c r="B237" i="1"/>
  <c r="A237" i="1"/>
  <c r="J236" i="1"/>
  <c r="I236" i="1"/>
  <c r="H236" i="1"/>
  <c r="G236" i="1"/>
  <c r="F236" i="1"/>
  <c r="E236" i="1"/>
  <c r="D236" i="1"/>
  <c r="C236" i="1"/>
  <c r="B236" i="1"/>
  <c r="A236" i="1"/>
  <c r="J235" i="1"/>
  <c r="I235" i="1"/>
  <c r="H235" i="1"/>
  <c r="G235" i="1"/>
  <c r="F235" i="1"/>
  <c r="E235" i="1"/>
  <c r="D235" i="1"/>
  <c r="C235" i="1"/>
  <c r="B235" i="1"/>
  <c r="A235" i="1"/>
  <c r="J234" i="1"/>
  <c r="I234" i="1"/>
  <c r="H234" i="1"/>
  <c r="G234" i="1"/>
  <c r="F234" i="1"/>
  <c r="E234" i="1"/>
  <c r="D234" i="1"/>
  <c r="C234" i="1"/>
  <c r="B234" i="1"/>
  <c r="A234" i="1"/>
  <c r="J233" i="1"/>
  <c r="I233" i="1"/>
  <c r="H233" i="1"/>
  <c r="G233" i="1"/>
  <c r="F233" i="1"/>
  <c r="E233" i="1"/>
  <c r="D233" i="1"/>
  <c r="C233" i="1"/>
  <c r="B233" i="1"/>
  <c r="A233" i="1"/>
  <c r="J232" i="1"/>
  <c r="I232" i="1"/>
  <c r="H232" i="1"/>
  <c r="G232" i="1"/>
  <c r="F232" i="1"/>
  <c r="E232" i="1"/>
  <c r="D232" i="1"/>
  <c r="C232" i="1"/>
  <c r="B232" i="1"/>
  <c r="A232" i="1"/>
  <c r="J231" i="1"/>
  <c r="I231" i="1"/>
  <c r="H231" i="1"/>
  <c r="G231" i="1"/>
  <c r="F231" i="1"/>
  <c r="E231" i="1"/>
  <c r="D231" i="1"/>
  <c r="C231" i="1"/>
  <c r="B231" i="1"/>
  <c r="A231" i="1"/>
  <c r="J230" i="1"/>
  <c r="I230" i="1"/>
  <c r="H230" i="1"/>
  <c r="G230" i="1"/>
  <c r="F230" i="1"/>
  <c r="E230" i="1"/>
  <c r="D230" i="1"/>
  <c r="C230" i="1"/>
  <c r="B230" i="1"/>
  <c r="A230" i="1"/>
  <c r="J229" i="1"/>
  <c r="I229" i="1"/>
  <c r="H229" i="1"/>
  <c r="G229" i="1"/>
  <c r="F229" i="1"/>
  <c r="E229" i="1"/>
  <c r="D229" i="1"/>
  <c r="C229" i="1"/>
  <c r="B229" i="1"/>
  <c r="A229" i="1"/>
  <c r="J228" i="1"/>
  <c r="I228" i="1"/>
  <c r="H228" i="1"/>
  <c r="G228" i="1"/>
  <c r="F228" i="1"/>
  <c r="E228" i="1"/>
  <c r="D228" i="1"/>
  <c r="C228" i="1"/>
  <c r="B228" i="1"/>
  <c r="A228" i="1"/>
  <c r="J227" i="1"/>
  <c r="I227" i="1"/>
  <c r="H227" i="1"/>
  <c r="G227" i="1"/>
  <c r="F227" i="1"/>
  <c r="E227" i="1"/>
  <c r="D227" i="1"/>
  <c r="C227" i="1"/>
  <c r="B227" i="1"/>
  <c r="A227" i="1"/>
  <c r="J226" i="1"/>
  <c r="I226" i="1"/>
  <c r="H226" i="1"/>
  <c r="G226" i="1"/>
  <c r="F226" i="1"/>
  <c r="E226" i="1"/>
  <c r="D226" i="1"/>
  <c r="C226" i="1"/>
  <c r="B226" i="1"/>
  <c r="A226" i="1"/>
  <c r="J225" i="1"/>
  <c r="I225" i="1"/>
  <c r="H225" i="1"/>
  <c r="G225" i="1"/>
  <c r="F225" i="1"/>
  <c r="E225" i="1"/>
  <c r="D225" i="1"/>
  <c r="C225" i="1"/>
  <c r="B225" i="1"/>
  <c r="A225" i="1"/>
  <c r="J224" i="1"/>
  <c r="I224" i="1"/>
  <c r="H224" i="1"/>
  <c r="G224" i="1"/>
  <c r="F224" i="1"/>
  <c r="E224" i="1"/>
  <c r="D224" i="1"/>
  <c r="C224" i="1"/>
  <c r="B224" i="1"/>
  <c r="A224" i="1"/>
  <c r="J223" i="1"/>
  <c r="I223" i="1"/>
  <c r="H223" i="1"/>
  <c r="G223" i="1"/>
  <c r="F223" i="1"/>
  <c r="E223" i="1"/>
  <c r="D223" i="1"/>
  <c r="C223" i="1"/>
  <c r="B223" i="1"/>
  <c r="A223" i="1"/>
  <c r="J222" i="1"/>
  <c r="I222" i="1"/>
  <c r="H222" i="1"/>
  <c r="G222" i="1"/>
  <c r="F222" i="1"/>
  <c r="E222" i="1"/>
  <c r="D222" i="1"/>
  <c r="C222" i="1"/>
  <c r="B222" i="1"/>
  <c r="A222" i="1"/>
  <c r="J221" i="1"/>
  <c r="I221" i="1"/>
  <c r="H221" i="1"/>
  <c r="G221" i="1"/>
  <c r="F221" i="1"/>
  <c r="E221" i="1"/>
  <c r="D221" i="1"/>
  <c r="C221" i="1"/>
  <c r="B221" i="1"/>
  <c r="A221" i="1"/>
  <c r="J220" i="1"/>
  <c r="I220" i="1"/>
  <c r="H220" i="1"/>
  <c r="G220" i="1"/>
  <c r="F220" i="1"/>
  <c r="E220" i="1"/>
  <c r="D220" i="1"/>
  <c r="C220" i="1"/>
  <c r="B220" i="1"/>
  <c r="A220" i="1"/>
  <c r="J219" i="1"/>
  <c r="I219" i="1"/>
  <c r="H219" i="1"/>
  <c r="G219" i="1"/>
  <c r="F219" i="1"/>
  <c r="E219" i="1"/>
  <c r="D219" i="1"/>
  <c r="C219" i="1"/>
  <c r="B219" i="1"/>
  <c r="A219" i="1"/>
  <c r="J218" i="1"/>
  <c r="I218" i="1"/>
  <c r="H218" i="1"/>
  <c r="G218" i="1"/>
  <c r="F218" i="1"/>
  <c r="E218" i="1"/>
  <c r="D218" i="1"/>
  <c r="C218" i="1"/>
  <c r="B218" i="1"/>
  <c r="A218" i="1"/>
  <c r="J217" i="1"/>
  <c r="I217" i="1"/>
  <c r="H217" i="1"/>
  <c r="G217" i="1"/>
  <c r="F217" i="1"/>
  <c r="E217" i="1"/>
  <c r="D217" i="1"/>
  <c r="C217" i="1"/>
  <c r="B217" i="1"/>
  <c r="A217" i="1"/>
  <c r="J216" i="1"/>
  <c r="I216" i="1"/>
  <c r="H216" i="1"/>
  <c r="G216" i="1"/>
  <c r="F216" i="1"/>
  <c r="E216" i="1"/>
  <c r="D216" i="1"/>
  <c r="C216" i="1"/>
  <c r="B216" i="1"/>
  <c r="A216" i="1"/>
  <c r="J215" i="1"/>
  <c r="I215" i="1"/>
  <c r="H215" i="1"/>
  <c r="G215" i="1"/>
  <c r="F215" i="1"/>
  <c r="E215" i="1"/>
  <c r="D215" i="1"/>
  <c r="C215" i="1"/>
  <c r="B215" i="1"/>
  <c r="A215" i="1"/>
  <c r="J214" i="1"/>
  <c r="I214" i="1"/>
  <c r="H214" i="1"/>
  <c r="G214" i="1"/>
  <c r="F214" i="1"/>
  <c r="E214" i="1"/>
  <c r="D214" i="1"/>
  <c r="C214" i="1"/>
  <c r="B214" i="1"/>
  <c r="A214" i="1"/>
  <c r="J213" i="1"/>
  <c r="I213" i="1"/>
  <c r="H213" i="1"/>
  <c r="G213" i="1"/>
  <c r="F213" i="1"/>
  <c r="E213" i="1"/>
  <c r="D213" i="1"/>
  <c r="C213" i="1"/>
  <c r="B213" i="1"/>
  <c r="A213" i="1"/>
  <c r="J212" i="1"/>
  <c r="I212" i="1"/>
  <c r="H212" i="1"/>
  <c r="G212" i="1"/>
  <c r="F212" i="1"/>
  <c r="E212" i="1"/>
  <c r="D212" i="1"/>
  <c r="C212" i="1"/>
  <c r="B212" i="1"/>
  <c r="A212" i="1"/>
  <c r="J211" i="1"/>
  <c r="I211" i="1"/>
  <c r="H211" i="1"/>
  <c r="G211" i="1"/>
  <c r="F211" i="1"/>
  <c r="E211" i="1"/>
  <c r="D211" i="1"/>
  <c r="C211" i="1"/>
  <c r="B211" i="1"/>
  <c r="A211" i="1"/>
  <c r="J210" i="1"/>
  <c r="I210" i="1"/>
  <c r="H210" i="1"/>
  <c r="G210" i="1"/>
  <c r="F210" i="1"/>
  <c r="E210" i="1"/>
  <c r="D210" i="1"/>
  <c r="C210" i="1"/>
  <c r="B210" i="1"/>
  <c r="A210" i="1"/>
  <c r="J209" i="1"/>
  <c r="I209" i="1"/>
  <c r="H209" i="1"/>
  <c r="G209" i="1"/>
  <c r="F209" i="1"/>
  <c r="E209" i="1"/>
  <c r="D209" i="1"/>
  <c r="C209" i="1"/>
  <c r="B209" i="1"/>
  <c r="A209" i="1"/>
  <c r="J208" i="1"/>
  <c r="I208" i="1"/>
  <c r="H208" i="1"/>
  <c r="G208" i="1"/>
  <c r="F208" i="1"/>
  <c r="E208" i="1"/>
  <c r="D208" i="1"/>
  <c r="C208" i="1"/>
  <c r="B208" i="1"/>
  <c r="A208" i="1"/>
  <c r="J207" i="1"/>
  <c r="I207" i="1"/>
  <c r="H207" i="1"/>
  <c r="G207" i="1"/>
  <c r="F207" i="1"/>
  <c r="E207" i="1"/>
  <c r="D207" i="1"/>
  <c r="C207" i="1"/>
  <c r="B207" i="1"/>
  <c r="A207" i="1"/>
  <c r="J206" i="1"/>
  <c r="I206" i="1"/>
  <c r="H206" i="1"/>
  <c r="G206" i="1"/>
  <c r="F206" i="1"/>
  <c r="E206" i="1"/>
  <c r="D206" i="1"/>
  <c r="C206" i="1"/>
  <c r="B206" i="1"/>
  <c r="A206" i="1"/>
  <c r="J205" i="1"/>
  <c r="I205" i="1"/>
  <c r="H205" i="1"/>
  <c r="G205" i="1"/>
  <c r="F205" i="1"/>
  <c r="E205" i="1"/>
  <c r="D205" i="1"/>
  <c r="C205" i="1"/>
  <c r="B205" i="1"/>
  <c r="A205" i="1"/>
  <c r="J204" i="1"/>
  <c r="I204" i="1"/>
  <c r="H204" i="1"/>
  <c r="G204" i="1"/>
  <c r="F204" i="1"/>
  <c r="E204" i="1"/>
  <c r="D204" i="1"/>
  <c r="C204" i="1"/>
  <c r="B204" i="1"/>
  <c r="A204" i="1"/>
  <c r="J203" i="1"/>
  <c r="I203" i="1"/>
  <c r="H203" i="1"/>
  <c r="G203" i="1"/>
  <c r="F203" i="1"/>
  <c r="E203" i="1"/>
  <c r="D203" i="1"/>
  <c r="C203" i="1"/>
  <c r="B203" i="1"/>
  <c r="A203" i="1"/>
  <c r="J202" i="1"/>
  <c r="I202" i="1"/>
  <c r="H202" i="1"/>
  <c r="G202" i="1"/>
  <c r="F202" i="1"/>
  <c r="E202" i="1"/>
  <c r="D202" i="1"/>
  <c r="C202" i="1"/>
  <c r="B202" i="1"/>
  <c r="A202" i="1"/>
  <c r="J201" i="1"/>
  <c r="I201" i="1"/>
  <c r="H201" i="1"/>
  <c r="G201" i="1"/>
  <c r="F201" i="1"/>
  <c r="E201" i="1"/>
  <c r="D201" i="1"/>
  <c r="C201" i="1"/>
  <c r="B201" i="1"/>
  <c r="A201" i="1"/>
  <c r="J200" i="1"/>
  <c r="I200" i="1"/>
  <c r="H200" i="1"/>
  <c r="G200" i="1"/>
  <c r="F200" i="1"/>
  <c r="E200" i="1"/>
  <c r="D200" i="1"/>
  <c r="C200" i="1"/>
  <c r="B200" i="1"/>
  <c r="A200" i="1"/>
  <c r="J199" i="1"/>
  <c r="I199" i="1"/>
  <c r="H199" i="1"/>
  <c r="G199" i="1"/>
  <c r="F199" i="1"/>
  <c r="E199" i="1"/>
  <c r="D199" i="1"/>
  <c r="C199" i="1"/>
  <c r="B199" i="1"/>
  <c r="A199" i="1"/>
  <c r="J198" i="1"/>
  <c r="I198" i="1"/>
  <c r="H198" i="1"/>
  <c r="G198" i="1"/>
  <c r="F198" i="1"/>
  <c r="E198" i="1"/>
  <c r="D198" i="1"/>
  <c r="C198" i="1"/>
  <c r="B198" i="1"/>
  <c r="A198" i="1"/>
  <c r="J197" i="1"/>
  <c r="H197" i="1"/>
  <c r="G197" i="1"/>
  <c r="F197" i="1"/>
  <c r="E197" i="1"/>
  <c r="D197" i="1"/>
  <c r="C197" i="1"/>
  <c r="B197" i="1"/>
  <c r="A197" i="1"/>
  <c r="J196" i="1"/>
  <c r="H196" i="1"/>
  <c r="G196" i="1"/>
  <c r="F196" i="1"/>
  <c r="E196" i="1"/>
  <c r="D196" i="1"/>
  <c r="C196" i="1"/>
  <c r="B196" i="1"/>
  <c r="A196" i="1"/>
  <c r="J195" i="1"/>
  <c r="H195" i="1"/>
  <c r="G195" i="1"/>
  <c r="F195" i="1"/>
  <c r="E195" i="1"/>
  <c r="D195" i="1"/>
  <c r="C195" i="1"/>
  <c r="B195" i="1"/>
  <c r="A195" i="1"/>
  <c r="J194" i="1"/>
  <c r="H194" i="1"/>
  <c r="G194" i="1"/>
  <c r="F194" i="1"/>
  <c r="E194" i="1"/>
  <c r="D194" i="1"/>
  <c r="C194" i="1"/>
  <c r="B194" i="1"/>
  <c r="A194" i="1"/>
  <c r="J193" i="1"/>
  <c r="H193" i="1"/>
  <c r="G193" i="1"/>
  <c r="F193" i="1"/>
  <c r="E193" i="1"/>
  <c r="D193" i="1"/>
  <c r="C193" i="1"/>
  <c r="B193" i="1"/>
  <c r="A193" i="1"/>
  <c r="J192" i="1"/>
  <c r="H192" i="1"/>
  <c r="G192" i="1"/>
  <c r="F192" i="1"/>
  <c r="E192" i="1"/>
  <c r="D192" i="1"/>
  <c r="C192" i="1"/>
  <c r="B192" i="1"/>
  <c r="A192" i="1"/>
  <c r="J191" i="1"/>
  <c r="H191" i="1"/>
  <c r="G191" i="1"/>
  <c r="F191" i="1"/>
  <c r="E191" i="1"/>
  <c r="D191" i="1"/>
  <c r="C191" i="1"/>
  <c r="B191" i="1"/>
  <c r="A191" i="1"/>
  <c r="J190" i="1"/>
  <c r="I190" i="1"/>
  <c r="H190" i="1"/>
  <c r="G190" i="1"/>
  <c r="F190" i="1"/>
  <c r="E190" i="1"/>
  <c r="D190" i="1"/>
  <c r="C190" i="1"/>
  <c r="B190" i="1"/>
  <c r="A190" i="1"/>
  <c r="J189" i="1"/>
  <c r="I189" i="1"/>
  <c r="H189" i="1"/>
  <c r="G189" i="1"/>
  <c r="F189" i="1"/>
  <c r="E189" i="1"/>
  <c r="D189" i="1"/>
  <c r="C189" i="1"/>
  <c r="B189" i="1"/>
  <c r="A189" i="1"/>
  <c r="J188" i="1"/>
  <c r="I188" i="1"/>
  <c r="H188" i="1"/>
  <c r="G188" i="1"/>
  <c r="F188" i="1"/>
  <c r="E188" i="1"/>
  <c r="D188" i="1"/>
  <c r="C188" i="1"/>
  <c r="B188" i="1"/>
  <c r="A188" i="1"/>
  <c r="J187" i="1"/>
  <c r="I187" i="1"/>
  <c r="H187" i="1"/>
  <c r="G187" i="1"/>
  <c r="F187" i="1"/>
  <c r="E187" i="1"/>
  <c r="D187" i="1"/>
  <c r="C187" i="1"/>
  <c r="B187" i="1"/>
  <c r="A187" i="1"/>
  <c r="J186" i="1"/>
  <c r="I186" i="1"/>
  <c r="H186" i="1"/>
  <c r="G186" i="1"/>
  <c r="F186" i="1"/>
  <c r="E186" i="1"/>
  <c r="D186" i="1"/>
  <c r="C186" i="1"/>
  <c r="B186" i="1"/>
  <c r="A186" i="1"/>
  <c r="J185" i="1"/>
  <c r="I185" i="1"/>
  <c r="H185" i="1"/>
  <c r="G185" i="1"/>
  <c r="F185" i="1"/>
  <c r="E185" i="1"/>
  <c r="D185" i="1"/>
  <c r="C185" i="1"/>
  <c r="B185" i="1"/>
  <c r="A185" i="1"/>
  <c r="J184" i="1"/>
  <c r="I184" i="1"/>
  <c r="H184" i="1"/>
  <c r="G184" i="1"/>
  <c r="F184" i="1"/>
  <c r="E184" i="1"/>
  <c r="D184" i="1"/>
  <c r="C184" i="1"/>
  <c r="B184" i="1"/>
  <c r="A184" i="1"/>
  <c r="J183" i="1"/>
  <c r="I183" i="1"/>
  <c r="H183" i="1"/>
  <c r="G183" i="1"/>
  <c r="F183" i="1"/>
  <c r="E183" i="1"/>
  <c r="D183" i="1"/>
  <c r="C183" i="1"/>
  <c r="B183" i="1"/>
  <c r="A183" i="1"/>
  <c r="J182" i="1"/>
  <c r="I182" i="1"/>
  <c r="H182" i="1"/>
  <c r="G182" i="1"/>
  <c r="F182" i="1"/>
  <c r="E182" i="1"/>
  <c r="D182" i="1"/>
  <c r="C182" i="1"/>
  <c r="B182" i="1"/>
  <c r="A182" i="1"/>
  <c r="J181" i="1"/>
  <c r="I181" i="1"/>
  <c r="H181" i="1"/>
  <c r="G181" i="1"/>
  <c r="F181" i="1"/>
  <c r="E181" i="1"/>
  <c r="D181" i="1"/>
  <c r="C181" i="1"/>
  <c r="B181" i="1"/>
  <c r="A181" i="1"/>
  <c r="J180" i="1"/>
  <c r="I180" i="1"/>
  <c r="H180" i="1"/>
  <c r="G180" i="1"/>
  <c r="F180" i="1"/>
  <c r="E180" i="1"/>
  <c r="D180" i="1"/>
  <c r="C180" i="1"/>
  <c r="B180" i="1"/>
  <c r="A180" i="1"/>
  <c r="J179" i="1"/>
  <c r="I179" i="1"/>
  <c r="H179" i="1"/>
  <c r="G179" i="1"/>
  <c r="F179" i="1"/>
  <c r="E179" i="1"/>
  <c r="D179" i="1"/>
  <c r="C179" i="1"/>
  <c r="B179" i="1"/>
  <c r="A179" i="1"/>
  <c r="J178" i="1"/>
  <c r="I178" i="1"/>
  <c r="H178" i="1"/>
  <c r="G178" i="1"/>
  <c r="F178" i="1"/>
  <c r="E178" i="1"/>
  <c r="D178" i="1"/>
  <c r="C178" i="1"/>
  <c r="B178" i="1"/>
  <c r="A178" i="1"/>
  <c r="J177" i="1"/>
  <c r="I177" i="1"/>
  <c r="H177" i="1"/>
  <c r="G177" i="1"/>
  <c r="F177" i="1"/>
  <c r="E177" i="1"/>
  <c r="D177" i="1"/>
  <c r="C177" i="1"/>
  <c r="B177" i="1"/>
  <c r="A177" i="1"/>
  <c r="J176" i="1"/>
  <c r="I176" i="1"/>
  <c r="H176" i="1"/>
  <c r="G176" i="1"/>
  <c r="F176" i="1"/>
  <c r="E176" i="1"/>
  <c r="D176" i="1"/>
  <c r="C176" i="1"/>
  <c r="B176" i="1"/>
  <c r="A176" i="1"/>
  <c r="J175" i="1"/>
  <c r="I175" i="1"/>
  <c r="H175" i="1"/>
  <c r="G175" i="1"/>
  <c r="F175" i="1"/>
  <c r="E175" i="1"/>
  <c r="D175" i="1"/>
  <c r="C175" i="1"/>
  <c r="B175" i="1"/>
  <c r="A175" i="1"/>
  <c r="J174" i="1"/>
  <c r="I174" i="1"/>
  <c r="H174" i="1"/>
  <c r="G174" i="1"/>
  <c r="F174" i="1"/>
  <c r="E174" i="1"/>
  <c r="D174" i="1"/>
  <c r="C174" i="1"/>
  <c r="B174" i="1"/>
  <c r="A174" i="1"/>
  <c r="J173" i="1"/>
  <c r="I173" i="1"/>
  <c r="H173" i="1"/>
  <c r="G173" i="1"/>
  <c r="F173" i="1"/>
  <c r="E173" i="1"/>
  <c r="D173" i="1"/>
  <c r="C173" i="1"/>
  <c r="B173" i="1"/>
  <c r="A173" i="1"/>
  <c r="J172" i="1"/>
  <c r="I172" i="1"/>
  <c r="H172" i="1"/>
  <c r="G172" i="1"/>
  <c r="F172" i="1"/>
  <c r="E172" i="1"/>
  <c r="D172" i="1"/>
  <c r="C172" i="1"/>
  <c r="B172" i="1"/>
  <c r="A172" i="1"/>
  <c r="J171" i="1"/>
  <c r="I171" i="1"/>
  <c r="H171" i="1"/>
  <c r="G171" i="1"/>
  <c r="F171" i="1"/>
  <c r="E171" i="1"/>
  <c r="D171" i="1"/>
  <c r="C171" i="1"/>
  <c r="B171" i="1"/>
  <c r="A171" i="1"/>
  <c r="J170" i="1"/>
  <c r="I170" i="1"/>
  <c r="H170" i="1"/>
  <c r="G170" i="1"/>
  <c r="F170" i="1"/>
  <c r="E170" i="1"/>
  <c r="D170" i="1"/>
  <c r="C170" i="1"/>
  <c r="B170" i="1"/>
  <c r="A170" i="1"/>
  <c r="J169" i="1"/>
  <c r="I169" i="1"/>
  <c r="H169" i="1"/>
  <c r="G169" i="1"/>
  <c r="F169" i="1"/>
  <c r="E169" i="1"/>
  <c r="D169" i="1"/>
  <c r="C169" i="1"/>
  <c r="B169" i="1"/>
  <c r="A169" i="1"/>
  <c r="J168" i="1"/>
  <c r="I168" i="1"/>
  <c r="H168" i="1"/>
  <c r="G168" i="1"/>
  <c r="F168" i="1"/>
  <c r="E168" i="1"/>
  <c r="D168" i="1"/>
  <c r="C168" i="1"/>
  <c r="B168" i="1"/>
  <c r="A168" i="1"/>
  <c r="J167" i="1"/>
  <c r="I167" i="1"/>
  <c r="H167" i="1"/>
  <c r="G167" i="1"/>
  <c r="F167" i="1"/>
  <c r="E167" i="1"/>
  <c r="D167" i="1"/>
  <c r="C167" i="1"/>
  <c r="B167" i="1"/>
  <c r="A167" i="1"/>
  <c r="J166" i="1"/>
  <c r="I166" i="1"/>
  <c r="H166" i="1"/>
  <c r="G166" i="1"/>
  <c r="F166" i="1"/>
  <c r="E166" i="1"/>
  <c r="D166" i="1"/>
  <c r="C166" i="1"/>
  <c r="B166" i="1"/>
  <c r="A166" i="1"/>
  <c r="J165" i="1"/>
  <c r="I165" i="1"/>
  <c r="H165" i="1"/>
  <c r="G165" i="1"/>
  <c r="F165" i="1"/>
  <c r="E165" i="1"/>
  <c r="D165" i="1"/>
  <c r="C165" i="1"/>
  <c r="B165" i="1"/>
  <c r="A165" i="1"/>
  <c r="J164" i="1"/>
  <c r="I164" i="1"/>
  <c r="H164" i="1"/>
  <c r="G164" i="1"/>
  <c r="F164" i="1"/>
  <c r="E164" i="1"/>
  <c r="D164" i="1"/>
  <c r="C164" i="1"/>
  <c r="B164" i="1"/>
  <c r="A164" i="1"/>
  <c r="J163" i="1"/>
  <c r="I163" i="1"/>
  <c r="H163" i="1"/>
  <c r="G163" i="1"/>
  <c r="F163" i="1"/>
  <c r="E163" i="1"/>
  <c r="D163" i="1"/>
  <c r="C163" i="1"/>
  <c r="B163" i="1"/>
  <c r="A163" i="1"/>
  <c r="J162" i="1"/>
  <c r="I162" i="1"/>
  <c r="H162" i="1"/>
  <c r="G162" i="1"/>
  <c r="F162" i="1"/>
  <c r="E162" i="1"/>
  <c r="D162" i="1"/>
  <c r="C162" i="1"/>
  <c r="B162" i="1"/>
  <c r="A162" i="1"/>
  <c r="J161" i="1"/>
  <c r="I161" i="1"/>
  <c r="H161" i="1"/>
  <c r="G161" i="1"/>
  <c r="F161" i="1"/>
  <c r="E161" i="1"/>
  <c r="D161" i="1"/>
  <c r="C161" i="1"/>
  <c r="B161" i="1"/>
  <c r="A161" i="1"/>
  <c r="J160" i="1"/>
  <c r="I160" i="1"/>
  <c r="H160" i="1"/>
  <c r="G160" i="1"/>
  <c r="F160" i="1"/>
  <c r="E160" i="1"/>
  <c r="D160" i="1"/>
  <c r="C160" i="1"/>
  <c r="B160" i="1"/>
  <c r="A160" i="1"/>
  <c r="J159" i="1"/>
  <c r="I159" i="1"/>
  <c r="H159" i="1"/>
  <c r="G159" i="1"/>
  <c r="F159" i="1"/>
  <c r="E159" i="1"/>
  <c r="D159" i="1"/>
  <c r="C159" i="1"/>
  <c r="B159" i="1"/>
  <c r="A159" i="1"/>
  <c r="J158" i="1"/>
  <c r="I158" i="1"/>
  <c r="H158" i="1"/>
  <c r="G158" i="1"/>
  <c r="F158" i="1"/>
  <c r="E158" i="1"/>
  <c r="D158" i="1"/>
  <c r="C158" i="1"/>
  <c r="B158" i="1"/>
  <c r="A158" i="1"/>
  <c r="J157" i="1"/>
  <c r="I157" i="1"/>
  <c r="H157" i="1"/>
  <c r="G157" i="1"/>
  <c r="F157" i="1"/>
  <c r="E157" i="1"/>
  <c r="D157" i="1"/>
  <c r="C157" i="1"/>
  <c r="B157" i="1"/>
  <c r="A157" i="1"/>
  <c r="J156" i="1"/>
  <c r="I156" i="1"/>
  <c r="H156" i="1"/>
  <c r="G156" i="1"/>
  <c r="F156" i="1"/>
  <c r="E156" i="1"/>
  <c r="D156" i="1"/>
  <c r="C156" i="1"/>
  <c r="B156" i="1"/>
  <c r="A156" i="1"/>
  <c r="J155" i="1"/>
  <c r="I155" i="1"/>
  <c r="H155" i="1"/>
  <c r="G155" i="1"/>
  <c r="F155" i="1"/>
  <c r="E155" i="1"/>
  <c r="D155" i="1"/>
  <c r="C155" i="1"/>
  <c r="B155" i="1"/>
  <c r="A155" i="1"/>
  <c r="J154" i="1"/>
  <c r="I154" i="1"/>
  <c r="H154" i="1"/>
  <c r="G154" i="1"/>
  <c r="F154" i="1"/>
  <c r="E154" i="1"/>
  <c r="D154" i="1"/>
  <c r="C154" i="1"/>
  <c r="B154" i="1"/>
  <c r="A154" i="1"/>
  <c r="J153" i="1"/>
  <c r="I153" i="1"/>
  <c r="H153" i="1"/>
  <c r="G153" i="1"/>
  <c r="F153" i="1"/>
  <c r="E153" i="1"/>
  <c r="D153" i="1"/>
  <c r="C153" i="1"/>
  <c r="B153" i="1"/>
  <c r="A153" i="1"/>
  <c r="J152" i="1"/>
  <c r="I152" i="1"/>
  <c r="H152" i="1"/>
  <c r="G152" i="1"/>
  <c r="F152" i="1"/>
  <c r="E152" i="1"/>
  <c r="D152" i="1"/>
  <c r="C152" i="1"/>
  <c r="B152" i="1"/>
  <c r="A152" i="1"/>
  <c r="J151" i="1"/>
  <c r="I151" i="1"/>
  <c r="H151" i="1"/>
  <c r="G151" i="1"/>
  <c r="F151" i="1"/>
  <c r="E151" i="1"/>
  <c r="D151" i="1"/>
  <c r="C151" i="1"/>
  <c r="B151" i="1"/>
  <c r="A151" i="1"/>
  <c r="J150" i="1"/>
  <c r="I150" i="1"/>
  <c r="H150" i="1"/>
  <c r="G150" i="1"/>
  <c r="F150" i="1"/>
  <c r="E150" i="1"/>
  <c r="D150" i="1"/>
  <c r="C150" i="1"/>
  <c r="B150" i="1"/>
  <c r="A150" i="1"/>
  <c r="J149" i="1"/>
  <c r="I149" i="1"/>
  <c r="H149" i="1"/>
  <c r="G149" i="1"/>
  <c r="F149" i="1"/>
  <c r="E149" i="1"/>
  <c r="D149" i="1"/>
  <c r="C149" i="1"/>
  <c r="B149" i="1"/>
  <c r="A149" i="1"/>
  <c r="J148" i="1"/>
  <c r="I148" i="1"/>
  <c r="H148" i="1"/>
  <c r="G148" i="1"/>
  <c r="F148" i="1"/>
  <c r="E148" i="1"/>
  <c r="D148" i="1"/>
  <c r="C148" i="1"/>
  <c r="B148" i="1"/>
  <c r="A148" i="1"/>
  <c r="J147" i="1"/>
  <c r="I147" i="1"/>
  <c r="H147" i="1"/>
  <c r="G147" i="1"/>
  <c r="F147" i="1"/>
  <c r="E147" i="1"/>
  <c r="D147" i="1"/>
  <c r="C147" i="1"/>
  <c r="B147" i="1"/>
  <c r="A147" i="1"/>
  <c r="J146" i="1"/>
  <c r="I146" i="1"/>
  <c r="H146" i="1"/>
  <c r="G146" i="1"/>
  <c r="F146" i="1"/>
  <c r="E146" i="1"/>
  <c r="D146" i="1"/>
  <c r="C146" i="1"/>
  <c r="B146" i="1"/>
  <c r="A146" i="1"/>
  <c r="J145" i="1"/>
  <c r="I145" i="1"/>
  <c r="H145" i="1"/>
  <c r="G145" i="1"/>
  <c r="F145" i="1"/>
  <c r="E145" i="1"/>
  <c r="D145" i="1"/>
  <c r="C145" i="1"/>
  <c r="B145" i="1"/>
  <c r="A145" i="1"/>
  <c r="J144" i="1"/>
  <c r="I144" i="1"/>
  <c r="H144" i="1"/>
  <c r="G144" i="1"/>
  <c r="F144" i="1"/>
  <c r="E144" i="1"/>
  <c r="D144" i="1"/>
  <c r="C144" i="1"/>
  <c r="B144" i="1"/>
  <c r="A144" i="1"/>
  <c r="J143" i="1"/>
  <c r="I143" i="1"/>
  <c r="H143" i="1"/>
  <c r="G143" i="1"/>
  <c r="F143" i="1"/>
  <c r="E143" i="1"/>
  <c r="D143" i="1"/>
  <c r="C143" i="1"/>
  <c r="B143" i="1"/>
  <c r="A143" i="1"/>
  <c r="J142" i="1"/>
  <c r="I142" i="1"/>
  <c r="H142" i="1"/>
  <c r="G142" i="1"/>
  <c r="F142" i="1"/>
  <c r="E142" i="1"/>
  <c r="D142" i="1"/>
  <c r="C142" i="1"/>
  <c r="B142" i="1"/>
  <c r="A142" i="1"/>
  <c r="J141" i="1"/>
  <c r="I141" i="1"/>
  <c r="H141" i="1"/>
  <c r="G141" i="1"/>
  <c r="F141" i="1"/>
  <c r="E141" i="1"/>
  <c r="D141" i="1"/>
  <c r="C141" i="1"/>
  <c r="B141" i="1"/>
  <c r="A141" i="1"/>
  <c r="J140" i="1"/>
  <c r="I140" i="1"/>
  <c r="H140" i="1"/>
  <c r="G140" i="1"/>
  <c r="F140" i="1"/>
  <c r="E140" i="1"/>
  <c r="D140" i="1"/>
  <c r="C140" i="1"/>
  <c r="B140" i="1"/>
  <c r="A140" i="1"/>
  <c r="J139" i="1"/>
  <c r="I139" i="1"/>
  <c r="H139" i="1"/>
  <c r="G139" i="1"/>
  <c r="F139" i="1"/>
  <c r="E139" i="1"/>
  <c r="D139" i="1"/>
  <c r="C139" i="1"/>
  <c r="B139" i="1"/>
  <c r="A139" i="1"/>
  <c r="J138" i="1"/>
  <c r="I138" i="1"/>
  <c r="H138" i="1"/>
  <c r="G138" i="1"/>
  <c r="F138" i="1"/>
  <c r="E138" i="1"/>
  <c r="D138" i="1"/>
  <c r="C138" i="1"/>
  <c r="B138" i="1"/>
  <c r="A138" i="1"/>
  <c r="J137" i="1"/>
  <c r="I137" i="1"/>
  <c r="H137" i="1"/>
  <c r="G137" i="1"/>
  <c r="F137" i="1"/>
  <c r="E137" i="1"/>
  <c r="D137" i="1"/>
  <c r="C137" i="1"/>
  <c r="B137" i="1"/>
  <c r="A137" i="1"/>
  <c r="J136" i="1"/>
  <c r="I136" i="1"/>
  <c r="H136" i="1"/>
  <c r="G136" i="1"/>
  <c r="F136" i="1"/>
  <c r="E136" i="1"/>
  <c r="D136" i="1"/>
  <c r="C136" i="1"/>
  <c r="B136" i="1"/>
  <c r="A136" i="1"/>
  <c r="J135" i="1"/>
  <c r="I135" i="1"/>
  <c r="H135" i="1"/>
  <c r="G135" i="1"/>
  <c r="F135" i="1"/>
  <c r="E135" i="1"/>
  <c r="D135" i="1"/>
  <c r="C135" i="1"/>
  <c r="B135" i="1"/>
  <c r="A135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32" i="1"/>
  <c r="I132" i="1"/>
  <c r="H132" i="1"/>
  <c r="G132" i="1"/>
  <c r="F132" i="1"/>
  <c r="E132" i="1"/>
  <c r="D132" i="1"/>
  <c r="C132" i="1"/>
  <c r="B132" i="1"/>
  <c r="A132" i="1"/>
  <c r="J131" i="1"/>
  <c r="I131" i="1"/>
  <c r="H131" i="1"/>
  <c r="G131" i="1"/>
  <c r="F131" i="1"/>
  <c r="E131" i="1"/>
  <c r="D131" i="1"/>
  <c r="C131" i="1"/>
  <c r="B131" i="1"/>
  <c r="A131" i="1"/>
  <c r="J130" i="1"/>
  <c r="I130" i="1"/>
  <c r="H130" i="1"/>
  <c r="G130" i="1"/>
  <c r="F130" i="1"/>
  <c r="E130" i="1"/>
  <c r="D130" i="1"/>
  <c r="C130" i="1"/>
  <c r="B130" i="1"/>
  <c r="A130" i="1"/>
  <c r="J129" i="1"/>
  <c r="I129" i="1"/>
  <c r="H129" i="1"/>
  <c r="G129" i="1"/>
  <c r="F129" i="1"/>
  <c r="E129" i="1"/>
  <c r="D129" i="1"/>
  <c r="C129" i="1"/>
  <c r="B129" i="1"/>
  <c r="A129" i="1"/>
  <c r="J128" i="1"/>
  <c r="I128" i="1"/>
  <c r="H128" i="1"/>
  <c r="G128" i="1"/>
  <c r="F128" i="1"/>
  <c r="E128" i="1"/>
  <c r="D128" i="1"/>
  <c r="C128" i="1"/>
  <c r="B128" i="1"/>
  <c r="A128" i="1"/>
  <c r="J127" i="1"/>
  <c r="I127" i="1"/>
  <c r="H127" i="1"/>
  <c r="G127" i="1"/>
  <c r="F127" i="1"/>
  <c r="E127" i="1"/>
  <c r="D127" i="1"/>
  <c r="C127" i="1"/>
  <c r="B127" i="1"/>
  <c r="A127" i="1"/>
  <c r="J126" i="1"/>
  <c r="I126" i="1"/>
  <c r="H126" i="1"/>
  <c r="G126" i="1"/>
  <c r="F126" i="1"/>
  <c r="E126" i="1"/>
  <c r="D126" i="1"/>
  <c r="C126" i="1"/>
  <c r="B126" i="1"/>
  <c r="A126" i="1"/>
  <c r="J125" i="1"/>
  <c r="I125" i="1"/>
  <c r="H125" i="1"/>
  <c r="G125" i="1"/>
  <c r="F125" i="1"/>
  <c r="E125" i="1"/>
  <c r="D125" i="1"/>
  <c r="C125" i="1"/>
  <c r="B125" i="1"/>
  <c r="A125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H123" i="1"/>
  <c r="G123" i="1"/>
  <c r="F123" i="1"/>
  <c r="E123" i="1"/>
  <c r="D123" i="1"/>
  <c r="C123" i="1"/>
  <c r="B123" i="1"/>
  <c r="A123" i="1"/>
  <c r="J122" i="1"/>
  <c r="I122" i="1"/>
  <c r="H122" i="1"/>
  <c r="G122" i="1"/>
  <c r="F122" i="1"/>
  <c r="E122" i="1"/>
  <c r="D122" i="1"/>
  <c r="C122" i="1"/>
  <c r="B122" i="1"/>
  <c r="A122" i="1"/>
  <c r="J121" i="1"/>
  <c r="I121" i="1"/>
  <c r="H121" i="1"/>
  <c r="G121" i="1"/>
  <c r="F121" i="1"/>
  <c r="E121" i="1"/>
  <c r="D121" i="1"/>
  <c r="C121" i="1"/>
  <c r="B121" i="1"/>
  <c r="A121" i="1"/>
  <c r="J120" i="1"/>
  <c r="I120" i="1"/>
  <c r="H120" i="1"/>
  <c r="G120" i="1"/>
  <c r="F120" i="1"/>
  <c r="E120" i="1"/>
  <c r="D120" i="1"/>
  <c r="C120" i="1"/>
  <c r="B120" i="1"/>
  <c r="A120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J117" i="1"/>
  <c r="I117" i="1"/>
  <c r="H117" i="1"/>
  <c r="G117" i="1"/>
  <c r="F117" i="1"/>
  <c r="E117" i="1"/>
  <c r="D117" i="1"/>
  <c r="C117" i="1"/>
  <c r="B117" i="1"/>
  <c r="A117" i="1"/>
  <c r="J116" i="1"/>
  <c r="I116" i="1"/>
  <c r="H116" i="1"/>
  <c r="G116" i="1"/>
  <c r="F116" i="1"/>
  <c r="E116" i="1"/>
  <c r="D116" i="1"/>
  <c r="C116" i="1"/>
  <c r="B116" i="1"/>
  <c r="A116" i="1"/>
  <c r="J115" i="1"/>
  <c r="I115" i="1"/>
  <c r="H115" i="1"/>
  <c r="G115" i="1"/>
  <c r="F115" i="1"/>
  <c r="E115" i="1"/>
  <c r="D115" i="1"/>
  <c r="C115" i="1"/>
  <c r="B115" i="1"/>
  <c r="A115" i="1"/>
  <c r="J114" i="1"/>
  <c r="I114" i="1"/>
  <c r="H114" i="1"/>
  <c r="G114" i="1"/>
  <c r="F114" i="1"/>
  <c r="E114" i="1"/>
  <c r="D114" i="1"/>
  <c r="C114" i="1"/>
  <c r="B114" i="1"/>
  <c r="A114" i="1"/>
  <c r="J113" i="1"/>
  <c r="H113" i="1"/>
  <c r="G113" i="1"/>
  <c r="F113" i="1"/>
  <c r="E113" i="1"/>
  <c r="D113" i="1"/>
  <c r="C113" i="1"/>
  <c r="B113" i="1"/>
  <c r="A113" i="1"/>
  <c r="J112" i="1"/>
  <c r="H112" i="1"/>
  <c r="G112" i="1"/>
  <c r="F112" i="1"/>
  <c r="E112" i="1"/>
  <c r="D112" i="1"/>
  <c r="C112" i="1"/>
  <c r="B112" i="1"/>
  <c r="A112" i="1"/>
  <c r="J111" i="1"/>
  <c r="H111" i="1"/>
  <c r="G111" i="1"/>
  <c r="F111" i="1"/>
  <c r="E111" i="1"/>
  <c r="D111" i="1"/>
  <c r="C111" i="1"/>
  <c r="B111" i="1"/>
  <c r="A111" i="1"/>
  <c r="J110" i="1"/>
  <c r="H110" i="1"/>
  <c r="G110" i="1"/>
  <c r="F110" i="1"/>
  <c r="E110" i="1"/>
  <c r="D110" i="1"/>
  <c r="C110" i="1"/>
  <c r="B110" i="1"/>
  <c r="A110" i="1"/>
  <c r="J109" i="1"/>
  <c r="H109" i="1"/>
  <c r="G109" i="1"/>
  <c r="F109" i="1"/>
  <c r="E109" i="1"/>
  <c r="D109" i="1"/>
  <c r="C109" i="1"/>
  <c r="B109" i="1"/>
  <c r="A109" i="1"/>
  <c r="J108" i="1"/>
  <c r="H108" i="1"/>
  <c r="G108" i="1"/>
  <c r="F108" i="1"/>
  <c r="E108" i="1"/>
  <c r="D108" i="1"/>
  <c r="C108" i="1"/>
  <c r="B108" i="1"/>
  <c r="A108" i="1"/>
  <c r="J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A10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H36" i="1"/>
  <c r="G36" i="1"/>
  <c r="F36" i="1"/>
  <c r="E36" i="1"/>
  <c r="D36" i="1"/>
  <c r="C36" i="1"/>
  <c r="B36" i="1"/>
  <c r="A36" i="1"/>
  <c r="J35" i="1"/>
  <c r="H35" i="1"/>
  <c r="G35" i="1"/>
  <c r="F35" i="1"/>
  <c r="E35" i="1"/>
  <c r="D35" i="1"/>
  <c r="C35" i="1"/>
  <c r="B35" i="1"/>
  <c r="A35" i="1"/>
  <c r="J34" i="1"/>
  <c r="H34" i="1"/>
  <c r="G34" i="1"/>
  <c r="F34" i="1"/>
  <c r="E34" i="1"/>
  <c r="D34" i="1"/>
  <c r="C34" i="1"/>
  <c r="B34" i="1"/>
  <c r="A34" i="1"/>
  <c r="J33" i="1"/>
  <c r="H33" i="1"/>
  <c r="G33" i="1"/>
  <c r="F33" i="1"/>
  <c r="E33" i="1"/>
  <c r="D33" i="1"/>
  <c r="C33" i="1"/>
  <c r="B33" i="1"/>
  <c r="A33" i="1"/>
  <c r="J32" i="1"/>
  <c r="H32" i="1"/>
  <c r="G32" i="1"/>
  <c r="F32" i="1"/>
  <c r="E32" i="1"/>
  <c r="D32" i="1"/>
  <c r="C32" i="1"/>
  <c r="B32" i="1"/>
  <c r="A32" i="1"/>
  <c r="J31" i="1"/>
  <c r="H31" i="1"/>
  <c r="G31" i="1"/>
  <c r="F31" i="1"/>
  <c r="E31" i="1"/>
  <c r="D31" i="1"/>
  <c r="C31" i="1"/>
  <c r="B31" i="1"/>
  <c r="A31" i="1"/>
  <c r="J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  <c r="J1" i="1"/>
  <c r="I1" i="1"/>
  <c r="H1" i="1"/>
  <c r="G1" i="1"/>
  <c r="F1" i="1"/>
  <c r="E1" i="1"/>
  <c r="D1" i="1"/>
  <c r="C1" i="1"/>
  <c r="B1" i="1"/>
  <c r="A1" i="1"/>
  <c r="O95" i="8"/>
  <c r="N95" i="8"/>
  <c r="M95" i="8"/>
  <c r="L95" i="8"/>
  <c r="K95" i="8"/>
  <c r="J95" i="8"/>
  <c r="I95" i="8"/>
  <c r="H95" i="8"/>
  <c r="G95" i="8"/>
  <c r="O94" i="8"/>
  <c r="N94" i="8"/>
  <c r="M94" i="8"/>
  <c r="L94" i="8"/>
  <c r="K94" i="8"/>
  <c r="J94" i="8"/>
  <c r="I94" i="8"/>
  <c r="H94" i="8"/>
  <c r="G94" i="8"/>
  <c r="O93" i="8"/>
  <c r="N93" i="8"/>
  <c r="M93" i="8"/>
  <c r="L93" i="8"/>
  <c r="K93" i="8"/>
  <c r="J93" i="8"/>
  <c r="I93" i="8"/>
  <c r="H93" i="8"/>
  <c r="G93" i="8"/>
  <c r="O92" i="8"/>
  <c r="N92" i="8"/>
  <c r="M92" i="8"/>
  <c r="L92" i="8"/>
  <c r="K92" i="8"/>
  <c r="J92" i="8"/>
  <c r="I92" i="8"/>
  <c r="H92" i="8"/>
  <c r="G92" i="8"/>
  <c r="O91" i="8"/>
  <c r="N91" i="8"/>
  <c r="M91" i="8"/>
  <c r="L91" i="8"/>
  <c r="K91" i="8"/>
  <c r="J91" i="8"/>
  <c r="I91" i="8"/>
  <c r="H91" i="8"/>
  <c r="G91" i="8"/>
  <c r="O89" i="8"/>
  <c r="N89" i="8"/>
  <c r="M89" i="8"/>
  <c r="L89" i="8"/>
  <c r="K89" i="8"/>
  <c r="J89" i="8"/>
  <c r="I89" i="8"/>
  <c r="H89" i="8"/>
  <c r="G89" i="8"/>
  <c r="O88" i="8"/>
  <c r="N88" i="8"/>
  <c r="M88" i="8"/>
  <c r="L88" i="8"/>
  <c r="K88" i="8"/>
  <c r="J88" i="8"/>
  <c r="I88" i="8"/>
  <c r="H88" i="8"/>
  <c r="G88" i="8"/>
  <c r="O84" i="8"/>
  <c r="N84" i="8"/>
  <c r="M84" i="8"/>
  <c r="L84" i="8"/>
  <c r="K84" i="8"/>
  <c r="J84" i="8"/>
  <c r="I84" i="8"/>
  <c r="H84" i="8"/>
  <c r="G84" i="8"/>
  <c r="O83" i="8"/>
  <c r="N83" i="8"/>
  <c r="M83" i="8"/>
  <c r="L83" i="8"/>
  <c r="K83" i="8"/>
  <c r="J83" i="8"/>
  <c r="I83" i="8"/>
  <c r="H83" i="8"/>
  <c r="G83" i="8"/>
  <c r="O82" i="8"/>
  <c r="N82" i="8"/>
  <c r="M82" i="8"/>
  <c r="L82" i="8"/>
  <c r="K82" i="8"/>
  <c r="J82" i="8"/>
  <c r="I82" i="8"/>
  <c r="H82" i="8"/>
  <c r="G82" i="8"/>
  <c r="O81" i="8"/>
  <c r="N81" i="8"/>
  <c r="M81" i="8"/>
  <c r="L81" i="8"/>
  <c r="K81" i="8"/>
  <c r="J81" i="8"/>
  <c r="I81" i="8"/>
  <c r="H81" i="8"/>
  <c r="G81" i="8"/>
  <c r="O80" i="8"/>
  <c r="N80" i="8"/>
  <c r="M80" i="8"/>
  <c r="L80" i="8"/>
  <c r="K80" i="8"/>
  <c r="J80" i="8"/>
  <c r="I80" i="8"/>
  <c r="H80" i="8"/>
  <c r="G80" i="8"/>
  <c r="O78" i="8"/>
  <c r="N78" i="8"/>
  <c r="M78" i="8"/>
  <c r="L78" i="8"/>
  <c r="K78" i="8"/>
  <c r="J78" i="8"/>
  <c r="I78" i="8"/>
  <c r="H78" i="8"/>
  <c r="G78" i="8"/>
  <c r="O77" i="8"/>
  <c r="N77" i="8"/>
  <c r="M77" i="8"/>
  <c r="L77" i="8"/>
  <c r="K77" i="8"/>
  <c r="J77" i="8"/>
  <c r="I77" i="8"/>
  <c r="H77" i="8"/>
  <c r="G77" i="8"/>
  <c r="O73" i="8"/>
  <c r="N73" i="8"/>
  <c r="M73" i="8"/>
  <c r="L73" i="8"/>
  <c r="K73" i="8"/>
  <c r="J73" i="8"/>
  <c r="I73" i="8"/>
  <c r="H73" i="8"/>
  <c r="G73" i="8"/>
  <c r="O72" i="8"/>
  <c r="N72" i="8"/>
  <c r="M72" i="8"/>
  <c r="L72" i="8"/>
  <c r="K72" i="8"/>
  <c r="J72" i="8"/>
  <c r="I72" i="8"/>
  <c r="H72" i="8"/>
  <c r="G72" i="8"/>
  <c r="O71" i="8"/>
  <c r="N71" i="8"/>
  <c r="M71" i="8"/>
  <c r="L71" i="8"/>
  <c r="K71" i="8"/>
  <c r="J71" i="8"/>
  <c r="I71" i="8"/>
  <c r="H71" i="8"/>
  <c r="G71" i="8"/>
  <c r="O70" i="8"/>
  <c r="N70" i="8"/>
  <c r="M70" i="8"/>
  <c r="L70" i="8"/>
  <c r="K70" i="8"/>
  <c r="J70" i="8"/>
  <c r="I70" i="8"/>
  <c r="H70" i="8"/>
  <c r="G70" i="8"/>
  <c r="O69" i="8"/>
  <c r="N69" i="8"/>
  <c r="M69" i="8"/>
  <c r="L69" i="8"/>
  <c r="K69" i="8"/>
  <c r="J69" i="8"/>
  <c r="I69" i="8"/>
  <c r="H69" i="8"/>
  <c r="G69" i="8"/>
  <c r="O67" i="8"/>
  <c r="N67" i="8"/>
  <c r="M67" i="8"/>
  <c r="L67" i="8"/>
  <c r="K67" i="8"/>
  <c r="J67" i="8"/>
  <c r="I67" i="8"/>
  <c r="H67" i="8"/>
  <c r="G67" i="8"/>
  <c r="O66" i="8"/>
  <c r="N66" i="8"/>
  <c r="M66" i="8"/>
  <c r="L66" i="8"/>
  <c r="K66" i="8"/>
  <c r="J66" i="8"/>
  <c r="I66" i="8"/>
  <c r="H66" i="8"/>
  <c r="G66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K158" i="7"/>
  <c r="J158" i="7"/>
  <c r="I158" i="7"/>
  <c r="H158" i="7"/>
  <c r="G158" i="7"/>
  <c r="F158" i="7"/>
  <c r="E158" i="7"/>
  <c r="D158" i="7"/>
  <c r="C158" i="7"/>
  <c r="B158" i="7"/>
  <c r="K147" i="7"/>
  <c r="J147" i="7"/>
  <c r="I147" i="7"/>
  <c r="H147" i="7"/>
  <c r="G147" i="7"/>
  <c r="F147" i="7"/>
  <c r="E147" i="7"/>
  <c r="D147" i="7"/>
  <c r="C147" i="7"/>
  <c r="B147" i="7"/>
  <c r="K136" i="7"/>
  <c r="J136" i="7"/>
  <c r="I136" i="7"/>
  <c r="H136" i="7"/>
  <c r="G136" i="7"/>
  <c r="F136" i="7"/>
  <c r="E136" i="7"/>
  <c r="D136" i="7"/>
  <c r="C136" i="7"/>
  <c r="B136" i="7"/>
  <c r="K125" i="7"/>
  <c r="J125" i="7"/>
  <c r="I125" i="7"/>
  <c r="H125" i="7"/>
  <c r="G125" i="7"/>
  <c r="F125" i="7"/>
  <c r="E125" i="7"/>
  <c r="D125" i="7"/>
  <c r="C125" i="7"/>
  <c r="B125" i="7"/>
  <c r="K114" i="7"/>
  <c r="J114" i="7"/>
  <c r="I114" i="7"/>
  <c r="H114" i="7"/>
  <c r="G114" i="7"/>
  <c r="F114" i="7"/>
  <c r="E114" i="7"/>
  <c r="D114" i="7"/>
  <c r="C114" i="7"/>
  <c r="B114" i="7"/>
  <c r="K103" i="7"/>
  <c r="J103" i="7"/>
  <c r="I103" i="7"/>
  <c r="H103" i="7"/>
  <c r="G103" i="7"/>
  <c r="F103" i="7"/>
  <c r="E103" i="7"/>
  <c r="D103" i="7"/>
  <c r="C103" i="7"/>
  <c r="B103" i="7"/>
  <c r="K92" i="7"/>
  <c r="J92" i="7"/>
  <c r="I92" i="7"/>
  <c r="H92" i="7"/>
  <c r="G92" i="7"/>
  <c r="F92" i="7"/>
  <c r="E92" i="7"/>
  <c r="D92" i="7"/>
  <c r="C92" i="7"/>
  <c r="B92" i="7"/>
  <c r="K81" i="7"/>
  <c r="J81" i="7"/>
  <c r="I81" i="7"/>
  <c r="H81" i="7"/>
  <c r="G81" i="7"/>
  <c r="F81" i="7"/>
  <c r="E81" i="7"/>
  <c r="D81" i="7"/>
  <c r="C81" i="7"/>
  <c r="B81" i="7"/>
  <c r="K70" i="7"/>
  <c r="J70" i="7"/>
  <c r="I70" i="7"/>
  <c r="H70" i="7"/>
  <c r="G70" i="7"/>
  <c r="F70" i="7"/>
  <c r="E70" i="7"/>
  <c r="D70" i="7"/>
  <c r="C70" i="7"/>
  <c r="B70" i="7"/>
  <c r="K59" i="7"/>
  <c r="J59" i="7"/>
  <c r="I59" i="7"/>
  <c r="H59" i="7"/>
  <c r="G59" i="7"/>
  <c r="F59" i="7"/>
  <c r="E59" i="7"/>
  <c r="D59" i="7"/>
  <c r="C59" i="7"/>
  <c r="B59" i="7"/>
  <c r="K48" i="7"/>
  <c r="J48" i="7"/>
  <c r="I48" i="7"/>
  <c r="H48" i="7"/>
  <c r="G48" i="7"/>
  <c r="F48" i="7"/>
  <c r="E48" i="7"/>
  <c r="D48" i="7"/>
  <c r="C48" i="7"/>
  <c r="B48" i="7"/>
  <c r="K37" i="7"/>
  <c r="J37" i="7"/>
  <c r="I37" i="7"/>
  <c r="H37" i="7"/>
  <c r="G37" i="7"/>
  <c r="F37" i="7"/>
  <c r="E37" i="7"/>
  <c r="D37" i="7"/>
  <c r="C37" i="7"/>
  <c r="B37" i="7"/>
  <c r="K26" i="7"/>
  <c r="J26" i="7"/>
  <c r="I26" i="7"/>
  <c r="H26" i="7"/>
  <c r="G26" i="7"/>
  <c r="F26" i="7"/>
  <c r="E26" i="7"/>
  <c r="D26" i="7"/>
  <c r="C26" i="7"/>
  <c r="B26" i="7"/>
  <c r="K15" i="7"/>
  <c r="J15" i="7"/>
  <c r="I15" i="7"/>
  <c r="H15" i="7"/>
  <c r="G15" i="7"/>
  <c r="F15" i="7"/>
  <c r="E15" i="7"/>
  <c r="D15" i="7"/>
  <c r="C15" i="7"/>
  <c r="B15" i="7"/>
  <c r="K4" i="7"/>
  <c r="J4" i="7"/>
  <c r="I4" i="7"/>
  <c r="H4" i="7"/>
  <c r="G4" i="7"/>
  <c r="F4" i="7"/>
  <c r="E4" i="7"/>
  <c r="D4" i="7"/>
  <c r="C4" i="7"/>
  <c r="B4" i="7"/>
  <c r="H158" i="20"/>
  <c r="G158" i="20"/>
  <c r="F158" i="20"/>
  <c r="E158" i="20"/>
  <c r="D158" i="20"/>
  <c r="C158" i="20"/>
  <c r="B158" i="20"/>
  <c r="H147" i="20"/>
  <c r="G147" i="20"/>
  <c r="F147" i="20"/>
  <c r="E147" i="20"/>
  <c r="D147" i="20"/>
  <c r="C147" i="20"/>
  <c r="B147" i="20"/>
  <c r="H136" i="20"/>
  <c r="G136" i="20"/>
  <c r="F136" i="20"/>
  <c r="E136" i="20"/>
  <c r="D136" i="20"/>
  <c r="C136" i="20"/>
  <c r="B136" i="20"/>
  <c r="H125" i="20"/>
  <c r="G125" i="20"/>
  <c r="F125" i="20"/>
  <c r="E125" i="20"/>
  <c r="D125" i="20"/>
  <c r="C125" i="20"/>
  <c r="B125" i="20"/>
  <c r="H114" i="20"/>
  <c r="G114" i="20"/>
  <c r="F114" i="20"/>
  <c r="E114" i="20"/>
  <c r="D114" i="20"/>
  <c r="C114" i="20"/>
  <c r="B114" i="20"/>
  <c r="H103" i="20"/>
  <c r="G103" i="20"/>
  <c r="F103" i="20"/>
  <c r="E103" i="20"/>
  <c r="D103" i="20"/>
  <c r="C103" i="20"/>
  <c r="B103" i="20"/>
  <c r="H92" i="20"/>
  <c r="G92" i="20"/>
  <c r="F92" i="20"/>
  <c r="E92" i="20"/>
  <c r="D92" i="20"/>
  <c r="C92" i="20"/>
  <c r="B92" i="20"/>
  <c r="H81" i="20"/>
  <c r="G81" i="20"/>
  <c r="F81" i="20"/>
  <c r="E81" i="20"/>
  <c r="D81" i="20"/>
  <c r="C81" i="20"/>
  <c r="B81" i="20"/>
  <c r="H70" i="20"/>
  <c r="G70" i="20"/>
  <c r="F70" i="20"/>
  <c r="E70" i="20"/>
  <c r="D70" i="20"/>
  <c r="C70" i="20"/>
  <c r="B70" i="20"/>
  <c r="H59" i="20"/>
  <c r="G59" i="20"/>
  <c r="F59" i="20"/>
  <c r="E59" i="20"/>
  <c r="D59" i="20"/>
  <c r="C59" i="20"/>
  <c r="B59" i="20"/>
  <c r="H48" i="20"/>
  <c r="G48" i="20"/>
  <c r="F48" i="20"/>
  <c r="E48" i="20"/>
  <c r="D48" i="20"/>
  <c r="C48" i="20"/>
  <c r="B48" i="20"/>
  <c r="H37" i="20"/>
  <c r="G37" i="20"/>
  <c r="F37" i="20"/>
  <c r="E37" i="20"/>
  <c r="D37" i="20"/>
  <c r="C37" i="20"/>
  <c r="B37" i="20"/>
  <c r="H26" i="20"/>
  <c r="G26" i="20"/>
  <c r="F26" i="20"/>
  <c r="E26" i="20"/>
  <c r="D26" i="20"/>
  <c r="C26" i="20"/>
  <c r="B26" i="20"/>
  <c r="H15" i="20"/>
  <c r="G15" i="20"/>
  <c r="F15" i="20"/>
  <c r="E15" i="20"/>
  <c r="D15" i="20"/>
  <c r="C15" i="20"/>
  <c r="B15" i="20"/>
  <c r="H4" i="20"/>
  <c r="G4" i="20"/>
  <c r="F4" i="20"/>
  <c r="E4" i="20"/>
  <c r="D4" i="20"/>
  <c r="C4" i="20"/>
  <c r="B4" i="20"/>
  <c r="J169" i="7" l="1"/>
  <c r="I169" i="7"/>
  <c r="K169" i="7"/>
  <c r="D169" i="20" l="1"/>
  <c r="C169" i="20"/>
  <c r="G169" i="20"/>
  <c r="H169" i="20"/>
  <c r="B169" i="20"/>
  <c r="F169" i="20"/>
  <c r="E169" i="20"/>
  <c r="B169" i="7" l="1"/>
  <c r="B1073" i="2" l="1"/>
  <c r="B1072" i="2"/>
  <c r="B1071" i="2"/>
  <c r="B1070" i="2"/>
  <c r="B1069" i="2"/>
  <c r="B1068" i="2"/>
  <c r="B1066" i="2"/>
  <c r="B1065" i="2"/>
  <c r="B1064" i="2"/>
  <c r="B1063" i="2"/>
  <c r="B1062" i="2"/>
  <c r="B1061" i="2"/>
  <c r="B1060" i="2"/>
  <c r="B1059" i="2"/>
  <c r="B1058" i="2"/>
  <c r="B1056" i="2"/>
  <c r="B1055" i="2"/>
  <c r="B1054" i="2"/>
  <c r="B1053" i="2"/>
  <c r="B1052" i="2"/>
  <c r="B1051" i="2"/>
  <c r="B1050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0" i="2"/>
  <c r="B1029" i="2"/>
  <c r="B1028" i="2"/>
  <c r="B1027" i="2"/>
  <c r="B1026" i="2"/>
  <c r="B1025" i="2"/>
  <c r="B1024" i="2"/>
  <c r="B1023" i="2"/>
  <c r="B1022" i="2"/>
  <c r="B1020" i="2"/>
  <c r="B1019" i="2"/>
  <c r="B1018" i="2"/>
  <c r="B1017" i="2"/>
  <c r="B1016" i="2"/>
  <c r="B1015" i="2"/>
  <c r="B1014" i="2"/>
  <c r="B1013" i="2"/>
  <c r="B1012" i="2"/>
  <c r="B1010" i="2"/>
  <c r="B1009" i="2"/>
  <c r="B1008" i="2"/>
  <c r="B1007" i="2"/>
  <c r="B1006" i="2"/>
  <c r="B1005" i="2"/>
  <c r="B1004" i="2"/>
  <c r="B1002" i="2"/>
  <c r="B1001" i="2"/>
  <c r="B1000" i="2"/>
  <c r="B999" i="2"/>
  <c r="B998" i="2"/>
  <c r="B997" i="2"/>
  <c r="B996" i="2"/>
  <c r="B995" i="2"/>
  <c r="B994" i="2"/>
  <c r="B992" i="2"/>
  <c r="B991" i="2"/>
  <c r="B990" i="2"/>
  <c r="B989" i="2"/>
  <c r="B988" i="2"/>
  <c r="B987" i="2"/>
  <c r="B986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6" i="2"/>
  <c r="B965" i="2"/>
  <c r="B964" i="2"/>
  <c r="B963" i="2"/>
  <c r="B962" i="2"/>
  <c r="B961" i="2"/>
  <c r="B960" i="2"/>
  <c r="B959" i="2"/>
  <c r="B958" i="2"/>
  <c r="B956" i="2"/>
  <c r="B955" i="2"/>
  <c r="B954" i="2"/>
  <c r="B953" i="2"/>
  <c r="B952" i="2"/>
  <c r="B951" i="2"/>
  <c r="B950" i="2"/>
  <c r="B949" i="2"/>
  <c r="B948" i="2"/>
  <c r="B946" i="2"/>
  <c r="B945" i="2"/>
  <c r="B944" i="2"/>
  <c r="B943" i="2"/>
  <c r="B942" i="2"/>
  <c r="B941" i="2"/>
  <c r="B940" i="2"/>
  <c r="B938" i="2"/>
  <c r="B937" i="2"/>
  <c r="B936" i="2"/>
  <c r="B935" i="2"/>
  <c r="B934" i="2"/>
  <c r="B933" i="2"/>
  <c r="B932" i="2"/>
  <c r="B931" i="2"/>
  <c r="B930" i="2"/>
  <c r="B928" i="2"/>
  <c r="B927" i="2"/>
  <c r="B926" i="2"/>
  <c r="B925" i="2"/>
  <c r="B924" i="2"/>
  <c r="B923" i="2"/>
  <c r="B922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2" i="2"/>
  <c r="B901" i="2"/>
  <c r="B900" i="2"/>
  <c r="B899" i="2"/>
  <c r="B898" i="2"/>
  <c r="B897" i="2"/>
  <c r="B896" i="2"/>
  <c r="B895" i="2"/>
  <c r="B894" i="2"/>
  <c r="B892" i="2"/>
  <c r="B891" i="2"/>
  <c r="B890" i="2"/>
  <c r="B889" i="2"/>
  <c r="B888" i="2"/>
  <c r="B887" i="2"/>
  <c r="B886" i="2"/>
  <c r="B885" i="2"/>
  <c r="B884" i="2"/>
  <c r="B882" i="2"/>
  <c r="B881" i="2"/>
  <c r="B880" i="2"/>
  <c r="B879" i="2"/>
  <c r="B878" i="2"/>
  <c r="B877" i="2"/>
  <c r="B876" i="2"/>
  <c r="B874" i="2"/>
  <c r="B873" i="2"/>
  <c r="B872" i="2"/>
  <c r="B871" i="2"/>
  <c r="B870" i="2"/>
  <c r="B869" i="2"/>
  <c r="B868" i="2"/>
  <c r="B867" i="2"/>
  <c r="B866" i="2"/>
  <c r="B864" i="2"/>
  <c r="B863" i="2"/>
  <c r="B862" i="2"/>
  <c r="B861" i="2"/>
  <c r="B860" i="2"/>
  <c r="B859" i="2"/>
  <c r="B858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8" i="2"/>
  <c r="B837" i="2"/>
  <c r="B836" i="2"/>
  <c r="B835" i="2"/>
  <c r="B834" i="2"/>
  <c r="B833" i="2"/>
  <c r="B832" i="2"/>
  <c r="B831" i="2"/>
  <c r="B830" i="2"/>
  <c r="B828" i="2"/>
  <c r="B827" i="2"/>
  <c r="B826" i="2"/>
  <c r="B825" i="2"/>
  <c r="B824" i="2"/>
  <c r="B823" i="2"/>
  <c r="B822" i="2"/>
  <c r="B821" i="2"/>
  <c r="B820" i="2"/>
  <c r="B818" i="2"/>
  <c r="B817" i="2"/>
  <c r="B816" i="2"/>
  <c r="B815" i="2"/>
  <c r="B814" i="2"/>
  <c r="B813" i="2"/>
  <c r="B812" i="2"/>
  <c r="B810" i="2"/>
  <c r="B809" i="2"/>
  <c r="B808" i="2"/>
  <c r="B807" i="2"/>
  <c r="B806" i="2"/>
  <c r="B805" i="2"/>
  <c r="B804" i="2"/>
  <c r="B803" i="2"/>
  <c r="B802" i="2"/>
  <c r="B800" i="2"/>
  <c r="B799" i="2"/>
  <c r="B798" i="2"/>
  <c r="B797" i="2"/>
  <c r="B796" i="2"/>
  <c r="B795" i="2"/>
  <c r="B794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4" i="2"/>
  <c r="B773" i="2"/>
  <c r="B772" i="2"/>
  <c r="B771" i="2"/>
  <c r="B770" i="2"/>
  <c r="B769" i="2"/>
  <c r="B768" i="2"/>
  <c r="B767" i="2"/>
  <c r="B766" i="2"/>
  <c r="B764" i="2"/>
  <c r="B763" i="2"/>
  <c r="B762" i="2"/>
  <c r="B761" i="2"/>
  <c r="B760" i="2"/>
  <c r="B759" i="2"/>
  <c r="B758" i="2"/>
  <c r="B757" i="2"/>
  <c r="B756" i="2"/>
  <c r="B754" i="2"/>
  <c r="B753" i="2"/>
  <c r="B752" i="2"/>
  <c r="B751" i="2"/>
  <c r="B750" i="2"/>
  <c r="B749" i="2"/>
  <c r="B748" i="2"/>
  <c r="B746" i="2"/>
  <c r="B745" i="2"/>
  <c r="B744" i="2"/>
  <c r="B743" i="2"/>
  <c r="B742" i="2"/>
  <c r="B741" i="2"/>
  <c r="B740" i="2"/>
  <c r="B739" i="2"/>
  <c r="B738" i="2"/>
  <c r="B736" i="2"/>
  <c r="B735" i="2"/>
  <c r="B734" i="2"/>
  <c r="B733" i="2"/>
  <c r="B732" i="2"/>
  <c r="B731" i="2"/>
  <c r="B730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0" i="2"/>
  <c r="B709" i="2"/>
  <c r="B708" i="2"/>
  <c r="B707" i="2"/>
  <c r="B706" i="2"/>
  <c r="B705" i="2"/>
  <c r="B704" i="2"/>
  <c r="B703" i="2"/>
  <c r="B702" i="2"/>
  <c r="B700" i="2"/>
  <c r="B699" i="2"/>
  <c r="B698" i="2"/>
  <c r="B697" i="2"/>
  <c r="B696" i="2"/>
  <c r="B695" i="2"/>
  <c r="B694" i="2"/>
  <c r="B693" i="2"/>
  <c r="B692" i="2"/>
  <c r="B690" i="2"/>
  <c r="B689" i="2"/>
  <c r="B688" i="2"/>
  <c r="B687" i="2"/>
  <c r="B686" i="2"/>
  <c r="B685" i="2"/>
  <c r="B684" i="2"/>
  <c r="B682" i="2"/>
  <c r="B681" i="2"/>
  <c r="B680" i="2"/>
  <c r="B679" i="2"/>
  <c r="B678" i="2"/>
  <c r="B677" i="2"/>
  <c r="B676" i="2"/>
  <c r="B675" i="2"/>
  <c r="B674" i="2"/>
  <c r="B672" i="2"/>
  <c r="B671" i="2"/>
  <c r="B670" i="2"/>
  <c r="B669" i="2"/>
  <c r="B668" i="2"/>
  <c r="B667" i="2"/>
  <c r="B666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6" i="2"/>
  <c r="B645" i="2"/>
  <c r="B644" i="2"/>
  <c r="B643" i="2"/>
  <c r="B642" i="2"/>
  <c r="B641" i="2"/>
  <c r="B640" i="2"/>
  <c r="B639" i="2"/>
  <c r="B638" i="2"/>
  <c r="B636" i="2"/>
  <c r="B635" i="2"/>
  <c r="B634" i="2"/>
  <c r="B633" i="2"/>
  <c r="B632" i="2"/>
  <c r="B631" i="2"/>
  <c r="B630" i="2"/>
  <c r="B629" i="2"/>
  <c r="B628" i="2"/>
  <c r="B626" i="2"/>
  <c r="B625" i="2"/>
  <c r="B624" i="2"/>
  <c r="B623" i="2"/>
  <c r="B622" i="2"/>
  <c r="B621" i="2"/>
  <c r="B620" i="2"/>
  <c r="B618" i="2"/>
  <c r="B617" i="2"/>
  <c r="B616" i="2"/>
  <c r="B615" i="2"/>
  <c r="B614" i="2"/>
  <c r="B613" i="2"/>
  <c r="B612" i="2"/>
  <c r="B611" i="2"/>
  <c r="B610" i="2"/>
  <c r="B608" i="2"/>
  <c r="B607" i="2"/>
  <c r="B606" i="2"/>
  <c r="B605" i="2"/>
  <c r="B604" i="2"/>
  <c r="B603" i="2"/>
  <c r="B602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2" i="2"/>
  <c r="B581" i="2"/>
  <c r="B580" i="2"/>
  <c r="B579" i="2"/>
  <c r="B578" i="2"/>
  <c r="B577" i="2"/>
  <c r="B576" i="2"/>
  <c r="B575" i="2"/>
  <c r="B574" i="2"/>
  <c r="B572" i="2"/>
  <c r="B571" i="2"/>
  <c r="B570" i="2"/>
  <c r="B569" i="2"/>
  <c r="B568" i="2"/>
  <c r="B567" i="2"/>
  <c r="B566" i="2"/>
  <c r="B565" i="2"/>
  <c r="B564" i="2"/>
  <c r="B562" i="2"/>
  <c r="B561" i="2"/>
  <c r="B560" i="2"/>
  <c r="B559" i="2"/>
  <c r="B558" i="2"/>
  <c r="B557" i="2"/>
  <c r="B556" i="2"/>
  <c r="B554" i="2"/>
  <c r="B553" i="2"/>
  <c r="B552" i="2"/>
  <c r="B551" i="2"/>
  <c r="B550" i="2"/>
  <c r="B549" i="2"/>
  <c r="B548" i="2"/>
  <c r="B547" i="2"/>
  <c r="B546" i="2"/>
  <c r="B544" i="2"/>
  <c r="B543" i="2"/>
  <c r="B542" i="2"/>
  <c r="B541" i="2"/>
  <c r="B540" i="2"/>
  <c r="B539" i="2"/>
  <c r="B538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8" i="2"/>
  <c r="B517" i="2"/>
  <c r="B516" i="2"/>
  <c r="B515" i="2"/>
  <c r="B514" i="2"/>
  <c r="B513" i="2"/>
  <c r="B512" i="2"/>
  <c r="B511" i="2"/>
  <c r="B510" i="2"/>
  <c r="B508" i="2"/>
  <c r="B507" i="2"/>
  <c r="B506" i="2"/>
  <c r="B505" i="2"/>
  <c r="B504" i="2"/>
  <c r="B503" i="2"/>
  <c r="B502" i="2"/>
  <c r="B501" i="2"/>
  <c r="B500" i="2"/>
  <c r="B498" i="2"/>
  <c r="B497" i="2"/>
  <c r="B496" i="2"/>
  <c r="B495" i="2"/>
  <c r="B494" i="2"/>
  <c r="B493" i="2"/>
  <c r="B492" i="2"/>
  <c r="B490" i="2"/>
  <c r="B489" i="2"/>
  <c r="B488" i="2"/>
  <c r="B487" i="2"/>
  <c r="B486" i="2"/>
  <c r="B485" i="2"/>
  <c r="B484" i="2"/>
  <c r="B483" i="2"/>
  <c r="B482" i="2"/>
  <c r="B480" i="2"/>
  <c r="B479" i="2"/>
  <c r="B478" i="2"/>
  <c r="B477" i="2"/>
  <c r="B476" i="2"/>
  <c r="B475" i="2"/>
  <c r="B474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4" i="2"/>
  <c r="B453" i="2"/>
  <c r="B452" i="2"/>
  <c r="B451" i="2"/>
  <c r="B450" i="2"/>
  <c r="B449" i="2"/>
  <c r="B448" i="2"/>
  <c r="B447" i="2"/>
  <c r="B446" i="2"/>
  <c r="B444" i="2"/>
  <c r="B443" i="2"/>
  <c r="B442" i="2"/>
  <c r="B441" i="2"/>
  <c r="B440" i="2"/>
  <c r="B439" i="2"/>
  <c r="B438" i="2"/>
  <c r="B437" i="2"/>
  <c r="B436" i="2"/>
  <c r="B434" i="2"/>
  <c r="B433" i="2"/>
  <c r="B432" i="2"/>
  <c r="B431" i="2"/>
  <c r="B430" i="2"/>
  <c r="B429" i="2"/>
  <c r="B428" i="2"/>
  <c r="B426" i="2"/>
  <c r="B425" i="2"/>
  <c r="B424" i="2"/>
  <c r="B423" i="2"/>
  <c r="B422" i="2"/>
  <c r="B421" i="2"/>
  <c r="B420" i="2"/>
  <c r="B419" i="2"/>
  <c r="B418" i="2"/>
  <c r="B416" i="2"/>
  <c r="B415" i="2"/>
  <c r="B414" i="2"/>
  <c r="B413" i="2"/>
  <c r="B412" i="2"/>
  <c r="B411" i="2"/>
  <c r="B410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0" i="2"/>
  <c r="B389" i="2"/>
  <c r="B388" i="2"/>
  <c r="B387" i="2"/>
  <c r="B386" i="2"/>
  <c r="B385" i="2"/>
  <c r="B384" i="2"/>
  <c r="B383" i="2"/>
  <c r="B382" i="2"/>
  <c r="B380" i="2"/>
  <c r="B379" i="2"/>
  <c r="B378" i="2"/>
  <c r="B377" i="2"/>
  <c r="B376" i="2"/>
  <c r="B375" i="2"/>
  <c r="B374" i="2"/>
  <c r="B373" i="2"/>
  <c r="B372" i="2"/>
  <c r="B370" i="2"/>
  <c r="B369" i="2"/>
  <c r="B368" i="2"/>
  <c r="B367" i="2"/>
  <c r="B366" i="2"/>
  <c r="B365" i="2"/>
  <c r="B364" i="2"/>
  <c r="B362" i="2"/>
  <c r="B361" i="2"/>
  <c r="B360" i="2"/>
  <c r="B359" i="2"/>
  <c r="B358" i="2"/>
  <c r="B357" i="2"/>
  <c r="B356" i="2"/>
  <c r="B355" i="2"/>
  <c r="B354" i="2"/>
  <c r="B352" i="2"/>
  <c r="B351" i="2"/>
  <c r="B350" i="2"/>
  <c r="B349" i="2"/>
  <c r="B348" i="2"/>
  <c r="B347" i="2"/>
  <c r="B346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6" i="2"/>
  <c r="B325" i="2"/>
  <c r="B324" i="2"/>
  <c r="B323" i="2"/>
  <c r="B322" i="2"/>
  <c r="B321" i="2"/>
  <c r="B320" i="2"/>
  <c r="B319" i="2"/>
  <c r="A319" i="2"/>
  <c r="A48" i="20" s="1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8" i="2"/>
  <c r="B297" i="2"/>
  <c r="B296" i="2"/>
  <c r="B295" i="2"/>
  <c r="B294" i="2"/>
  <c r="B293" i="2"/>
  <c r="B292" i="2"/>
  <c r="B291" i="2"/>
  <c r="B290" i="2"/>
  <c r="B288" i="2"/>
  <c r="B287" i="2"/>
  <c r="B286" i="2"/>
  <c r="B285" i="2"/>
  <c r="B284" i="2"/>
  <c r="B283" i="2"/>
  <c r="B282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2" i="2"/>
  <c r="B251" i="2"/>
  <c r="B250" i="2"/>
  <c r="B249" i="2"/>
  <c r="B248" i="2"/>
  <c r="B247" i="2"/>
  <c r="B246" i="2"/>
  <c r="B245" i="2"/>
  <c r="B244" i="2"/>
  <c r="B242" i="2"/>
  <c r="B241" i="2"/>
  <c r="B240" i="2"/>
  <c r="B239" i="2"/>
  <c r="B238" i="2"/>
  <c r="B237" i="2"/>
  <c r="B236" i="2"/>
  <c r="B234" i="2"/>
  <c r="B233" i="2"/>
  <c r="B232" i="2"/>
  <c r="B231" i="2"/>
  <c r="B230" i="2"/>
  <c r="B229" i="2"/>
  <c r="B228" i="2"/>
  <c r="B227" i="2"/>
  <c r="B226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8" i="2"/>
  <c r="B197" i="2"/>
  <c r="B196" i="2"/>
  <c r="B195" i="2"/>
  <c r="B194" i="2"/>
  <c r="B193" i="2"/>
  <c r="B192" i="2"/>
  <c r="B191" i="2"/>
  <c r="B190" i="2"/>
  <c r="B188" i="2"/>
  <c r="B187" i="2"/>
  <c r="B186" i="2"/>
  <c r="B185" i="2"/>
  <c r="B184" i="2"/>
  <c r="B183" i="2"/>
  <c r="B182" i="2"/>
  <c r="B181" i="2"/>
  <c r="B180" i="2"/>
  <c r="B178" i="2"/>
  <c r="B177" i="2"/>
  <c r="B176" i="2"/>
  <c r="B175" i="2"/>
  <c r="B174" i="2"/>
  <c r="B173" i="2"/>
  <c r="B172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4" i="2"/>
  <c r="B133" i="2"/>
  <c r="B132" i="2"/>
  <c r="B131" i="2"/>
  <c r="B130" i="2"/>
  <c r="B129" i="2"/>
  <c r="B128" i="2"/>
  <c r="B127" i="2"/>
  <c r="B126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6" i="2"/>
  <c r="B95" i="2"/>
  <c r="B94" i="2"/>
  <c r="B93" i="2"/>
  <c r="B92" i="2"/>
  <c r="B91" i="2"/>
  <c r="B90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0" i="2"/>
  <c r="B69" i="2"/>
  <c r="B68" i="2"/>
  <c r="B67" i="2"/>
  <c r="B66" i="2"/>
  <c r="B65" i="2"/>
  <c r="B64" i="2"/>
  <c r="B63" i="2"/>
  <c r="B62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H3" i="20" s="1"/>
  <c r="B9" i="2"/>
  <c r="G3" i="20" s="1"/>
  <c r="B8" i="2"/>
  <c r="F3" i="20" s="1"/>
  <c r="B7" i="2"/>
  <c r="E3" i="20" s="1"/>
  <c r="B6" i="2"/>
  <c r="D3" i="20" s="1"/>
  <c r="B5" i="2"/>
  <c r="C3" i="20" s="1"/>
  <c r="B4" i="2"/>
  <c r="B3" i="20" s="1"/>
  <c r="B1074" i="2"/>
  <c r="B1021" i="2"/>
  <c r="B957" i="2"/>
  <c r="B893" i="2"/>
  <c r="B829" i="2"/>
  <c r="B765" i="2"/>
  <c r="B701" i="2"/>
  <c r="B637" i="2"/>
  <c r="B573" i="2"/>
  <c r="B509" i="2"/>
  <c r="B445" i="2"/>
  <c r="B381" i="2"/>
  <c r="B253" i="2"/>
  <c r="B189" i="2"/>
  <c r="B125" i="2"/>
  <c r="B61" i="2"/>
  <c r="B1067" i="2"/>
  <c r="B1057" i="2"/>
  <c r="B1049" i="2"/>
  <c r="B1031" i="2"/>
  <c r="B1011" i="2"/>
  <c r="B1003" i="2"/>
  <c r="B993" i="2"/>
  <c r="B985" i="2"/>
  <c r="B967" i="2"/>
  <c r="B947" i="2"/>
  <c r="B939" i="2"/>
  <c r="B929" i="2"/>
  <c r="B921" i="2"/>
  <c r="B903" i="2"/>
  <c r="B883" i="2"/>
  <c r="B875" i="2"/>
  <c r="B865" i="2"/>
  <c r="B857" i="2"/>
  <c r="B839" i="2"/>
  <c r="B819" i="2"/>
  <c r="B811" i="2"/>
  <c r="B801" i="2"/>
  <c r="B793" i="2"/>
  <c r="B775" i="2"/>
  <c r="B755" i="2"/>
  <c r="B747" i="2"/>
  <c r="B737" i="2"/>
  <c r="B729" i="2"/>
  <c r="B711" i="2"/>
  <c r="B691" i="2"/>
  <c r="B683" i="2"/>
  <c r="B673" i="2"/>
  <c r="B665" i="2"/>
  <c r="B647" i="2"/>
  <c r="B627" i="2"/>
  <c r="B619" i="2"/>
  <c r="B609" i="2"/>
  <c r="B601" i="2"/>
  <c r="B583" i="2"/>
  <c r="B563" i="2"/>
  <c r="B555" i="2"/>
  <c r="B545" i="2"/>
  <c r="B537" i="2"/>
  <c r="B519" i="2"/>
  <c r="B499" i="2"/>
  <c r="B491" i="2"/>
  <c r="B481" i="2"/>
  <c r="B473" i="2"/>
  <c r="B455" i="2"/>
  <c r="B435" i="2"/>
  <c r="B427" i="2"/>
  <c r="B417" i="2"/>
  <c r="B409" i="2"/>
  <c r="B391" i="2"/>
  <c r="B371" i="2"/>
  <c r="B363" i="2"/>
  <c r="B353" i="2"/>
  <c r="B345" i="2"/>
  <c r="B327" i="2"/>
  <c r="B299" i="2"/>
  <c r="B289" i="2"/>
  <c r="B281" i="2"/>
  <c r="B243" i="2"/>
  <c r="B235" i="2"/>
  <c r="B225" i="2"/>
  <c r="B199" i="2"/>
  <c r="B179" i="2"/>
  <c r="B171" i="2"/>
  <c r="B153" i="2"/>
  <c r="B135" i="2"/>
  <c r="B115" i="2"/>
  <c r="B97" i="2"/>
  <c r="B89" i="2"/>
  <c r="B71" i="2"/>
  <c r="B43" i="2"/>
  <c r="B25" i="2"/>
  <c r="E3" i="17" l="1"/>
  <c r="E3" i="18"/>
  <c r="H3" i="18"/>
  <c r="H3" i="17"/>
  <c r="C3" i="18"/>
  <c r="C3" i="17"/>
  <c r="G3" i="18"/>
  <c r="G3" i="17"/>
  <c r="D3" i="17"/>
  <c r="D3" i="18"/>
  <c r="A48" i="17"/>
  <c r="A48" i="18"/>
  <c r="B3" i="18"/>
  <c r="B3" i="17"/>
  <c r="F3" i="18"/>
  <c r="F3" i="17"/>
  <c r="E3" i="16"/>
  <c r="E3" i="10"/>
  <c r="D3" i="16"/>
  <c r="D3" i="10"/>
  <c r="H3" i="16"/>
  <c r="H3" i="10"/>
  <c r="A48" i="16"/>
  <c r="A48" i="10"/>
  <c r="C3" i="16"/>
  <c r="C3" i="10"/>
  <c r="G3" i="16"/>
  <c r="G3" i="10"/>
  <c r="B3" i="16"/>
  <c r="B3" i="10"/>
  <c r="F3" i="16"/>
  <c r="F3" i="10"/>
  <c r="D3" i="9"/>
  <c r="D3" i="13"/>
  <c r="D3" i="12"/>
  <c r="D3" i="11"/>
  <c r="H3" i="9"/>
  <c r="H3" i="13"/>
  <c r="H3" i="12"/>
  <c r="H3" i="11"/>
  <c r="A48" i="9"/>
  <c r="A48" i="12"/>
  <c r="A48" i="11"/>
  <c r="A48" i="13"/>
  <c r="C3" i="9"/>
  <c r="C3" i="12"/>
  <c r="C3" i="11"/>
  <c r="C3" i="13"/>
  <c r="G3" i="9"/>
  <c r="G3" i="12"/>
  <c r="G3" i="13"/>
  <c r="G3" i="11"/>
  <c r="E3" i="9"/>
  <c r="E3" i="11"/>
  <c r="E3" i="13"/>
  <c r="E3" i="12"/>
  <c r="B3" i="9"/>
  <c r="B3" i="11"/>
  <c r="B3" i="13"/>
  <c r="B3" i="12"/>
  <c r="F3" i="9"/>
  <c r="F3" i="11"/>
  <c r="F3" i="12"/>
  <c r="F3" i="13"/>
  <c r="D3" i="6"/>
  <c r="D3" i="7"/>
  <c r="H3" i="6"/>
  <c r="H3" i="7"/>
  <c r="F3" i="6"/>
  <c r="F3" i="7"/>
  <c r="G3" i="6"/>
  <c r="G3" i="7"/>
  <c r="C3" i="6"/>
  <c r="C3" i="7"/>
  <c r="E3" i="6"/>
  <c r="E3" i="7"/>
  <c r="A48" i="6"/>
  <c r="A48" i="7"/>
  <c r="B3" i="6"/>
  <c r="B3" i="7"/>
  <c r="F1074" i="2"/>
  <c r="A1074" i="2"/>
  <c r="C1073" i="2"/>
  <c r="H1073" i="2"/>
  <c r="G1073" i="2"/>
  <c r="A1073" i="2"/>
  <c r="C1072" i="2"/>
  <c r="H1072" i="2"/>
  <c r="G1072" i="2"/>
  <c r="A1072" i="2"/>
  <c r="C1071" i="2"/>
  <c r="H1071" i="2"/>
  <c r="D1071" i="2"/>
  <c r="A1071" i="2"/>
  <c r="E1070" i="2"/>
  <c r="D1070" i="2"/>
  <c r="F1069" i="2"/>
  <c r="E1069" i="2"/>
  <c r="D1069" i="2"/>
  <c r="G1068" i="2"/>
  <c r="F1068" i="2"/>
  <c r="E1068" i="2"/>
  <c r="D1068" i="2"/>
  <c r="G1067" i="2"/>
  <c r="F1067" i="2"/>
  <c r="E1067" i="2"/>
  <c r="C1066" i="2"/>
  <c r="H1066" i="2"/>
  <c r="G1066" i="2"/>
  <c r="F1066" i="2"/>
  <c r="E1066" i="2"/>
  <c r="A1066" i="2"/>
  <c r="C1065" i="2"/>
  <c r="H1065" i="2"/>
  <c r="G1065" i="2"/>
  <c r="A1065" i="2"/>
  <c r="C1064" i="2"/>
  <c r="H1064" i="2"/>
  <c r="G1064" i="2"/>
  <c r="A1064" i="2"/>
  <c r="C1063" i="2"/>
  <c r="H1063" i="2"/>
  <c r="D1063" i="2"/>
  <c r="A1063" i="2"/>
  <c r="C1062" i="2"/>
  <c r="E1062" i="2"/>
  <c r="D1062" i="2"/>
  <c r="A1062" i="2"/>
  <c r="F1061" i="2"/>
  <c r="E1061" i="2"/>
  <c r="D1061" i="2"/>
  <c r="G1060" i="2"/>
  <c r="H157" i="4" s="1"/>
  <c r="F1060" i="2"/>
  <c r="H157" i="3" s="1"/>
  <c r="E1060" i="2"/>
  <c r="D1060" i="2"/>
  <c r="H1059" i="2"/>
  <c r="G157" i="5" s="1"/>
  <c r="G1059" i="2"/>
  <c r="G157" i="4" s="1"/>
  <c r="F1059" i="2"/>
  <c r="G157" i="3" s="1"/>
  <c r="E1059" i="2"/>
  <c r="D1059" i="2"/>
  <c r="C1058" i="2"/>
  <c r="H1058" i="2"/>
  <c r="F157" i="5" s="1"/>
  <c r="G1058" i="2"/>
  <c r="F157" i="4" s="1"/>
  <c r="F1058" i="2"/>
  <c r="F157" i="3" s="1"/>
  <c r="E1058" i="2"/>
  <c r="A1058" i="2"/>
  <c r="C1057" i="2"/>
  <c r="H1057" i="2"/>
  <c r="E157" i="5" s="1"/>
  <c r="G1057" i="2"/>
  <c r="E157" i="4" s="1"/>
  <c r="F1057" i="2"/>
  <c r="E157" i="3" s="1"/>
  <c r="A1057" i="2"/>
  <c r="C1056" i="2"/>
  <c r="H1056" i="2"/>
  <c r="D157" i="5" s="1"/>
  <c r="A1056" i="2"/>
  <c r="C1055" i="2"/>
  <c r="D1055" i="2"/>
  <c r="A1055" i="2"/>
  <c r="C1054" i="2"/>
  <c r="A157" i="20" s="1"/>
  <c r="E1054" i="2"/>
  <c r="D1054" i="2"/>
  <c r="F1053" i="2"/>
  <c r="H155" i="3" s="1"/>
  <c r="E1053" i="2"/>
  <c r="D1053" i="2"/>
  <c r="F1052" i="2"/>
  <c r="G155" i="3" s="1"/>
  <c r="E1052" i="2"/>
  <c r="D1052" i="2"/>
  <c r="H1051" i="2"/>
  <c r="F155" i="5" s="1"/>
  <c r="G1051" i="2"/>
  <c r="F155" i="4" s="1"/>
  <c r="F1051" i="2"/>
  <c r="F155" i="3" s="1"/>
  <c r="E1051" i="2"/>
  <c r="C1050" i="2"/>
  <c r="H1050" i="2"/>
  <c r="E155" i="5" s="1"/>
  <c r="G1050" i="2"/>
  <c r="E155" i="4" s="1"/>
  <c r="F1050" i="2"/>
  <c r="E155" i="3" s="1"/>
  <c r="A1050" i="2"/>
  <c r="C1049" i="2"/>
  <c r="H1049" i="2"/>
  <c r="D155" i="5" s="1"/>
  <c r="G1049" i="2"/>
  <c r="D155" i="4" s="1"/>
  <c r="F1049" i="2"/>
  <c r="D155" i="3" s="1"/>
  <c r="A1049" i="2"/>
  <c r="C1048" i="2"/>
  <c r="H1048" i="2"/>
  <c r="C155" i="5" s="1"/>
  <c r="G1048" i="2"/>
  <c r="C155" i="4" s="1"/>
  <c r="A1048" i="2"/>
  <c r="C1047" i="2"/>
  <c r="A155" i="20" s="1"/>
  <c r="D1047" i="2"/>
  <c r="A1047" i="2"/>
  <c r="E1046" i="2"/>
  <c r="D1046" i="2"/>
  <c r="A1046" i="2"/>
  <c r="F1045" i="2"/>
  <c r="G153" i="3" s="1"/>
  <c r="E1045" i="2"/>
  <c r="D1045" i="2"/>
  <c r="G1044" i="2"/>
  <c r="F153" i="4" s="1"/>
  <c r="F1044" i="2"/>
  <c r="F153" i="3" s="1"/>
  <c r="E1044" i="2"/>
  <c r="D1044" i="2"/>
  <c r="H1043" i="2"/>
  <c r="E153" i="5" s="1"/>
  <c r="G1043" i="2"/>
  <c r="E153" i="4" s="1"/>
  <c r="F1043" i="2"/>
  <c r="E153" i="3" s="1"/>
  <c r="E1043" i="2"/>
  <c r="D1043" i="2"/>
  <c r="C1042" i="2"/>
  <c r="H1042" i="2"/>
  <c r="D153" i="5" s="1"/>
  <c r="G1042" i="2"/>
  <c r="D153" i="4" s="1"/>
  <c r="F1042" i="2"/>
  <c r="D153" i="3" s="1"/>
  <c r="E1042" i="2"/>
  <c r="A1042" i="2"/>
  <c r="C1041" i="2"/>
  <c r="H1041" i="2"/>
  <c r="C153" i="5" s="1"/>
  <c r="G1041" i="2"/>
  <c r="C153" i="4" s="1"/>
  <c r="A1041" i="2"/>
  <c r="C1040" i="2"/>
  <c r="A153" i="20" s="1"/>
  <c r="H1040" i="2"/>
  <c r="A1040" i="2"/>
  <c r="C1039" i="2"/>
  <c r="D1039" i="2"/>
  <c r="A1039" i="2"/>
  <c r="C1038" i="2"/>
  <c r="E1038" i="2"/>
  <c r="D1038" i="2"/>
  <c r="A1038" i="2"/>
  <c r="F1037" i="2"/>
  <c r="F152" i="3" s="1"/>
  <c r="E1037" i="2"/>
  <c r="D1037" i="2"/>
  <c r="G1036" i="2"/>
  <c r="E152" i="4" s="1"/>
  <c r="F1036" i="2"/>
  <c r="E152" i="3" s="1"/>
  <c r="E1036" i="2"/>
  <c r="D1036" i="2"/>
  <c r="H1035" i="2"/>
  <c r="D152" i="5" s="1"/>
  <c r="G1035" i="2"/>
  <c r="D152" i="4" s="1"/>
  <c r="F1035" i="2"/>
  <c r="D152" i="3" s="1"/>
  <c r="E1035" i="2"/>
  <c r="D1035" i="2"/>
  <c r="C1034" i="2"/>
  <c r="H1034" i="2"/>
  <c r="C152" i="5" s="1"/>
  <c r="G1034" i="2"/>
  <c r="C152" i="4" s="1"/>
  <c r="F1034" i="2"/>
  <c r="C152" i="3" s="1"/>
  <c r="A1034" i="2"/>
  <c r="C1033" i="2"/>
  <c r="A152" i="20" s="1"/>
  <c r="H1033" i="2"/>
  <c r="G1033" i="2"/>
  <c r="B152" i="10" s="1"/>
  <c r="F1033" i="2"/>
  <c r="B152" i="9" s="1"/>
  <c r="A1033" i="2"/>
  <c r="C1032" i="2"/>
  <c r="H1032" i="2"/>
  <c r="H151" i="5" s="1"/>
  <c r="G1032" i="2"/>
  <c r="H151" i="4" s="1"/>
  <c r="A1032" i="2"/>
  <c r="C1031" i="2"/>
  <c r="H1031" i="2"/>
  <c r="G151" i="5" s="1"/>
  <c r="D1031" i="2"/>
  <c r="A1031" i="2"/>
  <c r="C1030" i="2"/>
  <c r="E1030" i="2"/>
  <c r="D1030" i="2"/>
  <c r="F1029" i="2"/>
  <c r="E151" i="3" s="1"/>
  <c r="E1029" i="2"/>
  <c r="D1029" i="2"/>
  <c r="G1028" i="2"/>
  <c r="D151" i="4" s="1"/>
  <c r="F1028" i="2"/>
  <c r="D151" i="3" s="1"/>
  <c r="E1028" i="2"/>
  <c r="D1028" i="2"/>
  <c r="H1027" i="2"/>
  <c r="C151" i="5" s="1"/>
  <c r="G1027" i="2"/>
  <c r="C151" i="4" s="1"/>
  <c r="F1027" i="2"/>
  <c r="C151" i="3" s="1"/>
  <c r="E1027" i="2"/>
  <c r="C1026" i="2"/>
  <c r="A151" i="20" s="1"/>
  <c r="H1026" i="2"/>
  <c r="G1026" i="2"/>
  <c r="B151" i="10" s="1"/>
  <c r="F1026" i="2"/>
  <c r="B151" i="9" s="1"/>
  <c r="A1026" i="2"/>
  <c r="C1025" i="2"/>
  <c r="H1025" i="2"/>
  <c r="H150" i="5" s="1"/>
  <c r="G1025" i="2"/>
  <c r="H150" i="4" s="1"/>
  <c r="F1025" i="2"/>
  <c r="H150" i="3" s="1"/>
  <c r="A1025" i="2"/>
  <c r="C1024" i="2"/>
  <c r="H1024" i="2"/>
  <c r="G150" i="5" s="1"/>
  <c r="G1024" i="2"/>
  <c r="G150" i="4" s="1"/>
  <c r="A1024" i="2"/>
  <c r="C1023" i="2"/>
  <c r="H1023" i="2"/>
  <c r="F150" i="5" s="1"/>
  <c r="D1023" i="2"/>
  <c r="A1023" i="2"/>
  <c r="E1022" i="2"/>
  <c r="D1022" i="2"/>
  <c r="A1022" i="2"/>
  <c r="F1021" i="2"/>
  <c r="D150" i="3" s="1"/>
  <c r="E1021" i="2"/>
  <c r="D1021" i="2"/>
  <c r="G1020" i="2"/>
  <c r="C150" i="4" s="1"/>
  <c r="F1020" i="2"/>
  <c r="C150" i="3" s="1"/>
  <c r="E1020" i="2"/>
  <c r="D1020" i="2"/>
  <c r="H1019" i="2"/>
  <c r="G1019" i="2"/>
  <c r="B150" i="10" s="1"/>
  <c r="F1019" i="2"/>
  <c r="B150" i="9" s="1"/>
  <c r="E1019" i="2"/>
  <c r="D1019" i="2"/>
  <c r="C1018" i="2"/>
  <c r="H1018" i="2"/>
  <c r="H149" i="5" s="1"/>
  <c r="G1018" i="2"/>
  <c r="H149" i="4" s="1"/>
  <c r="F1018" i="2"/>
  <c r="H149" i="3" s="1"/>
  <c r="A1018" i="2"/>
  <c r="C1017" i="2"/>
  <c r="H1017" i="2"/>
  <c r="G149" i="5" s="1"/>
  <c r="G1017" i="2"/>
  <c r="G149" i="4" s="1"/>
  <c r="A1017" i="2"/>
  <c r="C1016" i="2"/>
  <c r="H1016" i="2"/>
  <c r="F149" i="5" s="1"/>
  <c r="A1016" i="2"/>
  <c r="C1015" i="2"/>
  <c r="H1015" i="2"/>
  <c r="E149" i="5" s="1"/>
  <c r="D1015" i="2"/>
  <c r="A1015" i="2"/>
  <c r="C1014" i="2"/>
  <c r="E1014" i="2"/>
  <c r="D1014" i="2"/>
  <c r="A1014" i="2"/>
  <c r="F1013" i="2"/>
  <c r="C149" i="3" s="1"/>
  <c r="E1013" i="2"/>
  <c r="D1013" i="2"/>
  <c r="G1012" i="2"/>
  <c r="B149" i="10" s="1"/>
  <c r="F1012" i="2"/>
  <c r="B149" i="9" s="1"/>
  <c r="E1012" i="2"/>
  <c r="D1012" i="2"/>
  <c r="H1011" i="2"/>
  <c r="H148" i="5" s="1"/>
  <c r="G1011" i="2"/>
  <c r="H148" i="4" s="1"/>
  <c r="F1011" i="2"/>
  <c r="H148" i="3" s="1"/>
  <c r="E1011" i="2"/>
  <c r="D1011" i="2"/>
  <c r="C1010" i="2"/>
  <c r="H1010" i="2"/>
  <c r="G148" i="5" s="1"/>
  <c r="G1010" i="2"/>
  <c r="G148" i="4" s="1"/>
  <c r="F1010" i="2"/>
  <c r="G148" i="3" s="1"/>
  <c r="E1010" i="2"/>
  <c r="A1010" i="2"/>
  <c r="C1009" i="2"/>
  <c r="H1009" i="2"/>
  <c r="F148" i="5" s="1"/>
  <c r="G1009" i="2"/>
  <c r="F148" i="4" s="1"/>
  <c r="F1009" i="2"/>
  <c r="F148" i="3" s="1"/>
  <c r="A1009" i="2"/>
  <c r="C1008" i="2"/>
  <c r="H1008" i="2"/>
  <c r="E148" i="5" s="1"/>
  <c r="G1008" i="2"/>
  <c r="E148" i="4" s="1"/>
  <c r="A1008" i="2"/>
  <c r="C1007" i="2"/>
  <c r="D1007" i="2"/>
  <c r="A1007" i="2"/>
  <c r="C1006" i="2"/>
  <c r="E1006" i="2"/>
  <c r="D1006" i="2"/>
  <c r="A1006" i="2"/>
  <c r="F1005" i="2"/>
  <c r="B148" i="9" s="1"/>
  <c r="E1005" i="2"/>
  <c r="D1005" i="2"/>
  <c r="G1004" i="2"/>
  <c r="F1004" i="2"/>
  <c r="E1004" i="2"/>
  <c r="D1004" i="2"/>
  <c r="H1003" i="2"/>
  <c r="G1003" i="2"/>
  <c r="F1003" i="2"/>
  <c r="E1003" i="2"/>
  <c r="D1003" i="2"/>
  <c r="C1002" i="2"/>
  <c r="H1002" i="2"/>
  <c r="G1002" i="2"/>
  <c r="F1002" i="2"/>
  <c r="E1002" i="2"/>
  <c r="A1002" i="2"/>
  <c r="C1001" i="2"/>
  <c r="H1001" i="2"/>
  <c r="G1001" i="2"/>
  <c r="A1001" i="2"/>
  <c r="C1000" i="2"/>
  <c r="H1000" i="2"/>
  <c r="G1000" i="2"/>
  <c r="A1000" i="2"/>
  <c r="C999" i="2"/>
  <c r="D999" i="2"/>
  <c r="A999" i="2"/>
  <c r="E998" i="2"/>
  <c r="D998" i="2"/>
  <c r="A998" i="2"/>
  <c r="F997" i="2"/>
  <c r="E997" i="2"/>
  <c r="D997" i="2"/>
  <c r="G996" i="2"/>
  <c r="F996" i="2"/>
  <c r="E996" i="2"/>
  <c r="D996" i="2"/>
  <c r="H995" i="2"/>
  <c r="G995" i="2"/>
  <c r="F995" i="2"/>
  <c r="E995" i="2"/>
  <c r="D995" i="2"/>
  <c r="C994" i="2"/>
  <c r="H994" i="2"/>
  <c r="G994" i="2"/>
  <c r="A994" i="2"/>
  <c r="C993" i="2"/>
  <c r="H993" i="2"/>
  <c r="G993" i="2"/>
  <c r="A993" i="2"/>
  <c r="C992" i="2"/>
  <c r="H992" i="2"/>
  <c r="G992" i="2"/>
  <c r="A992" i="2"/>
  <c r="C991" i="2"/>
  <c r="H991" i="2"/>
  <c r="D991" i="2"/>
  <c r="A991" i="2"/>
  <c r="E990" i="2"/>
  <c r="D990" i="2"/>
  <c r="F989" i="2"/>
  <c r="G146" i="3" s="1"/>
  <c r="E989" i="2"/>
  <c r="D989" i="2"/>
  <c r="G988" i="2"/>
  <c r="F146" i="4" s="1"/>
  <c r="F988" i="2"/>
  <c r="F146" i="3" s="1"/>
  <c r="E988" i="2"/>
  <c r="D988" i="2"/>
  <c r="H987" i="2"/>
  <c r="E146" i="5" s="1"/>
  <c r="G987" i="2"/>
  <c r="E146" i="4" s="1"/>
  <c r="F987" i="2"/>
  <c r="E146" i="3" s="1"/>
  <c r="D987" i="2"/>
  <c r="C986" i="2"/>
  <c r="H986" i="2"/>
  <c r="D146" i="5" s="1"/>
  <c r="G986" i="2"/>
  <c r="D146" i="4" s="1"/>
  <c r="F986" i="2"/>
  <c r="D146" i="3" s="1"/>
  <c r="E986" i="2"/>
  <c r="A986" i="2"/>
  <c r="C985" i="2"/>
  <c r="H985" i="2"/>
  <c r="C146" i="5" s="1"/>
  <c r="G985" i="2"/>
  <c r="C146" i="4" s="1"/>
  <c r="A985" i="2"/>
  <c r="C984" i="2"/>
  <c r="A146" i="20" s="1"/>
  <c r="H984" i="2"/>
  <c r="A984" i="2"/>
  <c r="C983" i="2"/>
  <c r="H983" i="2"/>
  <c r="H144" i="5" s="1"/>
  <c r="D983" i="2"/>
  <c r="A983" i="2"/>
  <c r="C982" i="2"/>
  <c r="E982" i="2"/>
  <c r="D982" i="2"/>
  <c r="A982" i="2"/>
  <c r="F981" i="2"/>
  <c r="F144" i="3" s="1"/>
  <c r="E981" i="2"/>
  <c r="D981" i="2"/>
  <c r="G980" i="2"/>
  <c r="E144" i="4" s="1"/>
  <c r="F980" i="2"/>
  <c r="E144" i="3" s="1"/>
  <c r="E980" i="2"/>
  <c r="D980" i="2"/>
  <c r="H979" i="2"/>
  <c r="D144" i="5" s="1"/>
  <c r="G979" i="2"/>
  <c r="D144" i="4" s="1"/>
  <c r="F979" i="2"/>
  <c r="D144" i="3" s="1"/>
  <c r="E979" i="2"/>
  <c r="C978" i="2"/>
  <c r="H978" i="2"/>
  <c r="C144" i="5" s="1"/>
  <c r="G978" i="2"/>
  <c r="C144" i="4" s="1"/>
  <c r="F978" i="2"/>
  <c r="C144" i="3" s="1"/>
  <c r="A978" i="2"/>
  <c r="C977" i="2"/>
  <c r="A144" i="20" s="1"/>
  <c r="H977" i="2"/>
  <c r="G977" i="2"/>
  <c r="B144" i="10" s="1"/>
  <c r="F977" i="2"/>
  <c r="B144" i="9" s="1"/>
  <c r="A977" i="2"/>
  <c r="C976" i="2"/>
  <c r="H976" i="2"/>
  <c r="H142" i="5" s="1"/>
  <c r="G976" i="2"/>
  <c r="H142" i="4" s="1"/>
  <c r="A976" i="2"/>
  <c r="C975" i="2"/>
  <c r="D975" i="2"/>
  <c r="A975" i="2"/>
  <c r="E974" i="2"/>
  <c r="D974" i="2"/>
  <c r="F973" i="2"/>
  <c r="E142" i="3" s="1"/>
  <c r="E973" i="2"/>
  <c r="D973" i="2"/>
  <c r="G972" i="2"/>
  <c r="D142" i="4" s="1"/>
  <c r="F972" i="2"/>
  <c r="D142" i="3" s="1"/>
  <c r="E972" i="2"/>
  <c r="D972" i="2"/>
  <c r="H971" i="2"/>
  <c r="C142" i="5" s="1"/>
  <c r="G971" i="2"/>
  <c r="C142" i="4" s="1"/>
  <c r="F971" i="2"/>
  <c r="C142" i="3" s="1"/>
  <c r="E971" i="2"/>
  <c r="D971" i="2"/>
  <c r="C970" i="2"/>
  <c r="A142" i="20" s="1"/>
  <c r="H970" i="2"/>
  <c r="G970" i="2"/>
  <c r="B142" i="10" s="1"/>
  <c r="F970" i="2"/>
  <c r="B142" i="9" s="1"/>
  <c r="E970" i="2"/>
  <c r="A970" i="2"/>
  <c r="C969" i="2"/>
  <c r="H969" i="2"/>
  <c r="H141" i="5" s="1"/>
  <c r="G969" i="2"/>
  <c r="H141" i="4" s="1"/>
  <c r="A969" i="2"/>
  <c r="C968" i="2"/>
  <c r="H968" i="2"/>
  <c r="G141" i="5" s="1"/>
  <c r="G968" i="2"/>
  <c r="G141" i="4" s="1"/>
  <c r="A968" i="2"/>
  <c r="C967" i="2"/>
  <c r="H967" i="2"/>
  <c r="F141" i="5" s="1"/>
  <c r="D967" i="2"/>
  <c r="A967" i="2"/>
  <c r="C966" i="2"/>
  <c r="E966" i="2"/>
  <c r="D966" i="2"/>
  <c r="F965" i="2"/>
  <c r="D141" i="3" s="1"/>
  <c r="E965" i="2"/>
  <c r="D965" i="2"/>
  <c r="G964" i="2"/>
  <c r="C141" i="4" s="1"/>
  <c r="F964" i="2"/>
  <c r="C141" i="3" s="1"/>
  <c r="E964" i="2"/>
  <c r="D964" i="2"/>
  <c r="H963" i="2"/>
  <c r="G963" i="2"/>
  <c r="B141" i="10" s="1"/>
  <c r="F963" i="2"/>
  <c r="B141" i="9" s="1"/>
  <c r="E963" i="2"/>
  <c r="D963" i="2"/>
  <c r="C962" i="2"/>
  <c r="H962" i="2"/>
  <c r="H140" i="5" s="1"/>
  <c r="G962" i="2"/>
  <c r="H140" i="4" s="1"/>
  <c r="F962" i="2"/>
  <c r="H140" i="3" s="1"/>
  <c r="E962" i="2"/>
  <c r="A962" i="2"/>
  <c r="C961" i="2"/>
  <c r="H961" i="2"/>
  <c r="G140" i="5" s="1"/>
  <c r="G961" i="2"/>
  <c r="G140" i="4" s="1"/>
  <c r="F961" i="2"/>
  <c r="G140" i="3" s="1"/>
  <c r="A961" i="2"/>
  <c r="C960" i="2"/>
  <c r="H960" i="2"/>
  <c r="F140" i="5" s="1"/>
  <c r="A960" i="2"/>
  <c r="C959" i="2"/>
  <c r="D959" i="2"/>
  <c r="A959" i="2"/>
  <c r="C958" i="2"/>
  <c r="E958" i="2"/>
  <c r="D958" i="2"/>
  <c r="A958" i="2"/>
  <c r="F957" i="2"/>
  <c r="C140" i="3" s="1"/>
  <c r="E957" i="2"/>
  <c r="D957" i="2"/>
  <c r="G956" i="2"/>
  <c r="B140" i="10" s="1"/>
  <c r="F956" i="2"/>
  <c r="B140" i="9" s="1"/>
  <c r="E956" i="2"/>
  <c r="D956" i="2"/>
  <c r="H955" i="2"/>
  <c r="H139" i="5" s="1"/>
  <c r="G955" i="2"/>
  <c r="H139" i="4" s="1"/>
  <c r="F955" i="2"/>
  <c r="H139" i="3" s="1"/>
  <c r="E955" i="2"/>
  <c r="C954" i="2"/>
  <c r="H954" i="2"/>
  <c r="G139" i="5" s="1"/>
  <c r="G954" i="2"/>
  <c r="G139" i="4" s="1"/>
  <c r="F954" i="2"/>
  <c r="G139" i="3" s="1"/>
  <c r="A954" i="2"/>
  <c r="C953" i="2"/>
  <c r="H953" i="2"/>
  <c r="F139" i="5" s="1"/>
  <c r="G953" i="2"/>
  <c r="F139" i="4" s="1"/>
  <c r="A953" i="2"/>
  <c r="C952" i="2"/>
  <c r="H952" i="2"/>
  <c r="E139" i="5" s="1"/>
  <c r="A952" i="2"/>
  <c r="H951" i="2"/>
  <c r="D139" i="5" s="1"/>
  <c r="D951" i="2"/>
  <c r="A951" i="2"/>
  <c r="C950" i="2"/>
  <c r="E950" i="2"/>
  <c r="D950" i="2"/>
  <c r="A950" i="2"/>
  <c r="F949" i="2"/>
  <c r="B139" i="9" s="1"/>
  <c r="E949" i="2"/>
  <c r="D949" i="2"/>
  <c r="G948" i="2"/>
  <c r="H138" i="4" s="1"/>
  <c r="F948" i="2"/>
  <c r="H138" i="3" s="1"/>
  <c r="E948" i="2"/>
  <c r="D948" i="2"/>
  <c r="H947" i="2"/>
  <c r="G138" i="5" s="1"/>
  <c r="G947" i="2"/>
  <c r="G138" i="4" s="1"/>
  <c r="F947" i="2"/>
  <c r="G138" i="3" s="1"/>
  <c r="E947" i="2"/>
  <c r="D947" i="2"/>
  <c r="C946" i="2"/>
  <c r="H946" i="2"/>
  <c r="F138" i="5" s="1"/>
  <c r="G946" i="2"/>
  <c r="F138" i="4" s="1"/>
  <c r="F946" i="2"/>
  <c r="F138" i="3" s="1"/>
  <c r="E946" i="2"/>
  <c r="A946" i="2"/>
  <c r="C945" i="2"/>
  <c r="H945" i="2"/>
  <c r="E138" i="5" s="1"/>
  <c r="G945" i="2"/>
  <c r="E138" i="4" s="1"/>
  <c r="F945" i="2"/>
  <c r="E138" i="3" s="1"/>
  <c r="A945" i="2"/>
  <c r="C944" i="2"/>
  <c r="H944" i="2"/>
  <c r="D138" i="5" s="1"/>
  <c r="G944" i="2"/>
  <c r="D138" i="4" s="1"/>
  <c r="A944" i="2"/>
  <c r="C943" i="2"/>
  <c r="H943" i="2"/>
  <c r="C138" i="5" s="1"/>
  <c r="D943" i="2"/>
  <c r="A943" i="2"/>
  <c r="C942" i="2"/>
  <c r="A138" i="20" s="1"/>
  <c r="E942" i="2"/>
  <c r="D942" i="2"/>
  <c r="A942" i="2"/>
  <c r="F941" i="2"/>
  <c r="H137" i="3" s="1"/>
  <c r="E941" i="2"/>
  <c r="D941" i="2"/>
  <c r="G940" i="2"/>
  <c r="G137" i="4" s="1"/>
  <c r="F940" i="2"/>
  <c r="G137" i="3" s="1"/>
  <c r="E940" i="2"/>
  <c r="D940" i="2"/>
  <c r="H939" i="2"/>
  <c r="F137" i="5" s="1"/>
  <c r="G939" i="2"/>
  <c r="F137" i="4" s="1"/>
  <c r="F939" i="2"/>
  <c r="F137" i="3" s="1"/>
  <c r="E939" i="2"/>
  <c r="C938" i="2"/>
  <c r="H938" i="2"/>
  <c r="E137" i="5" s="1"/>
  <c r="G938" i="2"/>
  <c r="E137" i="4" s="1"/>
  <c r="F938" i="2"/>
  <c r="E137" i="3" s="1"/>
  <c r="E938" i="2"/>
  <c r="A938" i="2"/>
  <c r="C937" i="2"/>
  <c r="H937" i="2"/>
  <c r="D137" i="5" s="1"/>
  <c r="G937" i="2"/>
  <c r="D137" i="4" s="1"/>
  <c r="A937" i="2"/>
  <c r="C936" i="2"/>
  <c r="H936" i="2"/>
  <c r="C137" i="5" s="1"/>
  <c r="G936" i="2"/>
  <c r="C137" i="4" s="1"/>
  <c r="A936" i="2"/>
  <c r="C935" i="2"/>
  <c r="A137" i="20" s="1"/>
  <c r="H935" i="2"/>
  <c r="D935" i="2"/>
  <c r="A935" i="2"/>
  <c r="A136" i="20" s="1"/>
  <c r="E934" i="2"/>
  <c r="D934" i="2"/>
  <c r="A934" i="2"/>
  <c r="F933" i="2"/>
  <c r="E933" i="2"/>
  <c r="D933" i="2"/>
  <c r="G932" i="2"/>
  <c r="F932" i="2"/>
  <c r="E932" i="2"/>
  <c r="D932" i="2"/>
  <c r="H931" i="2"/>
  <c r="G931" i="2"/>
  <c r="F931" i="2"/>
  <c r="E931" i="2"/>
  <c r="D931" i="2"/>
  <c r="C930" i="2"/>
  <c r="H930" i="2"/>
  <c r="G930" i="2"/>
  <c r="F930" i="2"/>
  <c r="E930" i="2"/>
  <c r="A930" i="2"/>
  <c r="C929" i="2"/>
  <c r="H929" i="2"/>
  <c r="G929" i="2"/>
  <c r="F929" i="2"/>
  <c r="A929" i="2"/>
  <c r="C928" i="2"/>
  <c r="H928" i="2"/>
  <c r="G928" i="2"/>
  <c r="A928" i="2"/>
  <c r="C927" i="2"/>
  <c r="H927" i="2"/>
  <c r="D927" i="2"/>
  <c r="A927" i="2"/>
  <c r="E926" i="2"/>
  <c r="D926" i="2"/>
  <c r="A926" i="2"/>
  <c r="F925" i="2"/>
  <c r="E925" i="2"/>
  <c r="D925" i="2"/>
  <c r="G924" i="2"/>
  <c r="F924" i="2"/>
  <c r="E924" i="2"/>
  <c r="D924" i="2"/>
  <c r="H923" i="2"/>
  <c r="G923" i="2"/>
  <c r="F923" i="2"/>
  <c r="E923" i="2"/>
  <c r="D923" i="2"/>
  <c r="C922" i="2"/>
  <c r="H922" i="2"/>
  <c r="G922" i="2"/>
  <c r="F922" i="2"/>
  <c r="A922" i="2"/>
  <c r="C921" i="2"/>
  <c r="H921" i="2"/>
  <c r="G921" i="2"/>
  <c r="F921" i="2"/>
  <c r="A921" i="2"/>
  <c r="C920" i="2"/>
  <c r="H920" i="2"/>
  <c r="H135" i="5" s="1"/>
  <c r="A920" i="2"/>
  <c r="C919" i="2"/>
  <c r="H919" i="2"/>
  <c r="G135" i="5" s="1"/>
  <c r="D919" i="2"/>
  <c r="A919" i="2"/>
  <c r="C918" i="2"/>
  <c r="E918" i="2"/>
  <c r="D918" i="2"/>
  <c r="A918" i="2"/>
  <c r="F917" i="2"/>
  <c r="E135" i="3" s="1"/>
  <c r="E917" i="2"/>
  <c r="D917" i="2"/>
  <c r="G916" i="2"/>
  <c r="D135" i="4" s="1"/>
  <c r="F916" i="2"/>
  <c r="D135" i="3" s="1"/>
  <c r="E916" i="2"/>
  <c r="D916" i="2"/>
  <c r="H915" i="2"/>
  <c r="C135" i="5" s="1"/>
  <c r="G915" i="2"/>
  <c r="C135" i="4" s="1"/>
  <c r="F915" i="2"/>
  <c r="C135" i="3" s="1"/>
  <c r="E915" i="2"/>
  <c r="D915" i="2"/>
  <c r="C914" i="2"/>
  <c r="A135" i="20" s="1"/>
  <c r="H914" i="2"/>
  <c r="G914" i="2"/>
  <c r="B135" i="10" s="1"/>
  <c r="E914" i="2"/>
  <c r="A914" i="2"/>
  <c r="C913" i="2"/>
  <c r="H913" i="2"/>
  <c r="G913" i="2"/>
  <c r="A913" i="2"/>
  <c r="C912" i="2"/>
  <c r="H912" i="2"/>
  <c r="A912" i="2"/>
  <c r="C911" i="2"/>
  <c r="H911" i="2"/>
  <c r="D911" i="2"/>
  <c r="A911" i="2"/>
  <c r="C910" i="2"/>
  <c r="E910" i="2"/>
  <c r="D910" i="2"/>
  <c r="F909" i="2"/>
  <c r="D133" i="9" s="1"/>
  <c r="D133" i="18" s="1"/>
  <c r="E909" i="2"/>
  <c r="D909" i="2"/>
  <c r="G908" i="2"/>
  <c r="C133" i="10" s="1"/>
  <c r="C133" i="16" s="1"/>
  <c r="F908" i="2"/>
  <c r="C133" i="9" s="1"/>
  <c r="C133" i="18" s="1"/>
  <c r="E908" i="2"/>
  <c r="D908" i="2"/>
  <c r="H907" i="2"/>
  <c r="G907" i="2"/>
  <c r="F907" i="2"/>
  <c r="E907" i="2"/>
  <c r="C906" i="2"/>
  <c r="H906" i="2"/>
  <c r="G906" i="2"/>
  <c r="F906" i="2"/>
  <c r="E906" i="2"/>
  <c r="A906" i="2"/>
  <c r="C905" i="2"/>
  <c r="H905" i="2"/>
  <c r="G905" i="2"/>
  <c r="G132" i="10" s="1"/>
  <c r="F905" i="2"/>
  <c r="G132" i="9" s="1"/>
  <c r="G132" i="18" s="1"/>
  <c r="A905" i="2"/>
  <c r="C904" i="2"/>
  <c r="H904" i="2"/>
  <c r="A904" i="2"/>
  <c r="C903" i="2"/>
  <c r="D903" i="2"/>
  <c r="A903" i="2"/>
  <c r="E902" i="2"/>
  <c r="D902" i="2"/>
  <c r="A902" i="2"/>
  <c r="F901" i="2"/>
  <c r="C132" i="9" s="1"/>
  <c r="C132" i="18" s="1"/>
  <c r="E901" i="2"/>
  <c r="D901" i="2"/>
  <c r="G900" i="2"/>
  <c r="B132" i="10" s="1"/>
  <c r="F900" i="2"/>
  <c r="B132" i="9" s="1"/>
  <c r="B132" i="18" s="1"/>
  <c r="B132" i="6" s="1"/>
  <c r="E900" i="2"/>
  <c r="D900" i="2"/>
  <c r="H899" i="2"/>
  <c r="H131" i="5" s="1"/>
  <c r="G899" i="2"/>
  <c r="H131" i="4" s="1"/>
  <c r="F899" i="2"/>
  <c r="H131" i="3" s="1"/>
  <c r="E899" i="2"/>
  <c r="D899" i="2"/>
  <c r="C898" i="2"/>
  <c r="H898" i="2"/>
  <c r="G131" i="5" s="1"/>
  <c r="G898" i="2"/>
  <c r="G131" i="4" s="1"/>
  <c r="F898" i="2"/>
  <c r="G131" i="3" s="1"/>
  <c r="A898" i="2"/>
  <c r="C897" i="2"/>
  <c r="H897" i="2"/>
  <c r="F131" i="5" s="1"/>
  <c r="G897" i="2"/>
  <c r="F131" i="4" s="1"/>
  <c r="A897" i="2"/>
  <c r="C896" i="2"/>
  <c r="H896" i="2"/>
  <c r="E131" i="5" s="1"/>
  <c r="G896" i="2"/>
  <c r="E131" i="4" s="1"/>
  <c r="A896" i="2"/>
  <c r="C895" i="2"/>
  <c r="H895" i="2"/>
  <c r="D131" i="5" s="1"/>
  <c r="D895" i="2"/>
  <c r="A895" i="2"/>
  <c r="C894" i="2"/>
  <c r="E894" i="2"/>
  <c r="D894" i="2"/>
  <c r="A894" i="2"/>
  <c r="F893" i="2"/>
  <c r="B131" i="9" s="1"/>
  <c r="E893" i="2"/>
  <c r="D893" i="2"/>
  <c r="G892" i="2"/>
  <c r="H130" i="4" s="1"/>
  <c r="F892" i="2"/>
  <c r="H130" i="3" s="1"/>
  <c r="E892" i="2"/>
  <c r="D892" i="2"/>
  <c r="H891" i="2"/>
  <c r="G130" i="5" s="1"/>
  <c r="G891" i="2"/>
  <c r="G130" i="4" s="1"/>
  <c r="F891" i="2"/>
  <c r="G130" i="3" s="1"/>
  <c r="E891" i="2"/>
  <c r="D891" i="2"/>
  <c r="C890" i="2"/>
  <c r="H890" i="2"/>
  <c r="F130" i="5" s="1"/>
  <c r="G890" i="2"/>
  <c r="F130" i="4" s="1"/>
  <c r="F890" i="2"/>
  <c r="F130" i="3" s="1"/>
  <c r="A890" i="2"/>
  <c r="C889" i="2"/>
  <c r="H889" i="2"/>
  <c r="E130" i="5" s="1"/>
  <c r="G889" i="2"/>
  <c r="E130" i="4" s="1"/>
  <c r="F889" i="2"/>
  <c r="E130" i="3" s="1"/>
  <c r="A889" i="2"/>
  <c r="C888" i="2"/>
  <c r="H888" i="2"/>
  <c r="D130" i="5" s="1"/>
  <c r="A888" i="2"/>
  <c r="C887" i="2"/>
  <c r="H887" i="2"/>
  <c r="C130" i="5" s="1"/>
  <c r="D887" i="2"/>
  <c r="A887" i="2"/>
  <c r="C886" i="2"/>
  <c r="A130" i="20" s="1"/>
  <c r="E886" i="2"/>
  <c r="D886" i="2"/>
  <c r="A886" i="2"/>
  <c r="F885" i="2"/>
  <c r="H129" i="3" s="1"/>
  <c r="E885" i="2"/>
  <c r="D885" i="2"/>
  <c r="F884" i="2"/>
  <c r="G129" i="3" s="1"/>
  <c r="E884" i="2"/>
  <c r="H883" i="2"/>
  <c r="F129" i="5" s="1"/>
  <c r="G883" i="2"/>
  <c r="F129" i="4" s="1"/>
  <c r="F883" i="2"/>
  <c r="F129" i="3" s="1"/>
  <c r="E883" i="2"/>
  <c r="D883" i="2"/>
  <c r="C882" i="2"/>
  <c r="H882" i="2"/>
  <c r="E129" i="5" s="1"/>
  <c r="G882" i="2"/>
  <c r="E129" i="4" s="1"/>
  <c r="F882" i="2"/>
  <c r="E129" i="3" s="1"/>
  <c r="E882" i="2"/>
  <c r="A882" i="2"/>
  <c r="C881" i="2"/>
  <c r="H881" i="2"/>
  <c r="D129" i="5" s="1"/>
  <c r="G881" i="2"/>
  <c r="D129" i="4" s="1"/>
  <c r="A881" i="2"/>
  <c r="C880" i="2"/>
  <c r="H880" i="2"/>
  <c r="C129" i="5" s="1"/>
  <c r="G880" i="2"/>
  <c r="C129" i="4" s="1"/>
  <c r="A880" i="2"/>
  <c r="C879" i="2"/>
  <c r="A129" i="20" s="1"/>
  <c r="H879" i="2"/>
  <c r="D879" i="2"/>
  <c r="A879" i="2"/>
  <c r="E878" i="2"/>
  <c r="D878" i="2"/>
  <c r="A878" i="2"/>
  <c r="F877" i="2"/>
  <c r="G128" i="3" s="1"/>
  <c r="E877" i="2"/>
  <c r="D877" i="2"/>
  <c r="G876" i="2"/>
  <c r="F128" i="4" s="1"/>
  <c r="F876" i="2"/>
  <c r="F128" i="3" s="1"/>
  <c r="E876" i="2"/>
  <c r="D876" i="2"/>
  <c r="H875" i="2"/>
  <c r="E128" i="5" s="1"/>
  <c r="G875" i="2"/>
  <c r="E128" i="4" s="1"/>
  <c r="F875" i="2"/>
  <c r="E128" i="3" s="1"/>
  <c r="E875" i="2"/>
  <c r="D875" i="2"/>
  <c r="C874" i="2"/>
  <c r="H874" i="2"/>
  <c r="D128" i="5" s="1"/>
  <c r="G874" i="2"/>
  <c r="D128" i="4" s="1"/>
  <c r="F874" i="2"/>
  <c r="D128" i="3" s="1"/>
  <c r="E874" i="2"/>
  <c r="A874" i="2"/>
  <c r="C873" i="2"/>
  <c r="H873" i="2"/>
  <c r="C128" i="5" s="1"/>
  <c r="G873" i="2"/>
  <c r="C128" i="4" s="1"/>
  <c r="F873" i="2"/>
  <c r="C128" i="3" s="1"/>
  <c r="A873" i="2"/>
  <c r="C872" i="2"/>
  <c r="A128" i="20" s="1"/>
  <c r="H872" i="2"/>
  <c r="G872" i="2"/>
  <c r="B128" i="10" s="1"/>
  <c r="A872" i="2"/>
  <c r="C871" i="2"/>
  <c r="D871" i="2"/>
  <c r="A871" i="2"/>
  <c r="C870" i="2"/>
  <c r="E870" i="2"/>
  <c r="D870" i="2"/>
  <c r="A870" i="2"/>
  <c r="F869" i="2"/>
  <c r="F127" i="3" s="1"/>
  <c r="E869" i="2"/>
  <c r="D869" i="2"/>
  <c r="G868" i="2"/>
  <c r="E127" i="4" s="1"/>
  <c r="F868" i="2"/>
  <c r="E127" i="3" s="1"/>
  <c r="E868" i="2"/>
  <c r="D868" i="2"/>
  <c r="H867" i="2"/>
  <c r="D127" i="5" s="1"/>
  <c r="G867" i="2"/>
  <c r="D127" i="4" s="1"/>
  <c r="F867" i="2"/>
  <c r="D127" i="3" s="1"/>
  <c r="E867" i="2"/>
  <c r="D867" i="2"/>
  <c r="C866" i="2"/>
  <c r="H866" i="2"/>
  <c r="C127" i="5" s="1"/>
  <c r="G866" i="2"/>
  <c r="C127" i="4" s="1"/>
  <c r="F866" i="2"/>
  <c r="C127" i="3" s="1"/>
  <c r="E866" i="2"/>
  <c r="A866" i="2"/>
  <c r="C865" i="2"/>
  <c r="A127" i="20" s="1"/>
  <c r="H865" i="2"/>
  <c r="G865" i="2"/>
  <c r="B127" i="10" s="1"/>
  <c r="F865" i="2"/>
  <c r="B127" i="9" s="1"/>
  <c r="A865" i="2"/>
  <c r="C864" i="2"/>
  <c r="G864" i="2"/>
  <c r="H126" i="4" s="1"/>
  <c r="A864" i="2"/>
  <c r="H863" i="2"/>
  <c r="G126" i="5" s="1"/>
  <c r="D863" i="2"/>
  <c r="E862" i="2"/>
  <c r="D862" i="2"/>
  <c r="F861" i="2"/>
  <c r="E126" i="3" s="1"/>
  <c r="E861" i="2"/>
  <c r="D861" i="2"/>
  <c r="G860" i="2"/>
  <c r="D126" i="4" s="1"/>
  <c r="F860" i="2"/>
  <c r="D126" i="3" s="1"/>
  <c r="E860" i="2"/>
  <c r="D860" i="2"/>
  <c r="H859" i="2"/>
  <c r="C126" i="5" s="1"/>
  <c r="G859" i="2"/>
  <c r="C126" i="4" s="1"/>
  <c r="F859" i="2"/>
  <c r="C126" i="3" s="1"/>
  <c r="E859" i="2"/>
  <c r="D859" i="2"/>
  <c r="C858" i="2"/>
  <c r="A126" i="20" s="1"/>
  <c r="H858" i="2"/>
  <c r="G858" i="2"/>
  <c r="B126" i="10" s="1"/>
  <c r="F858" i="2"/>
  <c r="B126" i="9" s="1"/>
  <c r="A858" i="2"/>
  <c r="A125" i="20" s="1"/>
  <c r="C857" i="2"/>
  <c r="H857" i="2"/>
  <c r="G857" i="2"/>
  <c r="A857" i="2"/>
  <c r="C856" i="2"/>
  <c r="A856" i="2"/>
  <c r="C855" i="2"/>
  <c r="H855" i="2"/>
  <c r="D855" i="2"/>
  <c r="A855" i="2"/>
  <c r="C854" i="2"/>
  <c r="E854" i="2"/>
  <c r="D854" i="2"/>
  <c r="A854" i="2"/>
  <c r="F853" i="2"/>
  <c r="E853" i="2"/>
  <c r="D853" i="2"/>
  <c r="G852" i="2"/>
  <c r="F852" i="2"/>
  <c r="E852" i="2"/>
  <c r="D852" i="2"/>
  <c r="H851" i="2"/>
  <c r="G851" i="2"/>
  <c r="F851" i="2"/>
  <c r="E851" i="2"/>
  <c r="C850" i="2"/>
  <c r="H850" i="2"/>
  <c r="G850" i="2"/>
  <c r="F850" i="2"/>
  <c r="E850" i="2"/>
  <c r="A850" i="2"/>
  <c r="C849" i="2"/>
  <c r="H849" i="2"/>
  <c r="G849" i="2"/>
  <c r="F849" i="2"/>
  <c r="A849" i="2"/>
  <c r="C848" i="2"/>
  <c r="H848" i="2"/>
  <c r="A848" i="2"/>
  <c r="C847" i="2"/>
  <c r="H847" i="2"/>
  <c r="D847" i="2"/>
  <c r="A847" i="2"/>
  <c r="E846" i="2"/>
  <c r="D846" i="2"/>
  <c r="F845" i="2"/>
  <c r="E845" i="2"/>
  <c r="D845" i="2"/>
  <c r="G844" i="2"/>
  <c r="F844" i="2"/>
  <c r="E844" i="2"/>
  <c r="D844" i="2"/>
  <c r="H843" i="2"/>
  <c r="H124" i="5" s="1"/>
  <c r="G843" i="2"/>
  <c r="H124" i="4" s="1"/>
  <c r="F843" i="2"/>
  <c r="H124" i="3" s="1"/>
  <c r="E843" i="2"/>
  <c r="D843" i="2"/>
  <c r="C842" i="2"/>
  <c r="H842" i="2"/>
  <c r="G124" i="5" s="1"/>
  <c r="G842" i="2"/>
  <c r="G124" i="4" s="1"/>
  <c r="F842" i="2"/>
  <c r="G124" i="3" s="1"/>
  <c r="E842" i="2"/>
  <c r="A842" i="2"/>
  <c r="C841" i="2"/>
  <c r="H841" i="2"/>
  <c r="F124" i="5" s="1"/>
  <c r="G841" i="2"/>
  <c r="F124" i="4" s="1"/>
  <c r="A841" i="2"/>
  <c r="C840" i="2"/>
  <c r="H840" i="2"/>
  <c r="E124" i="5" s="1"/>
  <c r="A840" i="2"/>
  <c r="C839" i="2"/>
  <c r="H839" i="2"/>
  <c r="D124" i="5" s="1"/>
  <c r="D839" i="2"/>
  <c r="A839" i="2"/>
  <c r="C838" i="2"/>
  <c r="E838" i="2"/>
  <c r="D838" i="2"/>
  <c r="F837" i="2"/>
  <c r="B124" i="9" s="1"/>
  <c r="E837" i="2"/>
  <c r="D837" i="2"/>
  <c r="G836" i="2"/>
  <c r="H122" i="4" s="1"/>
  <c r="F836" i="2"/>
  <c r="H122" i="3" s="1"/>
  <c r="E836" i="2"/>
  <c r="D836" i="2"/>
  <c r="H835" i="2"/>
  <c r="G122" i="5" s="1"/>
  <c r="G835" i="2"/>
  <c r="G122" i="4" s="1"/>
  <c r="F835" i="2"/>
  <c r="G122" i="3" s="1"/>
  <c r="E835" i="2"/>
  <c r="D835" i="2"/>
  <c r="C834" i="2"/>
  <c r="H834" i="2"/>
  <c r="F122" i="5" s="1"/>
  <c r="G834" i="2"/>
  <c r="F122" i="4" s="1"/>
  <c r="F834" i="2"/>
  <c r="F122" i="3" s="1"/>
  <c r="E834" i="2"/>
  <c r="A834" i="2"/>
  <c r="C833" i="2"/>
  <c r="H833" i="2"/>
  <c r="E122" i="5" s="1"/>
  <c r="G833" i="2"/>
  <c r="E122" i="4" s="1"/>
  <c r="F833" i="2"/>
  <c r="E122" i="3" s="1"/>
  <c r="A833" i="2"/>
  <c r="C832" i="2"/>
  <c r="H832" i="2"/>
  <c r="D122" i="5" s="1"/>
  <c r="A832" i="2"/>
  <c r="C831" i="2"/>
  <c r="D831" i="2"/>
  <c r="A831" i="2"/>
  <c r="C830" i="2"/>
  <c r="A122" i="20" s="1"/>
  <c r="E830" i="2"/>
  <c r="D830" i="2"/>
  <c r="A830" i="2"/>
  <c r="F829" i="2"/>
  <c r="H120" i="3" s="1"/>
  <c r="E829" i="2"/>
  <c r="D829" i="2"/>
  <c r="G828" i="2"/>
  <c r="G120" i="4" s="1"/>
  <c r="F828" i="2"/>
  <c r="G120" i="3" s="1"/>
  <c r="E828" i="2"/>
  <c r="D828" i="2"/>
  <c r="H827" i="2"/>
  <c r="F120" i="5" s="1"/>
  <c r="G827" i="2"/>
  <c r="F120" i="4" s="1"/>
  <c r="F827" i="2"/>
  <c r="F120" i="3" s="1"/>
  <c r="E827" i="2"/>
  <c r="C826" i="2"/>
  <c r="H826" i="2"/>
  <c r="E120" i="5" s="1"/>
  <c r="G826" i="2"/>
  <c r="E120" i="4" s="1"/>
  <c r="F826" i="2"/>
  <c r="E120" i="3" s="1"/>
  <c r="A826" i="2"/>
  <c r="C825" i="2"/>
  <c r="H825" i="2"/>
  <c r="D120" i="5" s="1"/>
  <c r="G825" i="2"/>
  <c r="D120" i="4" s="1"/>
  <c r="F825" i="2"/>
  <c r="D120" i="3" s="1"/>
  <c r="A825" i="2"/>
  <c r="C824" i="2"/>
  <c r="H824" i="2"/>
  <c r="C120" i="5" s="1"/>
  <c r="G824" i="2"/>
  <c r="C120" i="4" s="1"/>
  <c r="A824" i="2"/>
  <c r="C823" i="2"/>
  <c r="A120" i="20" s="1"/>
  <c r="H823" i="2"/>
  <c r="D823" i="2"/>
  <c r="A823" i="2"/>
  <c r="C822" i="2"/>
  <c r="E822" i="2"/>
  <c r="D822" i="2"/>
  <c r="A822" i="2"/>
  <c r="F821" i="2"/>
  <c r="G119" i="3" s="1"/>
  <c r="E821" i="2"/>
  <c r="D821" i="2"/>
  <c r="G820" i="2"/>
  <c r="F119" i="4" s="1"/>
  <c r="F820" i="2"/>
  <c r="F119" i="3" s="1"/>
  <c r="E820" i="2"/>
  <c r="D820" i="2"/>
  <c r="H819" i="2"/>
  <c r="E119" i="5" s="1"/>
  <c r="G819" i="2"/>
  <c r="E119" i="4" s="1"/>
  <c r="F819" i="2"/>
  <c r="E119" i="3" s="1"/>
  <c r="E819" i="2"/>
  <c r="D819" i="2"/>
  <c r="C818" i="2"/>
  <c r="H818" i="2"/>
  <c r="D119" i="5" s="1"/>
  <c r="G818" i="2"/>
  <c r="D119" i="4" s="1"/>
  <c r="F818" i="2"/>
  <c r="D119" i="3" s="1"/>
  <c r="E818" i="2"/>
  <c r="A818" i="2"/>
  <c r="C817" i="2"/>
  <c r="H817" i="2"/>
  <c r="C119" i="5" s="1"/>
  <c r="G817" i="2"/>
  <c r="C119" i="4" s="1"/>
  <c r="F817" i="2"/>
  <c r="C119" i="3" s="1"/>
  <c r="A817" i="2"/>
  <c r="C816" i="2"/>
  <c r="A119" i="20" s="1"/>
  <c r="H816" i="2"/>
  <c r="A816" i="2"/>
  <c r="C815" i="2"/>
  <c r="H815" i="2"/>
  <c r="H118" i="5" s="1"/>
  <c r="D815" i="2"/>
  <c r="A815" i="2"/>
  <c r="C814" i="2"/>
  <c r="E814" i="2"/>
  <c r="D814" i="2"/>
  <c r="A814" i="2"/>
  <c r="F813" i="2"/>
  <c r="F118" i="3" s="1"/>
  <c r="E813" i="2"/>
  <c r="D813" i="2"/>
  <c r="G812" i="2"/>
  <c r="E118" i="4" s="1"/>
  <c r="F812" i="2"/>
  <c r="E118" i="3" s="1"/>
  <c r="E812" i="2"/>
  <c r="D812" i="2"/>
  <c r="H811" i="2"/>
  <c r="D118" i="5" s="1"/>
  <c r="G811" i="2"/>
  <c r="D118" i="4" s="1"/>
  <c r="F811" i="2"/>
  <c r="D118" i="3" s="1"/>
  <c r="E811" i="2"/>
  <c r="D811" i="2"/>
  <c r="C810" i="2"/>
  <c r="H810" i="2"/>
  <c r="C118" i="5" s="1"/>
  <c r="G810" i="2"/>
  <c r="C118" i="4" s="1"/>
  <c r="F810" i="2"/>
  <c r="C118" i="3" s="1"/>
  <c r="A810" i="2"/>
  <c r="C809" i="2"/>
  <c r="A118" i="20" s="1"/>
  <c r="H809" i="2"/>
  <c r="G809" i="2"/>
  <c r="B118" i="10" s="1"/>
  <c r="F809" i="2"/>
  <c r="B118" i="9" s="1"/>
  <c r="A809" i="2"/>
  <c r="C808" i="2"/>
  <c r="H808" i="2"/>
  <c r="H117" i="5" s="1"/>
  <c r="A808" i="2"/>
  <c r="C807" i="2"/>
  <c r="H807" i="2"/>
  <c r="G117" i="5" s="1"/>
  <c r="D807" i="2"/>
  <c r="A807" i="2"/>
  <c r="E806" i="2"/>
  <c r="D806" i="2"/>
  <c r="F805" i="2"/>
  <c r="E117" i="3" s="1"/>
  <c r="E805" i="2"/>
  <c r="D805" i="2"/>
  <c r="G804" i="2"/>
  <c r="D117" i="4" s="1"/>
  <c r="F804" i="2"/>
  <c r="D117" i="3" s="1"/>
  <c r="E804" i="2"/>
  <c r="D804" i="2"/>
  <c r="H803" i="2"/>
  <c r="C117" i="5" s="1"/>
  <c r="G803" i="2"/>
  <c r="C117" i="4" s="1"/>
  <c r="F803" i="2"/>
  <c r="C117" i="3" s="1"/>
  <c r="E803" i="2"/>
  <c r="D803" i="2"/>
  <c r="C802" i="2"/>
  <c r="A117" i="20" s="1"/>
  <c r="H802" i="2"/>
  <c r="G802" i="2"/>
  <c r="B117" i="10" s="1"/>
  <c r="F802" i="2"/>
  <c r="B117" i="9" s="1"/>
  <c r="E802" i="2"/>
  <c r="A802" i="2"/>
  <c r="C801" i="2"/>
  <c r="H801" i="2"/>
  <c r="H116" i="5" s="1"/>
  <c r="G801" i="2"/>
  <c r="H116" i="4" s="1"/>
  <c r="F801" i="2"/>
  <c r="H116" i="3" s="1"/>
  <c r="A801" i="2"/>
  <c r="C800" i="2"/>
  <c r="H800" i="2"/>
  <c r="G116" i="5" s="1"/>
  <c r="A800" i="2"/>
  <c r="C799" i="2"/>
  <c r="D799" i="2"/>
  <c r="A799" i="2"/>
  <c r="C798" i="2"/>
  <c r="E798" i="2"/>
  <c r="D798" i="2"/>
  <c r="A798" i="2"/>
  <c r="F797" i="2"/>
  <c r="D116" i="3" s="1"/>
  <c r="E797" i="2"/>
  <c r="D797" i="2"/>
  <c r="G796" i="2"/>
  <c r="C116" i="4" s="1"/>
  <c r="F796" i="2"/>
  <c r="C116" i="3" s="1"/>
  <c r="E796" i="2"/>
  <c r="D796" i="2"/>
  <c r="H795" i="2"/>
  <c r="G795" i="2"/>
  <c r="B116" i="10" s="1"/>
  <c r="F795" i="2"/>
  <c r="B116" i="9" s="1"/>
  <c r="E795" i="2"/>
  <c r="C794" i="2"/>
  <c r="H794" i="2"/>
  <c r="H115" i="5" s="1"/>
  <c r="G794" i="2"/>
  <c r="H115" i="4" s="1"/>
  <c r="F794" i="2"/>
  <c r="H115" i="3" s="1"/>
  <c r="E794" i="2"/>
  <c r="A794" i="2"/>
  <c r="C793" i="2"/>
  <c r="H793" i="2"/>
  <c r="G115" i="5" s="1"/>
  <c r="G793" i="2"/>
  <c r="G115" i="4" s="1"/>
  <c r="F793" i="2"/>
  <c r="G115" i="3" s="1"/>
  <c r="A793" i="2"/>
  <c r="C792" i="2"/>
  <c r="H792" i="2"/>
  <c r="F115" i="5" s="1"/>
  <c r="A792" i="2"/>
  <c r="C791" i="2"/>
  <c r="D791" i="2"/>
  <c r="A791" i="2"/>
  <c r="C790" i="2"/>
  <c r="E790" i="2"/>
  <c r="D790" i="2"/>
  <c r="A790" i="2"/>
  <c r="F789" i="2"/>
  <c r="C115" i="3" s="1"/>
  <c r="E789" i="2"/>
  <c r="D789" i="2"/>
  <c r="G788" i="2"/>
  <c r="B115" i="10" s="1"/>
  <c r="F788" i="2"/>
  <c r="B115" i="9" s="1"/>
  <c r="E788" i="2"/>
  <c r="D788" i="2"/>
  <c r="H787" i="2"/>
  <c r="G787" i="2"/>
  <c r="F787" i="2"/>
  <c r="E787" i="2"/>
  <c r="C786" i="2"/>
  <c r="H786" i="2"/>
  <c r="G786" i="2"/>
  <c r="F786" i="2"/>
  <c r="A786" i="2"/>
  <c r="C785" i="2"/>
  <c r="H785" i="2"/>
  <c r="G785" i="2"/>
  <c r="A785" i="2"/>
  <c r="C784" i="2"/>
  <c r="H784" i="2"/>
  <c r="G784" i="2"/>
  <c r="A784" i="2"/>
  <c r="C783" i="2"/>
  <c r="D783" i="2"/>
  <c r="A783" i="2"/>
  <c r="C782" i="2"/>
  <c r="E782" i="2"/>
  <c r="D782" i="2"/>
  <c r="F781" i="2"/>
  <c r="E781" i="2"/>
  <c r="D781" i="2"/>
  <c r="G780" i="2"/>
  <c r="F780" i="2"/>
  <c r="E780" i="2"/>
  <c r="D780" i="2"/>
  <c r="H779" i="2"/>
  <c r="G779" i="2"/>
  <c r="F779" i="2"/>
  <c r="E779" i="2"/>
  <c r="C778" i="2"/>
  <c r="H778" i="2"/>
  <c r="G778" i="2"/>
  <c r="F778" i="2"/>
  <c r="E778" i="2"/>
  <c r="A778" i="2"/>
  <c r="C777" i="2"/>
  <c r="H777" i="2"/>
  <c r="G777" i="2"/>
  <c r="F777" i="2"/>
  <c r="A777" i="2"/>
  <c r="C776" i="2"/>
  <c r="H776" i="2"/>
  <c r="G776" i="2"/>
  <c r="A776" i="2"/>
  <c r="C775" i="2"/>
  <c r="D775" i="2"/>
  <c r="A775" i="2"/>
  <c r="E774" i="2"/>
  <c r="D774" i="2"/>
  <c r="A774" i="2"/>
  <c r="F773" i="2"/>
  <c r="H113" i="3" s="1"/>
  <c r="E773" i="2"/>
  <c r="D773" i="2"/>
  <c r="G772" i="2"/>
  <c r="G113" i="4" s="1"/>
  <c r="F772" i="2"/>
  <c r="G113" i="3" s="1"/>
  <c r="E772" i="2"/>
  <c r="D772" i="2"/>
  <c r="H771" i="2"/>
  <c r="F113" i="5" s="1"/>
  <c r="G771" i="2"/>
  <c r="F113" i="4" s="1"/>
  <c r="F771" i="2"/>
  <c r="F113" i="3" s="1"/>
  <c r="E771" i="2"/>
  <c r="D771" i="2"/>
  <c r="C770" i="2"/>
  <c r="H770" i="2"/>
  <c r="E113" i="5" s="1"/>
  <c r="G770" i="2"/>
  <c r="E113" i="4" s="1"/>
  <c r="F770" i="2"/>
  <c r="E113" i="3" s="1"/>
  <c r="A770" i="2"/>
  <c r="C769" i="2"/>
  <c r="H769" i="2"/>
  <c r="D113" i="5" s="1"/>
  <c r="G769" i="2"/>
  <c r="D113" i="4" s="1"/>
  <c r="A769" i="2"/>
  <c r="C768" i="2"/>
  <c r="H768" i="2"/>
  <c r="C113" i="5" s="1"/>
  <c r="G768" i="2"/>
  <c r="C113" i="4" s="1"/>
  <c r="A768" i="2"/>
  <c r="D767" i="2"/>
  <c r="A767" i="2"/>
  <c r="E766" i="2"/>
  <c r="D766" i="2"/>
  <c r="A766" i="2"/>
  <c r="F765" i="2"/>
  <c r="G111" i="3" s="1"/>
  <c r="E765" i="2"/>
  <c r="D765" i="2"/>
  <c r="G764" i="2"/>
  <c r="F111" i="4" s="1"/>
  <c r="F764" i="2"/>
  <c r="F111" i="3" s="1"/>
  <c r="E764" i="2"/>
  <c r="D764" i="2"/>
  <c r="H763" i="2"/>
  <c r="E111" i="5" s="1"/>
  <c r="G763" i="2"/>
  <c r="E111" i="4" s="1"/>
  <c r="F763" i="2"/>
  <c r="E111" i="3" s="1"/>
  <c r="E763" i="2"/>
  <c r="D763" i="2"/>
  <c r="C762" i="2"/>
  <c r="H762" i="2"/>
  <c r="D111" i="5" s="1"/>
  <c r="G762" i="2"/>
  <c r="D111" i="4" s="1"/>
  <c r="F762" i="2"/>
  <c r="D111" i="3" s="1"/>
  <c r="E762" i="2"/>
  <c r="A762" i="2"/>
  <c r="C761" i="2"/>
  <c r="H761" i="2"/>
  <c r="C111" i="5" s="1"/>
  <c r="G761" i="2"/>
  <c r="C111" i="4" s="1"/>
  <c r="A761" i="2"/>
  <c r="C760" i="2"/>
  <c r="A111" i="20" s="1"/>
  <c r="H760" i="2"/>
  <c r="A760" i="2"/>
  <c r="C759" i="2"/>
  <c r="H759" i="2"/>
  <c r="H110" i="5" s="1"/>
  <c r="D759" i="2"/>
  <c r="A759" i="2"/>
  <c r="C758" i="2"/>
  <c r="E758" i="2"/>
  <c r="D758" i="2"/>
  <c r="A758" i="2"/>
  <c r="F757" i="2"/>
  <c r="F110" i="3" s="1"/>
  <c r="E757" i="2"/>
  <c r="D757" i="2"/>
  <c r="G756" i="2"/>
  <c r="E110" i="4" s="1"/>
  <c r="F756" i="2"/>
  <c r="E110" i="3" s="1"/>
  <c r="E756" i="2"/>
  <c r="D756" i="2"/>
  <c r="H755" i="2"/>
  <c r="D110" i="5" s="1"/>
  <c r="G755" i="2"/>
  <c r="D110" i="4" s="1"/>
  <c r="F755" i="2"/>
  <c r="D110" i="3" s="1"/>
  <c r="E755" i="2"/>
  <c r="D755" i="2"/>
  <c r="C754" i="2"/>
  <c r="H754" i="2"/>
  <c r="C110" i="5" s="1"/>
  <c r="F754" i="2"/>
  <c r="C110" i="3" s="1"/>
  <c r="A754" i="2"/>
  <c r="C753" i="2"/>
  <c r="H753" i="2"/>
  <c r="B110" i="5" s="1"/>
  <c r="G753" i="2"/>
  <c r="B110" i="4" s="1"/>
  <c r="F753" i="2"/>
  <c r="B110" i="3" s="1"/>
  <c r="A753" i="2"/>
  <c r="C752" i="2"/>
  <c r="H752" i="2"/>
  <c r="H109" i="5" s="1"/>
  <c r="G752" i="2"/>
  <c r="H109" i="4" s="1"/>
  <c r="A752" i="2"/>
  <c r="C751" i="2"/>
  <c r="D751" i="2"/>
  <c r="A751" i="2"/>
  <c r="C750" i="2"/>
  <c r="E750" i="2"/>
  <c r="D750" i="2"/>
  <c r="A750" i="2"/>
  <c r="F749" i="2"/>
  <c r="E109" i="3" s="1"/>
  <c r="E749" i="2"/>
  <c r="D749" i="2"/>
  <c r="G748" i="2"/>
  <c r="D109" i="4" s="1"/>
  <c r="F748" i="2"/>
  <c r="D109" i="3" s="1"/>
  <c r="E748" i="2"/>
  <c r="D748" i="2"/>
  <c r="H747" i="2"/>
  <c r="C109" i="5" s="1"/>
  <c r="G747" i="2"/>
  <c r="C109" i="4" s="1"/>
  <c r="F747" i="2"/>
  <c r="C109" i="3" s="1"/>
  <c r="E747" i="2"/>
  <c r="D747" i="2"/>
  <c r="C746" i="2"/>
  <c r="A109" i="20" s="1"/>
  <c r="H746" i="2"/>
  <c r="G746" i="2"/>
  <c r="B109" i="10" s="1"/>
  <c r="F746" i="2"/>
  <c r="B109" i="9" s="1"/>
  <c r="E746" i="2"/>
  <c r="A746" i="2"/>
  <c r="C745" i="2"/>
  <c r="H745" i="2"/>
  <c r="H108" i="5" s="1"/>
  <c r="G745" i="2"/>
  <c r="H108" i="4" s="1"/>
  <c r="F745" i="2"/>
  <c r="H108" i="3" s="1"/>
  <c r="A745" i="2"/>
  <c r="C744" i="2"/>
  <c r="H744" i="2"/>
  <c r="G108" i="5" s="1"/>
  <c r="G744" i="2"/>
  <c r="G108" i="4" s="1"/>
  <c r="A744" i="2"/>
  <c r="C743" i="2"/>
  <c r="H743" i="2"/>
  <c r="F108" i="5" s="1"/>
  <c r="D743" i="2"/>
  <c r="A743" i="2"/>
  <c r="C742" i="2"/>
  <c r="E742" i="2"/>
  <c r="D742" i="2"/>
  <c r="A742" i="2"/>
  <c r="F741" i="2"/>
  <c r="D108" i="3" s="1"/>
  <c r="E741" i="2"/>
  <c r="D741" i="2"/>
  <c r="G740" i="2"/>
  <c r="C108" i="4" s="1"/>
  <c r="F740" i="2"/>
  <c r="C108" i="3" s="1"/>
  <c r="E740" i="2"/>
  <c r="D740" i="2"/>
  <c r="H739" i="2"/>
  <c r="G739" i="2"/>
  <c r="B108" i="10" s="1"/>
  <c r="F739" i="2"/>
  <c r="B108" i="9" s="1"/>
  <c r="E739" i="2"/>
  <c r="D739" i="2"/>
  <c r="C738" i="2"/>
  <c r="H738" i="2"/>
  <c r="H107" i="5" s="1"/>
  <c r="G738" i="2"/>
  <c r="H107" i="4" s="1"/>
  <c r="F738" i="2"/>
  <c r="H107" i="3" s="1"/>
  <c r="A738" i="2"/>
  <c r="C737" i="2"/>
  <c r="H737" i="2"/>
  <c r="G107" i="5" s="1"/>
  <c r="G737" i="2"/>
  <c r="G107" i="4" s="1"/>
  <c r="A737" i="2"/>
  <c r="C736" i="2"/>
  <c r="H736" i="2"/>
  <c r="F107" i="5" s="1"/>
  <c r="G736" i="2"/>
  <c r="F107" i="4" s="1"/>
  <c r="A736" i="2"/>
  <c r="C735" i="2"/>
  <c r="H735" i="2"/>
  <c r="E107" i="5" s="1"/>
  <c r="D735" i="2"/>
  <c r="A735" i="2"/>
  <c r="C734" i="2"/>
  <c r="E734" i="2"/>
  <c r="D734" i="2"/>
  <c r="A734" i="2"/>
  <c r="F733" i="2"/>
  <c r="C107" i="3" s="1"/>
  <c r="E733" i="2"/>
  <c r="D733" i="2"/>
  <c r="G732" i="2"/>
  <c r="B107" i="10" s="1"/>
  <c r="F732" i="2"/>
  <c r="B107" i="9" s="1"/>
  <c r="E732" i="2"/>
  <c r="D732" i="2"/>
  <c r="H731" i="2"/>
  <c r="H106" i="5" s="1"/>
  <c r="G731" i="2"/>
  <c r="H106" i="4" s="1"/>
  <c r="F731" i="2"/>
  <c r="H106" i="3" s="1"/>
  <c r="E731" i="2"/>
  <c r="C730" i="2"/>
  <c r="H730" i="2"/>
  <c r="G106" i="5" s="1"/>
  <c r="G730" i="2"/>
  <c r="G106" i="4" s="1"/>
  <c r="F730" i="2"/>
  <c r="G106" i="3" s="1"/>
  <c r="E730" i="2"/>
  <c r="A730" i="2"/>
  <c r="C729" i="2"/>
  <c r="H729" i="2"/>
  <c r="F106" i="5" s="1"/>
  <c r="F729" i="2"/>
  <c r="F106" i="3" s="1"/>
  <c r="A729" i="2"/>
  <c r="C728" i="2"/>
  <c r="H728" i="2"/>
  <c r="E106" i="5" s="1"/>
  <c r="G728" i="2"/>
  <c r="E106" i="4" s="1"/>
  <c r="A728" i="2"/>
  <c r="C727" i="2"/>
  <c r="H727" i="2"/>
  <c r="D106" i="5" s="1"/>
  <c r="D727" i="2"/>
  <c r="A727" i="2"/>
  <c r="E726" i="2"/>
  <c r="D726" i="2"/>
  <c r="F725" i="2"/>
  <c r="B106" i="9" s="1"/>
  <c r="E725" i="2"/>
  <c r="D725" i="2"/>
  <c r="G724" i="2"/>
  <c r="H105" i="4" s="1"/>
  <c r="F724" i="2"/>
  <c r="H105" i="3" s="1"/>
  <c r="E724" i="2"/>
  <c r="D724" i="2"/>
  <c r="H723" i="2"/>
  <c r="G105" i="5" s="1"/>
  <c r="G723" i="2"/>
  <c r="G105" i="4" s="1"/>
  <c r="F723" i="2"/>
  <c r="G105" i="3" s="1"/>
  <c r="E723" i="2"/>
  <c r="D723" i="2"/>
  <c r="C722" i="2"/>
  <c r="H722" i="2"/>
  <c r="F105" i="5" s="1"/>
  <c r="G722" i="2"/>
  <c r="F105" i="4" s="1"/>
  <c r="F722" i="2"/>
  <c r="F105" i="3" s="1"/>
  <c r="E722" i="2"/>
  <c r="A722" i="2"/>
  <c r="C721" i="2"/>
  <c r="H721" i="2"/>
  <c r="E105" i="5" s="1"/>
  <c r="G721" i="2"/>
  <c r="E105" i="4" s="1"/>
  <c r="F721" i="2"/>
  <c r="E105" i="3" s="1"/>
  <c r="A721" i="2"/>
  <c r="C720" i="2"/>
  <c r="H720" i="2"/>
  <c r="D105" i="5" s="1"/>
  <c r="G720" i="2"/>
  <c r="D105" i="4" s="1"/>
  <c r="A720" i="2"/>
  <c r="C719" i="2"/>
  <c r="D719" i="2"/>
  <c r="A719" i="2"/>
  <c r="E718" i="2"/>
  <c r="D718" i="2"/>
  <c r="F717" i="2"/>
  <c r="H104" i="3" s="1"/>
  <c r="E717" i="2"/>
  <c r="D717" i="2"/>
  <c r="G716" i="2"/>
  <c r="G104" i="4" s="1"/>
  <c r="F716" i="2"/>
  <c r="G104" i="3" s="1"/>
  <c r="E716" i="2"/>
  <c r="D716" i="2"/>
  <c r="H715" i="2"/>
  <c r="F104" i="5" s="1"/>
  <c r="G715" i="2"/>
  <c r="F104" i="4" s="1"/>
  <c r="F715" i="2"/>
  <c r="F104" i="3" s="1"/>
  <c r="E715" i="2"/>
  <c r="C714" i="2"/>
  <c r="H714" i="2"/>
  <c r="E104" i="5" s="1"/>
  <c r="G714" i="2"/>
  <c r="E104" i="4" s="1"/>
  <c r="F714" i="2"/>
  <c r="E104" i="3" s="1"/>
  <c r="E714" i="2"/>
  <c r="A714" i="2"/>
  <c r="C713" i="2"/>
  <c r="H713" i="2"/>
  <c r="D104" i="5" s="1"/>
  <c r="G713" i="2"/>
  <c r="D104" i="4" s="1"/>
  <c r="F713" i="2"/>
  <c r="D104" i="3" s="1"/>
  <c r="A713" i="2"/>
  <c r="C712" i="2"/>
  <c r="H712" i="2"/>
  <c r="C104" i="5" s="1"/>
  <c r="A712" i="2"/>
  <c r="C711" i="2"/>
  <c r="A104" i="20" s="1"/>
  <c r="H711" i="2"/>
  <c r="D711" i="2"/>
  <c r="A711" i="2"/>
  <c r="A103" i="20" s="1"/>
  <c r="E710" i="2"/>
  <c r="D710" i="2"/>
  <c r="F709" i="2"/>
  <c r="E709" i="2"/>
  <c r="D709" i="2"/>
  <c r="G708" i="2"/>
  <c r="F708" i="2"/>
  <c r="E708" i="2"/>
  <c r="D708" i="2"/>
  <c r="H707" i="2"/>
  <c r="G707" i="2"/>
  <c r="F707" i="2"/>
  <c r="E707" i="2"/>
  <c r="D707" i="2"/>
  <c r="C706" i="2"/>
  <c r="H706" i="2"/>
  <c r="G706" i="2"/>
  <c r="F706" i="2"/>
  <c r="E706" i="2"/>
  <c r="A706" i="2"/>
  <c r="C705" i="2"/>
  <c r="H705" i="2"/>
  <c r="G705" i="2"/>
  <c r="A705" i="2"/>
  <c r="C704" i="2"/>
  <c r="H704" i="2"/>
  <c r="A704" i="2"/>
  <c r="C703" i="2"/>
  <c r="H703" i="2"/>
  <c r="D703" i="2"/>
  <c r="A703" i="2"/>
  <c r="C702" i="2"/>
  <c r="E702" i="2"/>
  <c r="D702" i="2"/>
  <c r="A702" i="2"/>
  <c r="F701" i="2"/>
  <c r="E701" i="2"/>
  <c r="D701" i="2"/>
  <c r="G700" i="2"/>
  <c r="F700" i="2"/>
  <c r="E700" i="2"/>
  <c r="D700" i="2"/>
  <c r="H699" i="2"/>
  <c r="G699" i="2"/>
  <c r="F699" i="2"/>
  <c r="E699" i="2"/>
  <c r="C698" i="2"/>
  <c r="H698" i="2"/>
  <c r="G698" i="2"/>
  <c r="F698" i="2"/>
  <c r="A698" i="2"/>
  <c r="C697" i="2"/>
  <c r="H697" i="2"/>
  <c r="G697" i="2"/>
  <c r="F697" i="2"/>
  <c r="A697" i="2"/>
  <c r="C696" i="2"/>
  <c r="H696" i="2"/>
  <c r="H102" i="5" s="1"/>
  <c r="G696" i="2"/>
  <c r="H102" i="4" s="1"/>
  <c r="A696" i="2"/>
  <c r="C695" i="2"/>
  <c r="H695" i="2"/>
  <c r="G102" i="5" s="1"/>
  <c r="D695" i="2"/>
  <c r="A695" i="2"/>
  <c r="C694" i="2"/>
  <c r="E694" i="2"/>
  <c r="D694" i="2"/>
  <c r="F693" i="2"/>
  <c r="E102" i="3" s="1"/>
  <c r="E693" i="2"/>
  <c r="D693" i="2"/>
  <c r="G692" i="2"/>
  <c r="D102" i="4" s="1"/>
  <c r="F692" i="2"/>
  <c r="D102" i="3" s="1"/>
  <c r="E692" i="2"/>
  <c r="D692" i="2"/>
  <c r="H691" i="2"/>
  <c r="C102" i="5" s="1"/>
  <c r="G691" i="2"/>
  <c r="C102" i="4" s="1"/>
  <c r="F691" i="2"/>
  <c r="C102" i="3" s="1"/>
  <c r="E691" i="2"/>
  <c r="D691" i="2"/>
  <c r="C690" i="2"/>
  <c r="A102" i="20" s="1"/>
  <c r="H690" i="2"/>
  <c r="G690" i="2"/>
  <c r="B102" i="10" s="1"/>
  <c r="F690" i="2"/>
  <c r="B102" i="9" s="1"/>
  <c r="E690" i="2"/>
  <c r="A690" i="2"/>
  <c r="C689" i="2"/>
  <c r="H689" i="2"/>
  <c r="H101" i="5" s="1"/>
  <c r="G689" i="2"/>
  <c r="H101" i="4" s="1"/>
  <c r="F689" i="2"/>
  <c r="H101" i="3" s="1"/>
  <c r="A689" i="2"/>
  <c r="C688" i="2"/>
  <c r="H688" i="2"/>
  <c r="G101" i="5" s="1"/>
  <c r="A688" i="2"/>
  <c r="C687" i="2"/>
  <c r="H687" i="2"/>
  <c r="F101" i="5" s="1"/>
  <c r="D687" i="2"/>
  <c r="A687" i="2"/>
  <c r="C686" i="2"/>
  <c r="E686" i="2"/>
  <c r="D686" i="2"/>
  <c r="A686" i="2"/>
  <c r="F685" i="2"/>
  <c r="D101" i="3" s="1"/>
  <c r="E685" i="2"/>
  <c r="D685" i="2"/>
  <c r="G684" i="2"/>
  <c r="C101" i="4" s="1"/>
  <c r="F684" i="2"/>
  <c r="C101" i="3" s="1"/>
  <c r="E684" i="2"/>
  <c r="D684" i="2"/>
  <c r="H683" i="2"/>
  <c r="G683" i="2"/>
  <c r="B101" i="10" s="1"/>
  <c r="F683" i="2"/>
  <c r="B101" i="9" s="1"/>
  <c r="E683" i="2"/>
  <c r="D683" i="2"/>
  <c r="C682" i="2"/>
  <c r="H682" i="2"/>
  <c r="G682" i="2"/>
  <c r="F682" i="2"/>
  <c r="A682" i="2"/>
  <c r="C681" i="2"/>
  <c r="H681" i="2"/>
  <c r="G681" i="2"/>
  <c r="G100" i="10" s="1"/>
  <c r="A681" i="2"/>
  <c r="C680" i="2"/>
  <c r="H680" i="2"/>
  <c r="A680" i="2"/>
  <c r="C679" i="2"/>
  <c r="H679" i="2"/>
  <c r="D679" i="2"/>
  <c r="A679" i="2"/>
  <c r="C678" i="2"/>
  <c r="E678" i="2"/>
  <c r="D678" i="2"/>
  <c r="A678" i="2"/>
  <c r="F677" i="2"/>
  <c r="C100" i="9" s="1"/>
  <c r="E677" i="2"/>
  <c r="D677" i="2"/>
  <c r="G676" i="2"/>
  <c r="F676" i="2"/>
  <c r="E676" i="2"/>
  <c r="D676" i="2"/>
  <c r="H675" i="2"/>
  <c r="G675" i="2"/>
  <c r="F675" i="2"/>
  <c r="E675" i="2"/>
  <c r="H674" i="2"/>
  <c r="G674" i="2"/>
  <c r="G99" i="10" s="1"/>
  <c r="F674" i="2"/>
  <c r="G99" i="9" s="1"/>
  <c r="A674" i="2"/>
  <c r="C673" i="2"/>
  <c r="H673" i="2"/>
  <c r="G673" i="2"/>
  <c r="F99" i="10" s="1"/>
  <c r="F673" i="2"/>
  <c r="F99" i="9" s="1"/>
  <c r="A673" i="2"/>
  <c r="C672" i="2"/>
  <c r="H672" i="2"/>
  <c r="A672" i="2"/>
  <c r="C671" i="2"/>
  <c r="D671" i="2"/>
  <c r="A671" i="2"/>
  <c r="E670" i="2"/>
  <c r="D670" i="2"/>
  <c r="A670" i="2"/>
  <c r="F669" i="2"/>
  <c r="E669" i="2"/>
  <c r="D669" i="2"/>
  <c r="G668" i="2"/>
  <c r="H98" i="4" s="1"/>
  <c r="F668" i="2"/>
  <c r="H98" i="3" s="1"/>
  <c r="E668" i="2"/>
  <c r="D668" i="2"/>
  <c r="H667" i="2"/>
  <c r="G98" i="5" s="1"/>
  <c r="G667" i="2"/>
  <c r="G98" i="4" s="1"/>
  <c r="F667" i="2"/>
  <c r="G98" i="3" s="1"/>
  <c r="C666" i="2"/>
  <c r="H666" i="2"/>
  <c r="F98" i="5" s="1"/>
  <c r="G666" i="2"/>
  <c r="F98" i="4" s="1"/>
  <c r="F666" i="2"/>
  <c r="F98" i="3" s="1"/>
  <c r="A666" i="2"/>
  <c r="C665" i="2"/>
  <c r="H665" i="2"/>
  <c r="E98" i="5" s="1"/>
  <c r="G665" i="2"/>
  <c r="E98" i="4" s="1"/>
  <c r="A665" i="2"/>
  <c r="C664" i="2"/>
  <c r="H664" i="2"/>
  <c r="D98" i="5" s="1"/>
  <c r="G664" i="2"/>
  <c r="D98" i="4" s="1"/>
  <c r="A664" i="2"/>
  <c r="C663" i="2"/>
  <c r="H663" i="2"/>
  <c r="C98" i="5" s="1"/>
  <c r="D663" i="2"/>
  <c r="A663" i="2"/>
  <c r="C662" i="2"/>
  <c r="A98" i="20" s="1"/>
  <c r="E662" i="2"/>
  <c r="D662" i="2"/>
  <c r="F661" i="2"/>
  <c r="H97" i="3" s="1"/>
  <c r="E661" i="2"/>
  <c r="D661" i="2"/>
  <c r="G660" i="2"/>
  <c r="G97" i="4" s="1"/>
  <c r="F660" i="2"/>
  <c r="G97" i="3" s="1"/>
  <c r="E660" i="2"/>
  <c r="D660" i="2"/>
  <c r="H659" i="2"/>
  <c r="F97" i="5" s="1"/>
  <c r="G659" i="2"/>
  <c r="F97" i="4" s="1"/>
  <c r="F659" i="2"/>
  <c r="F97" i="3" s="1"/>
  <c r="E659" i="2"/>
  <c r="D659" i="2"/>
  <c r="C658" i="2"/>
  <c r="H658" i="2"/>
  <c r="E97" i="5" s="1"/>
  <c r="G658" i="2"/>
  <c r="E97" i="4" s="1"/>
  <c r="F658" i="2"/>
  <c r="E97" i="3" s="1"/>
  <c r="E658" i="2"/>
  <c r="A658" i="2"/>
  <c r="C657" i="2"/>
  <c r="H657" i="2"/>
  <c r="D97" i="5" s="1"/>
  <c r="G657" i="2"/>
  <c r="D97" i="4" s="1"/>
  <c r="F657" i="2"/>
  <c r="D97" i="3" s="1"/>
  <c r="A657" i="2"/>
  <c r="C656" i="2"/>
  <c r="H656" i="2"/>
  <c r="C97" i="5" s="1"/>
  <c r="A656" i="2"/>
  <c r="C655" i="2"/>
  <c r="A97" i="20" s="1"/>
  <c r="H655" i="2"/>
  <c r="D655" i="2"/>
  <c r="A655" i="2"/>
  <c r="E654" i="2"/>
  <c r="D654" i="2"/>
  <c r="A654" i="2"/>
  <c r="F653" i="2"/>
  <c r="G96" i="3" s="1"/>
  <c r="E653" i="2"/>
  <c r="D653" i="2"/>
  <c r="G652" i="2"/>
  <c r="F96" i="4" s="1"/>
  <c r="F652" i="2"/>
  <c r="F96" i="3" s="1"/>
  <c r="E652" i="2"/>
  <c r="D652" i="2"/>
  <c r="H651" i="2"/>
  <c r="E96" i="5" s="1"/>
  <c r="G651" i="2"/>
  <c r="E96" i="4" s="1"/>
  <c r="F651" i="2"/>
  <c r="E96" i="3" s="1"/>
  <c r="E651" i="2"/>
  <c r="C650" i="2"/>
  <c r="H650" i="2"/>
  <c r="D96" i="5" s="1"/>
  <c r="G650" i="2"/>
  <c r="D96" i="4" s="1"/>
  <c r="F650" i="2"/>
  <c r="D96" i="3" s="1"/>
  <c r="E650" i="2"/>
  <c r="A650" i="2"/>
  <c r="C649" i="2"/>
  <c r="H649" i="2"/>
  <c r="C96" i="5" s="1"/>
  <c r="G649" i="2"/>
  <c r="C96" i="4" s="1"/>
  <c r="F649" i="2"/>
  <c r="C96" i="3" s="1"/>
  <c r="A649" i="2"/>
  <c r="C648" i="2"/>
  <c r="A96" i="20" s="1"/>
  <c r="H648" i="2"/>
  <c r="G648" i="2"/>
  <c r="B96" i="10" s="1"/>
  <c r="A648" i="2"/>
  <c r="C647" i="2"/>
  <c r="D647" i="2"/>
  <c r="A647" i="2"/>
  <c r="E646" i="2"/>
  <c r="D646" i="2"/>
  <c r="F645" i="2"/>
  <c r="F95" i="3" s="1"/>
  <c r="E645" i="2"/>
  <c r="D645" i="2"/>
  <c r="G644" i="2"/>
  <c r="E95" i="4" s="1"/>
  <c r="F644" i="2"/>
  <c r="E95" i="3" s="1"/>
  <c r="E644" i="2"/>
  <c r="D644" i="2"/>
  <c r="H643" i="2"/>
  <c r="D95" i="5" s="1"/>
  <c r="G643" i="2"/>
  <c r="D95" i="4" s="1"/>
  <c r="F643" i="2"/>
  <c r="D95" i="3" s="1"/>
  <c r="E643" i="2"/>
  <c r="D643" i="2"/>
  <c r="C642" i="2"/>
  <c r="H642" i="2"/>
  <c r="C95" i="5" s="1"/>
  <c r="G642" i="2"/>
  <c r="C95" i="4" s="1"/>
  <c r="F642" i="2"/>
  <c r="C95" i="3" s="1"/>
  <c r="E642" i="2"/>
  <c r="A642" i="2"/>
  <c r="C641" i="2"/>
  <c r="A95" i="20" s="1"/>
  <c r="H641" i="2"/>
  <c r="G641" i="2"/>
  <c r="B95" i="10" s="1"/>
  <c r="F641" i="2"/>
  <c r="B95" i="9" s="1"/>
  <c r="A641" i="2"/>
  <c r="C640" i="2"/>
  <c r="H640" i="2"/>
  <c r="H94" i="5" s="1"/>
  <c r="G640" i="2"/>
  <c r="H94" i="4" s="1"/>
  <c r="A640" i="2"/>
  <c r="C639" i="2"/>
  <c r="D639" i="2"/>
  <c r="A639" i="2"/>
  <c r="C638" i="2"/>
  <c r="E638" i="2"/>
  <c r="D638" i="2"/>
  <c r="F637" i="2"/>
  <c r="E94" i="3" s="1"/>
  <c r="E637" i="2"/>
  <c r="D637" i="2"/>
  <c r="G636" i="2"/>
  <c r="D94" i="4" s="1"/>
  <c r="F636" i="2"/>
  <c r="D94" i="3" s="1"/>
  <c r="E636" i="2"/>
  <c r="D636" i="2"/>
  <c r="H635" i="2"/>
  <c r="C94" i="5" s="1"/>
  <c r="G635" i="2"/>
  <c r="C94" i="4" s="1"/>
  <c r="F635" i="2"/>
  <c r="C94" i="3" s="1"/>
  <c r="E635" i="2"/>
  <c r="D635" i="2"/>
  <c r="C634" i="2"/>
  <c r="A94" i="20" s="1"/>
  <c r="H634" i="2"/>
  <c r="G634" i="2"/>
  <c r="B94" i="10" s="1"/>
  <c r="F634" i="2"/>
  <c r="B94" i="9" s="1"/>
  <c r="E634" i="2"/>
  <c r="A634" i="2"/>
  <c r="C633" i="2"/>
  <c r="H633" i="2"/>
  <c r="H93" i="5" s="1"/>
  <c r="G633" i="2"/>
  <c r="H93" i="4" s="1"/>
  <c r="F633" i="2"/>
  <c r="H93" i="3" s="1"/>
  <c r="A633" i="2"/>
  <c r="C632" i="2"/>
  <c r="H632" i="2"/>
  <c r="G93" i="5" s="1"/>
  <c r="G632" i="2"/>
  <c r="G93" i="4" s="1"/>
  <c r="A632" i="2"/>
  <c r="C631" i="2"/>
  <c r="H631" i="2"/>
  <c r="F93" i="5" s="1"/>
  <c r="D631" i="2"/>
  <c r="A631" i="2"/>
  <c r="C630" i="2"/>
  <c r="E630" i="2"/>
  <c r="D630" i="2"/>
  <c r="A630" i="2"/>
  <c r="F629" i="2"/>
  <c r="D93" i="3" s="1"/>
  <c r="E629" i="2"/>
  <c r="D629" i="2"/>
  <c r="G628" i="2"/>
  <c r="C93" i="4" s="1"/>
  <c r="F628" i="2"/>
  <c r="C93" i="3" s="1"/>
  <c r="E628" i="2"/>
  <c r="D628" i="2"/>
  <c r="H627" i="2"/>
  <c r="G627" i="2"/>
  <c r="B93" i="10" s="1"/>
  <c r="F627" i="2"/>
  <c r="B93" i="9" s="1"/>
  <c r="E627" i="2"/>
  <c r="D627" i="2"/>
  <c r="C626" i="2"/>
  <c r="H626" i="2"/>
  <c r="G626" i="2"/>
  <c r="F626" i="2"/>
  <c r="A626" i="2"/>
  <c r="C625" i="2"/>
  <c r="H625" i="2"/>
  <c r="G625" i="2"/>
  <c r="F625" i="2"/>
  <c r="A625" i="2"/>
  <c r="C624" i="2"/>
  <c r="H624" i="2"/>
  <c r="A624" i="2"/>
  <c r="C623" i="2"/>
  <c r="H623" i="2"/>
  <c r="D623" i="2"/>
  <c r="A623" i="2"/>
  <c r="C622" i="2"/>
  <c r="E622" i="2"/>
  <c r="D622" i="2"/>
  <c r="F621" i="2"/>
  <c r="E621" i="2"/>
  <c r="D621" i="2"/>
  <c r="G620" i="2"/>
  <c r="F620" i="2"/>
  <c r="E620" i="2"/>
  <c r="D620" i="2"/>
  <c r="H619" i="2"/>
  <c r="G619" i="2"/>
  <c r="F619" i="2"/>
  <c r="C618" i="2"/>
  <c r="H618" i="2"/>
  <c r="G618" i="2"/>
  <c r="F618" i="2"/>
  <c r="A618" i="2"/>
  <c r="C617" i="2"/>
  <c r="H617" i="2"/>
  <c r="G617" i="2"/>
  <c r="F617" i="2"/>
  <c r="A617" i="2"/>
  <c r="C616" i="2"/>
  <c r="H616" i="2"/>
  <c r="G616" i="2"/>
  <c r="A616" i="2"/>
  <c r="C615" i="2"/>
  <c r="D615" i="2"/>
  <c r="A615" i="2"/>
  <c r="E614" i="2"/>
  <c r="D614" i="2"/>
  <c r="F613" i="2"/>
  <c r="E613" i="2"/>
  <c r="D613" i="2"/>
  <c r="G612" i="2"/>
  <c r="H91" i="4" s="1"/>
  <c r="F612" i="2"/>
  <c r="H91" i="3" s="1"/>
  <c r="E612" i="2"/>
  <c r="D612" i="2"/>
  <c r="H611" i="2"/>
  <c r="G91" i="5" s="1"/>
  <c r="G611" i="2"/>
  <c r="G91" i="4" s="1"/>
  <c r="F611" i="2"/>
  <c r="G91" i="3" s="1"/>
  <c r="E611" i="2"/>
  <c r="C610" i="2"/>
  <c r="H610" i="2"/>
  <c r="F91" i="5" s="1"/>
  <c r="G610" i="2"/>
  <c r="F91" i="4" s="1"/>
  <c r="F610" i="2"/>
  <c r="F91" i="3" s="1"/>
  <c r="E610" i="2"/>
  <c r="A610" i="2"/>
  <c r="C609" i="2"/>
  <c r="H609" i="2"/>
  <c r="E91" i="5" s="1"/>
  <c r="G609" i="2"/>
  <c r="E91" i="4" s="1"/>
  <c r="F609" i="2"/>
  <c r="E91" i="3" s="1"/>
  <c r="A609" i="2"/>
  <c r="C608" i="2"/>
  <c r="H608" i="2"/>
  <c r="D91" i="5" s="1"/>
  <c r="G608" i="2"/>
  <c r="D91" i="4" s="1"/>
  <c r="A608" i="2"/>
  <c r="C607" i="2"/>
  <c r="H607" i="2"/>
  <c r="C91" i="5" s="1"/>
  <c r="D607" i="2"/>
  <c r="A607" i="2"/>
  <c r="C606" i="2"/>
  <c r="A91" i="20" s="1"/>
  <c r="E606" i="2"/>
  <c r="D606" i="2"/>
  <c r="F605" i="2"/>
  <c r="H90" i="3" s="1"/>
  <c r="E605" i="2"/>
  <c r="D605" i="2"/>
  <c r="G604" i="2"/>
  <c r="G90" i="4" s="1"/>
  <c r="F604" i="2"/>
  <c r="G90" i="3" s="1"/>
  <c r="E604" i="2"/>
  <c r="D604" i="2"/>
  <c r="H603" i="2"/>
  <c r="F90" i="5" s="1"/>
  <c r="G603" i="2"/>
  <c r="F90" i="4" s="1"/>
  <c r="F603" i="2"/>
  <c r="F90" i="3" s="1"/>
  <c r="E603" i="2"/>
  <c r="D603" i="2"/>
  <c r="C602" i="2"/>
  <c r="H602" i="2"/>
  <c r="E90" i="5" s="1"/>
  <c r="G602" i="2"/>
  <c r="E90" i="4" s="1"/>
  <c r="F602" i="2"/>
  <c r="E90" i="3" s="1"/>
  <c r="E602" i="2"/>
  <c r="A602" i="2"/>
  <c r="C601" i="2"/>
  <c r="H601" i="2"/>
  <c r="D90" i="5" s="1"/>
  <c r="G601" i="2"/>
  <c r="D90" i="4" s="1"/>
  <c r="F601" i="2"/>
  <c r="D90" i="3" s="1"/>
  <c r="A601" i="2"/>
  <c r="C600" i="2"/>
  <c r="H600" i="2"/>
  <c r="C90" i="5" s="1"/>
  <c r="G600" i="2"/>
  <c r="C90" i="4" s="1"/>
  <c r="A600" i="2"/>
  <c r="C599" i="2"/>
  <c r="A90" i="20" s="1"/>
  <c r="D599" i="2"/>
  <c r="A599" i="2"/>
  <c r="C598" i="2"/>
  <c r="E598" i="2"/>
  <c r="D598" i="2"/>
  <c r="A598" i="2"/>
  <c r="F597" i="2"/>
  <c r="G89" i="3" s="1"/>
  <c r="E597" i="2"/>
  <c r="D597" i="2"/>
  <c r="G596" i="2"/>
  <c r="F89" i="4" s="1"/>
  <c r="F596" i="2"/>
  <c r="F89" i="3" s="1"/>
  <c r="E596" i="2"/>
  <c r="D596" i="2"/>
  <c r="H595" i="2"/>
  <c r="E89" i="5" s="1"/>
  <c r="G595" i="2"/>
  <c r="E89" i="4" s="1"/>
  <c r="F595" i="2"/>
  <c r="E89" i="3" s="1"/>
  <c r="E595" i="2"/>
  <c r="D595" i="2"/>
  <c r="C594" i="2"/>
  <c r="H594" i="2"/>
  <c r="D89" i="5" s="1"/>
  <c r="G594" i="2"/>
  <c r="D89" i="4" s="1"/>
  <c r="F594" i="2"/>
  <c r="D89" i="3" s="1"/>
  <c r="E594" i="2"/>
  <c r="A594" i="2"/>
  <c r="C593" i="2"/>
  <c r="H593" i="2"/>
  <c r="C89" i="5" s="1"/>
  <c r="G593" i="2"/>
  <c r="C89" i="4" s="1"/>
  <c r="F593" i="2"/>
  <c r="C89" i="3" s="1"/>
  <c r="A593" i="2"/>
  <c r="C592" i="2"/>
  <c r="A89" i="20" s="1"/>
  <c r="H592" i="2"/>
  <c r="G592" i="2"/>
  <c r="B89" i="10" s="1"/>
  <c r="A592" i="2"/>
  <c r="D591" i="2"/>
  <c r="A591" i="2"/>
  <c r="E590" i="2"/>
  <c r="D590" i="2"/>
  <c r="A590" i="2"/>
  <c r="F589" i="2"/>
  <c r="F87" i="3" s="1"/>
  <c r="E589" i="2"/>
  <c r="D589" i="2"/>
  <c r="G588" i="2"/>
  <c r="E87" i="4" s="1"/>
  <c r="F588" i="2"/>
  <c r="E87" i="3" s="1"/>
  <c r="E588" i="2"/>
  <c r="D588" i="2"/>
  <c r="H587" i="2"/>
  <c r="D87" i="5" s="1"/>
  <c r="G587" i="2"/>
  <c r="D87" i="4" s="1"/>
  <c r="F587" i="2"/>
  <c r="D87" i="3" s="1"/>
  <c r="E587" i="2"/>
  <c r="C586" i="2"/>
  <c r="H586" i="2"/>
  <c r="C87" i="5" s="1"/>
  <c r="G586" i="2"/>
  <c r="C87" i="4" s="1"/>
  <c r="F586" i="2"/>
  <c r="C87" i="3" s="1"/>
  <c r="A586" i="2"/>
  <c r="C585" i="2"/>
  <c r="A87" i="20" s="1"/>
  <c r="H585" i="2"/>
  <c r="G585" i="2"/>
  <c r="B87" i="10" s="1"/>
  <c r="A585" i="2"/>
  <c r="C584" i="2"/>
  <c r="H584" i="2"/>
  <c r="H86" i="5" s="1"/>
  <c r="A584" i="2"/>
  <c r="C583" i="2"/>
  <c r="H583" i="2"/>
  <c r="G86" i="5" s="1"/>
  <c r="D583" i="2"/>
  <c r="A583" i="2"/>
  <c r="E582" i="2"/>
  <c r="D582" i="2"/>
  <c r="F581" i="2"/>
  <c r="E86" i="3" s="1"/>
  <c r="E581" i="2"/>
  <c r="D581" i="2"/>
  <c r="G580" i="2"/>
  <c r="D86" i="4" s="1"/>
  <c r="F580" i="2"/>
  <c r="D86" i="3" s="1"/>
  <c r="E580" i="2"/>
  <c r="D580" i="2"/>
  <c r="H579" i="2"/>
  <c r="C86" i="5" s="1"/>
  <c r="G579" i="2"/>
  <c r="C86" i="4" s="1"/>
  <c r="F579" i="2"/>
  <c r="C86" i="3" s="1"/>
  <c r="E579" i="2"/>
  <c r="C578" i="2"/>
  <c r="A86" i="20" s="1"/>
  <c r="H578" i="2"/>
  <c r="G578" i="2"/>
  <c r="B86" i="10" s="1"/>
  <c r="F578" i="2"/>
  <c r="B86" i="9" s="1"/>
  <c r="A578" i="2"/>
  <c r="C577" i="2"/>
  <c r="H577" i="2"/>
  <c r="H85" i="5" s="1"/>
  <c r="G577" i="2"/>
  <c r="H85" i="4" s="1"/>
  <c r="F577" i="2"/>
  <c r="H85" i="3" s="1"/>
  <c r="A577" i="2"/>
  <c r="C576" i="2"/>
  <c r="H576" i="2"/>
  <c r="G85" i="5" s="1"/>
  <c r="G576" i="2"/>
  <c r="G85" i="4" s="1"/>
  <c r="A576" i="2"/>
  <c r="C575" i="2"/>
  <c r="D575" i="2"/>
  <c r="A575" i="2"/>
  <c r="C574" i="2"/>
  <c r="E574" i="2"/>
  <c r="D574" i="2"/>
  <c r="A574" i="2"/>
  <c r="F573" i="2"/>
  <c r="D85" i="3" s="1"/>
  <c r="E573" i="2"/>
  <c r="D573" i="2"/>
  <c r="G572" i="2"/>
  <c r="C85" i="4" s="1"/>
  <c r="F572" i="2"/>
  <c r="C85" i="3" s="1"/>
  <c r="E572" i="2"/>
  <c r="D572" i="2"/>
  <c r="H571" i="2"/>
  <c r="G571" i="2"/>
  <c r="B85" i="10" s="1"/>
  <c r="F571" i="2"/>
  <c r="B85" i="9" s="1"/>
  <c r="E571" i="2"/>
  <c r="C570" i="2"/>
  <c r="H570" i="2"/>
  <c r="H84" i="5" s="1"/>
  <c r="G570" i="2"/>
  <c r="H84" i="4" s="1"/>
  <c r="F570" i="2"/>
  <c r="H84" i="3" s="1"/>
  <c r="A570" i="2"/>
  <c r="C569" i="2"/>
  <c r="H569" i="2"/>
  <c r="G84" i="5" s="1"/>
  <c r="G569" i="2"/>
  <c r="G84" i="4" s="1"/>
  <c r="A569" i="2"/>
  <c r="C568" i="2"/>
  <c r="H568" i="2"/>
  <c r="F84" i="5" s="1"/>
  <c r="G568" i="2"/>
  <c r="F84" i="4" s="1"/>
  <c r="A568" i="2"/>
  <c r="H567" i="2"/>
  <c r="E84" i="5" s="1"/>
  <c r="D567" i="2"/>
  <c r="A567" i="2"/>
  <c r="C566" i="2"/>
  <c r="E566" i="2"/>
  <c r="D566" i="2"/>
  <c r="A566" i="2"/>
  <c r="F565" i="2"/>
  <c r="C84" i="3" s="1"/>
  <c r="E565" i="2"/>
  <c r="D565" i="2"/>
  <c r="G564" i="2"/>
  <c r="B84" i="10" s="1"/>
  <c r="F564" i="2"/>
  <c r="B84" i="9" s="1"/>
  <c r="E564" i="2"/>
  <c r="D564" i="2"/>
  <c r="H563" i="2"/>
  <c r="H83" i="5" s="1"/>
  <c r="G563" i="2"/>
  <c r="H83" i="4" s="1"/>
  <c r="F563" i="2"/>
  <c r="H83" i="3" s="1"/>
  <c r="E563" i="2"/>
  <c r="C562" i="2"/>
  <c r="H562" i="2"/>
  <c r="G83" i="5" s="1"/>
  <c r="G562" i="2"/>
  <c r="G83" i="4" s="1"/>
  <c r="F562" i="2"/>
  <c r="G83" i="3" s="1"/>
  <c r="A562" i="2"/>
  <c r="C561" i="2"/>
  <c r="H561" i="2"/>
  <c r="F83" i="5" s="1"/>
  <c r="G561" i="2"/>
  <c r="F83" i="4" s="1"/>
  <c r="A561" i="2"/>
  <c r="C560" i="2"/>
  <c r="H560" i="2"/>
  <c r="E83" i="5" s="1"/>
  <c r="G560" i="2"/>
  <c r="E83" i="4" s="1"/>
  <c r="A560" i="2"/>
  <c r="C559" i="2"/>
  <c r="H559" i="2"/>
  <c r="D83" i="5" s="1"/>
  <c r="D559" i="2"/>
  <c r="A559" i="2"/>
  <c r="E558" i="2"/>
  <c r="D558" i="2"/>
  <c r="A558" i="2"/>
  <c r="F557" i="2"/>
  <c r="B83" i="9" s="1"/>
  <c r="E557" i="2"/>
  <c r="D557" i="2"/>
  <c r="G556" i="2"/>
  <c r="H82" i="4" s="1"/>
  <c r="F556" i="2"/>
  <c r="H82" i="3" s="1"/>
  <c r="E556" i="2"/>
  <c r="D556" i="2"/>
  <c r="H555" i="2"/>
  <c r="G82" i="5" s="1"/>
  <c r="G555" i="2"/>
  <c r="G82" i="4" s="1"/>
  <c r="F555" i="2"/>
  <c r="G82" i="3" s="1"/>
  <c r="E555" i="2"/>
  <c r="D555" i="2"/>
  <c r="C554" i="2"/>
  <c r="H554" i="2"/>
  <c r="F82" i="5" s="1"/>
  <c r="F554" i="2"/>
  <c r="F82" i="3" s="1"/>
  <c r="E554" i="2"/>
  <c r="A554" i="2"/>
  <c r="C553" i="2"/>
  <c r="H553" i="2"/>
  <c r="E82" i="5" s="1"/>
  <c r="A553" i="2"/>
  <c r="C552" i="2"/>
  <c r="H552" i="2"/>
  <c r="D82" i="5" s="1"/>
  <c r="A552" i="2"/>
  <c r="D551" i="2"/>
  <c r="A551" i="2"/>
  <c r="C550" i="2"/>
  <c r="A82" i="20" s="1"/>
  <c r="E550" i="2"/>
  <c r="D550" i="2"/>
  <c r="A550" i="2"/>
  <c r="A81" i="20" s="1"/>
  <c r="F549" i="2"/>
  <c r="E549" i="2"/>
  <c r="D549" i="2"/>
  <c r="G548" i="2"/>
  <c r="F548" i="2"/>
  <c r="E548" i="2"/>
  <c r="D548" i="2"/>
  <c r="H547" i="2"/>
  <c r="G547" i="2"/>
  <c r="F547" i="2"/>
  <c r="E547" i="2"/>
  <c r="D547" i="2"/>
  <c r="C546" i="2"/>
  <c r="H546" i="2"/>
  <c r="G546" i="2"/>
  <c r="F546" i="2"/>
  <c r="A546" i="2"/>
  <c r="C545" i="2"/>
  <c r="G545" i="2"/>
  <c r="A545" i="2"/>
  <c r="C544" i="2"/>
  <c r="H544" i="2"/>
  <c r="A544" i="2"/>
  <c r="C543" i="2"/>
  <c r="H543" i="2"/>
  <c r="D543" i="2"/>
  <c r="A543" i="2"/>
  <c r="E542" i="2"/>
  <c r="D542" i="2"/>
  <c r="A542" i="2"/>
  <c r="F541" i="2"/>
  <c r="E541" i="2"/>
  <c r="D541" i="2"/>
  <c r="G540" i="2"/>
  <c r="F540" i="2"/>
  <c r="E540" i="2"/>
  <c r="D540" i="2"/>
  <c r="H539" i="2"/>
  <c r="G539" i="2"/>
  <c r="F539" i="2"/>
  <c r="E539" i="2"/>
  <c r="C538" i="2"/>
  <c r="H538" i="2"/>
  <c r="G538" i="2"/>
  <c r="F538" i="2"/>
  <c r="A538" i="2"/>
  <c r="C537" i="2"/>
  <c r="H537" i="2"/>
  <c r="G537" i="2"/>
  <c r="F537" i="2"/>
  <c r="A537" i="2"/>
  <c r="C536" i="2"/>
  <c r="H536" i="2"/>
  <c r="G536" i="2"/>
  <c r="A536" i="2"/>
  <c r="C535" i="2"/>
  <c r="D535" i="2"/>
  <c r="A535" i="2"/>
  <c r="C534" i="2"/>
  <c r="E534" i="2"/>
  <c r="D534" i="2"/>
  <c r="F533" i="2"/>
  <c r="F80" i="3" s="1"/>
  <c r="E533" i="2"/>
  <c r="D533" i="2"/>
  <c r="G532" i="2"/>
  <c r="E80" i="4" s="1"/>
  <c r="F532" i="2"/>
  <c r="E80" i="3" s="1"/>
  <c r="E532" i="2"/>
  <c r="D532" i="2"/>
  <c r="H531" i="2"/>
  <c r="D80" i="5" s="1"/>
  <c r="G531" i="2"/>
  <c r="D80" i="4" s="1"/>
  <c r="F531" i="2"/>
  <c r="D80" i="3" s="1"/>
  <c r="E531" i="2"/>
  <c r="C530" i="2"/>
  <c r="H530" i="2"/>
  <c r="C80" i="5" s="1"/>
  <c r="G530" i="2"/>
  <c r="C80" i="4" s="1"/>
  <c r="F530" i="2"/>
  <c r="C80" i="3" s="1"/>
  <c r="E530" i="2"/>
  <c r="A530" i="2"/>
  <c r="C529" i="2"/>
  <c r="A80" i="20" s="1"/>
  <c r="H529" i="2"/>
  <c r="G529" i="2"/>
  <c r="B80" i="10" s="1"/>
  <c r="F529" i="2"/>
  <c r="B80" i="9" s="1"/>
  <c r="A529" i="2"/>
  <c r="C528" i="2"/>
  <c r="H528" i="2"/>
  <c r="H78" i="5" s="1"/>
  <c r="A528" i="2"/>
  <c r="C527" i="2"/>
  <c r="H527" i="2"/>
  <c r="G78" i="5" s="1"/>
  <c r="D527" i="2"/>
  <c r="A527" i="2"/>
  <c r="C526" i="2"/>
  <c r="E526" i="2"/>
  <c r="D526" i="2"/>
  <c r="F525" i="2"/>
  <c r="E78" i="3" s="1"/>
  <c r="E525" i="2"/>
  <c r="D525" i="2"/>
  <c r="G524" i="2"/>
  <c r="D78" i="4" s="1"/>
  <c r="F524" i="2"/>
  <c r="D78" i="3" s="1"/>
  <c r="E524" i="2"/>
  <c r="D524" i="2"/>
  <c r="H523" i="2"/>
  <c r="C78" i="5" s="1"/>
  <c r="G523" i="2"/>
  <c r="C78" i="4" s="1"/>
  <c r="F523" i="2"/>
  <c r="C78" i="3" s="1"/>
  <c r="E523" i="2"/>
  <c r="D523" i="2"/>
  <c r="C522" i="2"/>
  <c r="A78" i="20" s="1"/>
  <c r="H522" i="2"/>
  <c r="G522" i="2"/>
  <c r="B78" i="10" s="1"/>
  <c r="F522" i="2"/>
  <c r="B78" i="9" s="1"/>
  <c r="E522" i="2"/>
  <c r="A522" i="2"/>
  <c r="C521" i="2"/>
  <c r="H521" i="2"/>
  <c r="H77" i="5" s="1"/>
  <c r="G521" i="2"/>
  <c r="H77" i="4" s="1"/>
  <c r="A521" i="2"/>
  <c r="C520" i="2"/>
  <c r="H520" i="2"/>
  <c r="G77" i="5" s="1"/>
  <c r="G520" i="2"/>
  <c r="G77" i="4" s="1"/>
  <c r="A520" i="2"/>
  <c r="C519" i="2"/>
  <c r="H519" i="2"/>
  <c r="F77" i="5" s="1"/>
  <c r="D519" i="2"/>
  <c r="A519" i="2"/>
  <c r="C518" i="2"/>
  <c r="E518" i="2"/>
  <c r="D518" i="2"/>
  <c r="A518" i="2"/>
  <c r="F517" i="2"/>
  <c r="D77" i="3" s="1"/>
  <c r="E517" i="2"/>
  <c r="D517" i="2"/>
  <c r="G516" i="2"/>
  <c r="C77" i="4" s="1"/>
  <c r="F516" i="2"/>
  <c r="C77" i="3" s="1"/>
  <c r="E516" i="2"/>
  <c r="D516" i="2"/>
  <c r="H515" i="2"/>
  <c r="B77" i="5" s="1"/>
  <c r="G515" i="2"/>
  <c r="B77" i="4" s="1"/>
  <c r="F515" i="2"/>
  <c r="B77" i="3" s="1"/>
  <c r="E515" i="2"/>
  <c r="C514" i="2"/>
  <c r="H514" i="2"/>
  <c r="H76" i="5" s="1"/>
  <c r="G514" i="2"/>
  <c r="H76" i="4" s="1"/>
  <c r="F514" i="2"/>
  <c r="H76" i="3" s="1"/>
  <c r="A514" i="2"/>
  <c r="C513" i="2"/>
  <c r="H513" i="2"/>
  <c r="G76" i="5" s="1"/>
  <c r="G513" i="2"/>
  <c r="G76" i="4" s="1"/>
  <c r="A513" i="2"/>
  <c r="C512" i="2"/>
  <c r="G512" i="2"/>
  <c r="F76" i="4" s="1"/>
  <c r="A512" i="2"/>
  <c r="H511" i="2"/>
  <c r="E76" i="5" s="1"/>
  <c r="D511" i="2"/>
  <c r="C510" i="2"/>
  <c r="E510" i="2"/>
  <c r="D510" i="2"/>
  <c r="F509" i="2"/>
  <c r="C76" i="3" s="1"/>
  <c r="E509" i="2"/>
  <c r="D509" i="2"/>
  <c r="G508" i="2"/>
  <c r="B76" i="10" s="1"/>
  <c r="F508" i="2"/>
  <c r="B76" i="9" s="1"/>
  <c r="E508" i="2"/>
  <c r="D508" i="2"/>
  <c r="H507" i="2"/>
  <c r="H75" i="5" s="1"/>
  <c r="G507" i="2"/>
  <c r="H75" i="4" s="1"/>
  <c r="F507" i="2"/>
  <c r="H75" i="3" s="1"/>
  <c r="E507" i="2"/>
  <c r="C506" i="2"/>
  <c r="H506" i="2"/>
  <c r="G75" i="5" s="1"/>
  <c r="G506" i="2"/>
  <c r="G75" i="4" s="1"/>
  <c r="A506" i="2"/>
  <c r="C505" i="2"/>
  <c r="H505" i="2"/>
  <c r="F75" i="5" s="1"/>
  <c r="G505" i="2"/>
  <c r="F75" i="4" s="1"/>
  <c r="A505" i="2"/>
  <c r="C504" i="2"/>
  <c r="H504" i="2"/>
  <c r="E75" i="5" s="1"/>
  <c r="G504" i="2"/>
  <c r="E75" i="4" s="1"/>
  <c r="A504" i="2"/>
  <c r="C503" i="2"/>
  <c r="H503" i="2"/>
  <c r="D75" i="5" s="1"/>
  <c r="D503" i="2"/>
  <c r="A503" i="2"/>
  <c r="C502" i="2"/>
  <c r="E502" i="2"/>
  <c r="D502" i="2"/>
  <c r="A502" i="2"/>
  <c r="F501" i="2"/>
  <c r="B75" i="9" s="1"/>
  <c r="E501" i="2"/>
  <c r="D501" i="2"/>
  <c r="G500" i="2"/>
  <c r="H74" i="4" s="1"/>
  <c r="F500" i="2"/>
  <c r="H74" i="3" s="1"/>
  <c r="E500" i="2"/>
  <c r="D500" i="2"/>
  <c r="H499" i="2"/>
  <c r="G74" i="5" s="1"/>
  <c r="G499" i="2"/>
  <c r="G74" i="4" s="1"/>
  <c r="F499" i="2"/>
  <c r="G74" i="3" s="1"/>
  <c r="E499" i="2"/>
  <c r="D499" i="2"/>
  <c r="C498" i="2"/>
  <c r="H498" i="2"/>
  <c r="F74" i="5" s="1"/>
  <c r="G498" i="2"/>
  <c r="F74" i="4" s="1"/>
  <c r="F498" i="2"/>
  <c r="F74" i="3" s="1"/>
  <c r="A498" i="2"/>
  <c r="C497" i="2"/>
  <c r="H497" i="2"/>
  <c r="E74" i="5" s="1"/>
  <c r="G497" i="2"/>
  <c r="E74" i="4" s="1"/>
  <c r="F497" i="2"/>
  <c r="E74" i="3" s="1"/>
  <c r="A497" i="2"/>
  <c r="C496" i="2"/>
  <c r="H496" i="2"/>
  <c r="D74" i="5" s="1"/>
  <c r="G496" i="2"/>
  <c r="D74" i="4" s="1"/>
  <c r="A496" i="2"/>
  <c r="C495" i="2"/>
  <c r="H495" i="2"/>
  <c r="C74" i="5" s="1"/>
  <c r="D495" i="2"/>
  <c r="A495" i="2"/>
  <c r="E494" i="2"/>
  <c r="D494" i="2"/>
  <c r="A494" i="2"/>
  <c r="F493" i="2"/>
  <c r="H73" i="3" s="1"/>
  <c r="E493" i="2"/>
  <c r="D493" i="2"/>
  <c r="G492" i="2"/>
  <c r="G73" i="4" s="1"/>
  <c r="F492" i="2"/>
  <c r="G73" i="3" s="1"/>
  <c r="E492" i="2"/>
  <c r="D492" i="2"/>
  <c r="H491" i="2"/>
  <c r="F73" i="5" s="1"/>
  <c r="G491" i="2"/>
  <c r="F73" i="4" s="1"/>
  <c r="F491" i="2"/>
  <c r="F73" i="3" s="1"/>
  <c r="E491" i="2"/>
  <c r="D491" i="2"/>
  <c r="C490" i="2"/>
  <c r="H490" i="2"/>
  <c r="E73" i="5" s="1"/>
  <c r="G490" i="2"/>
  <c r="E73" i="4" s="1"/>
  <c r="A490" i="2"/>
  <c r="C489" i="2"/>
  <c r="H489" i="2"/>
  <c r="D73" i="5" s="1"/>
  <c r="G489" i="2"/>
  <c r="D73" i="4" s="1"/>
  <c r="F489" i="2"/>
  <c r="D73" i="3" s="1"/>
  <c r="A489" i="2"/>
  <c r="C488" i="2"/>
  <c r="H488" i="2"/>
  <c r="C73" i="5" s="1"/>
  <c r="G488" i="2"/>
  <c r="C73" i="4" s="1"/>
  <c r="A488" i="2"/>
  <c r="C487" i="2"/>
  <c r="A73" i="20" s="1"/>
  <c r="D487" i="2"/>
  <c r="A487" i="2"/>
  <c r="E486" i="2"/>
  <c r="D486" i="2"/>
  <c r="A486" i="2"/>
  <c r="F485" i="2"/>
  <c r="G72" i="3" s="1"/>
  <c r="E485" i="2"/>
  <c r="D485" i="2"/>
  <c r="G484" i="2"/>
  <c r="F72" i="4" s="1"/>
  <c r="F484" i="2"/>
  <c r="F72" i="3" s="1"/>
  <c r="E484" i="2"/>
  <c r="D484" i="2"/>
  <c r="H483" i="2"/>
  <c r="E72" i="5" s="1"/>
  <c r="G483" i="2"/>
  <c r="E72" i="4" s="1"/>
  <c r="F483" i="2"/>
  <c r="E72" i="3" s="1"/>
  <c r="E483" i="2"/>
  <c r="D483" i="2"/>
  <c r="C482" i="2"/>
  <c r="H482" i="2"/>
  <c r="D72" i="5" s="1"/>
  <c r="G482" i="2"/>
  <c r="D72" i="4" s="1"/>
  <c r="F482" i="2"/>
  <c r="D72" i="3" s="1"/>
  <c r="A482" i="2"/>
  <c r="C481" i="2"/>
  <c r="H481" i="2"/>
  <c r="C72" i="5" s="1"/>
  <c r="G481" i="2"/>
  <c r="C72" i="4" s="1"/>
  <c r="F481" i="2"/>
  <c r="C72" i="3" s="1"/>
  <c r="A481" i="2"/>
  <c r="C480" i="2"/>
  <c r="A72" i="20" s="1"/>
  <c r="H480" i="2"/>
  <c r="A480" i="2"/>
  <c r="C479" i="2"/>
  <c r="D479" i="2"/>
  <c r="A479" i="2"/>
  <c r="E478" i="2"/>
  <c r="D478" i="2"/>
  <c r="F477" i="2"/>
  <c r="F71" i="3" s="1"/>
  <c r="E477" i="2"/>
  <c r="D477" i="2"/>
  <c r="G476" i="2"/>
  <c r="E71" i="4" s="1"/>
  <c r="F476" i="2"/>
  <c r="E71" i="3" s="1"/>
  <c r="E476" i="2"/>
  <c r="D476" i="2"/>
  <c r="H475" i="2"/>
  <c r="D71" i="5" s="1"/>
  <c r="G475" i="2"/>
  <c r="D71" i="4" s="1"/>
  <c r="F475" i="2"/>
  <c r="D71" i="3" s="1"/>
  <c r="E475" i="2"/>
  <c r="D475" i="2"/>
  <c r="C474" i="2"/>
  <c r="H474" i="2"/>
  <c r="C71" i="5" s="1"/>
  <c r="G474" i="2"/>
  <c r="C71" i="4" s="1"/>
  <c r="F474" i="2"/>
  <c r="C71" i="3" s="1"/>
  <c r="E474" i="2"/>
  <c r="A474" i="2"/>
  <c r="C473" i="2"/>
  <c r="A71" i="20" s="1"/>
  <c r="H473" i="2"/>
  <c r="A473" i="2"/>
  <c r="A70" i="20" s="1"/>
  <c r="C472" i="2"/>
  <c r="H472" i="2"/>
  <c r="G472" i="2"/>
  <c r="A472" i="2"/>
  <c r="C471" i="2"/>
  <c r="H471" i="2"/>
  <c r="D471" i="2"/>
  <c r="A471" i="2"/>
  <c r="C470" i="2"/>
  <c r="E470" i="2"/>
  <c r="D470" i="2"/>
  <c r="A470" i="2"/>
  <c r="F469" i="2"/>
  <c r="E469" i="2"/>
  <c r="D469" i="2"/>
  <c r="G468" i="2"/>
  <c r="F468" i="2"/>
  <c r="E468" i="2"/>
  <c r="D468" i="2"/>
  <c r="H467" i="2"/>
  <c r="G467" i="2"/>
  <c r="F467" i="2"/>
  <c r="E467" i="2"/>
  <c r="C466" i="2"/>
  <c r="H466" i="2"/>
  <c r="G466" i="2"/>
  <c r="E466" i="2"/>
  <c r="A466" i="2"/>
  <c r="C465" i="2"/>
  <c r="H465" i="2"/>
  <c r="G465" i="2"/>
  <c r="F465" i="2"/>
  <c r="A465" i="2"/>
  <c r="C464" i="2"/>
  <c r="H464" i="2"/>
  <c r="G464" i="2"/>
  <c r="A464" i="2"/>
  <c r="C463" i="2"/>
  <c r="H463" i="2"/>
  <c r="D463" i="2"/>
  <c r="A463" i="2"/>
  <c r="C462" i="2"/>
  <c r="E462" i="2"/>
  <c r="D462" i="2"/>
  <c r="A462" i="2"/>
  <c r="F461" i="2"/>
  <c r="E461" i="2"/>
  <c r="D461" i="2"/>
  <c r="G460" i="2"/>
  <c r="F460" i="2"/>
  <c r="E460" i="2"/>
  <c r="D460" i="2"/>
  <c r="H459" i="2"/>
  <c r="G459" i="2"/>
  <c r="F459" i="2"/>
  <c r="E459" i="2"/>
  <c r="D459" i="2"/>
  <c r="C458" i="2"/>
  <c r="H458" i="2"/>
  <c r="H69" i="5" s="1"/>
  <c r="G458" i="2"/>
  <c r="H69" i="4" s="1"/>
  <c r="F458" i="2"/>
  <c r="H69" i="3" s="1"/>
  <c r="A458" i="2"/>
  <c r="C457" i="2"/>
  <c r="H457" i="2"/>
  <c r="G69" i="5" s="1"/>
  <c r="G457" i="2"/>
  <c r="G69" i="4" s="1"/>
  <c r="F457" i="2"/>
  <c r="G69" i="3" s="1"/>
  <c r="A457" i="2"/>
  <c r="C456" i="2"/>
  <c r="H456" i="2"/>
  <c r="F69" i="5" s="1"/>
  <c r="G456" i="2"/>
  <c r="F69" i="4" s="1"/>
  <c r="A456" i="2"/>
  <c r="C455" i="2"/>
  <c r="H455" i="2"/>
  <c r="E69" i="5" s="1"/>
  <c r="D455" i="2"/>
  <c r="A455" i="2"/>
  <c r="E454" i="2"/>
  <c r="D454" i="2"/>
  <c r="A454" i="2"/>
  <c r="F453" i="2"/>
  <c r="C69" i="3" s="1"/>
  <c r="E453" i="2"/>
  <c r="D453" i="2"/>
  <c r="G452" i="2"/>
  <c r="B69" i="10" s="1"/>
  <c r="F452" i="2"/>
  <c r="B69" i="9" s="1"/>
  <c r="E452" i="2"/>
  <c r="H451" i="2"/>
  <c r="H67" i="5" s="1"/>
  <c r="G451" i="2"/>
  <c r="H67" i="4" s="1"/>
  <c r="F451" i="2"/>
  <c r="H67" i="3" s="1"/>
  <c r="E451" i="2"/>
  <c r="D451" i="2"/>
  <c r="C450" i="2"/>
  <c r="H450" i="2"/>
  <c r="G67" i="5" s="1"/>
  <c r="G450" i="2"/>
  <c r="G67" i="4" s="1"/>
  <c r="F450" i="2"/>
  <c r="G67" i="3" s="1"/>
  <c r="A450" i="2"/>
  <c r="C449" i="2"/>
  <c r="H449" i="2"/>
  <c r="F67" i="5" s="1"/>
  <c r="G449" i="2"/>
  <c r="F67" i="4" s="1"/>
  <c r="F449" i="2"/>
  <c r="F67" i="3" s="1"/>
  <c r="A449" i="2"/>
  <c r="C448" i="2"/>
  <c r="H448" i="2"/>
  <c r="E67" i="5" s="1"/>
  <c r="G448" i="2"/>
  <c r="E67" i="4" s="1"/>
  <c r="A448" i="2"/>
  <c r="C447" i="2"/>
  <c r="H447" i="2"/>
  <c r="D67" i="5" s="1"/>
  <c r="D447" i="2"/>
  <c r="A447" i="2"/>
  <c r="E446" i="2"/>
  <c r="D446" i="2"/>
  <c r="F445" i="2"/>
  <c r="B67" i="9" s="1"/>
  <c r="E445" i="2"/>
  <c r="D445" i="2"/>
  <c r="G444" i="2"/>
  <c r="H65" i="4" s="1"/>
  <c r="F444" i="2"/>
  <c r="H65" i="3" s="1"/>
  <c r="E444" i="2"/>
  <c r="H443" i="2"/>
  <c r="G65" i="5" s="1"/>
  <c r="G443" i="2"/>
  <c r="G65" i="4" s="1"/>
  <c r="F443" i="2"/>
  <c r="G65" i="3" s="1"/>
  <c r="E443" i="2"/>
  <c r="D443" i="2"/>
  <c r="C442" i="2"/>
  <c r="H442" i="2"/>
  <c r="F65" i="5" s="1"/>
  <c r="G442" i="2"/>
  <c r="F65" i="4" s="1"/>
  <c r="F442" i="2"/>
  <c r="F65" i="3" s="1"/>
  <c r="E442" i="2"/>
  <c r="A442" i="2"/>
  <c r="C441" i="2"/>
  <c r="H441" i="2"/>
  <c r="E65" i="5" s="1"/>
  <c r="G441" i="2"/>
  <c r="E65" i="4" s="1"/>
  <c r="A441" i="2"/>
  <c r="C440" i="2"/>
  <c r="H440" i="2"/>
  <c r="D65" i="5" s="1"/>
  <c r="G440" i="2"/>
  <c r="D65" i="4" s="1"/>
  <c r="A440" i="2"/>
  <c r="C439" i="2"/>
  <c r="H439" i="2"/>
  <c r="C65" i="5" s="1"/>
  <c r="D439" i="2"/>
  <c r="A439" i="2"/>
  <c r="E438" i="2"/>
  <c r="D438" i="2"/>
  <c r="A438" i="2"/>
  <c r="F437" i="2"/>
  <c r="H64" i="3" s="1"/>
  <c r="E437" i="2"/>
  <c r="D437" i="2"/>
  <c r="G436" i="2"/>
  <c r="G64" i="4" s="1"/>
  <c r="F436" i="2"/>
  <c r="G64" i="3" s="1"/>
  <c r="E436" i="2"/>
  <c r="D436" i="2"/>
  <c r="H435" i="2"/>
  <c r="F64" i="5" s="1"/>
  <c r="G435" i="2"/>
  <c r="F64" i="4" s="1"/>
  <c r="F435" i="2"/>
  <c r="F64" i="3" s="1"/>
  <c r="E435" i="2"/>
  <c r="D435" i="2"/>
  <c r="C434" i="2"/>
  <c r="H434" i="2"/>
  <c r="E64" i="5" s="1"/>
  <c r="G434" i="2"/>
  <c r="E64" i="4" s="1"/>
  <c r="F434" i="2"/>
  <c r="E64" i="3" s="1"/>
  <c r="E434" i="2"/>
  <c r="A434" i="2"/>
  <c r="C433" i="2"/>
  <c r="H433" i="2"/>
  <c r="D64" i="5" s="1"/>
  <c r="G433" i="2"/>
  <c r="D64" i="4" s="1"/>
  <c r="F433" i="2"/>
  <c r="D64" i="3" s="1"/>
  <c r="A433" i="2"/>
  <c r="C432" i="2"/>
  <c r="H432" i="2"/>
  <c r="C64" i="5" s="1"/>
  <c r="G432" i="2"/>
  <c r="C64" i="4" s="1"/>
  <c r="A432" i="2"/>
  <c r="C431" i="2"/>
  <c r="A64" i="20" s="1"/>
  <c r="H431" i="2"/>
  <c r="D431" i="2"/>
  <c r="A431" i="2"/>
  <c r="E430" i="2"/>
  <c r="D430" i="2"/>
  <c r="A430" i="2"/>
  <c r="F429" i="2"/>
  <c r="G63" i="3" s="1"/>
  <c r="E429" i="2"/>
  <c r="D429" i="2"/>
  <c r="G428" i="2"/>
  <c r="F63" i="4" s="1"/>
  <c r="F428" i="2"/>
  <c r="F63" i="3" s="1"/>
  <c r="E428" i="2"/>
  <c r="D428" i="2"/>
  <c r="H427" i="2"/>
  <c r="E63" i="5" s="1"/>
  <c r="G427" i="2"/>
  <c r="E63" i="4" s="1"/>
  <c r="F427" i="2"/>
  <c r="E63" i="3" s="1"/>
  <c r="E427" i="2"/>
  <c r="C426" i="2"/>
  <c r="H426" i="2"/>
  <c r="D63" i="5" s="1"/>
  <c r="G426" i="2"/>
  <c r="D63" i="4" s="1"/>
  <c r="F426" i="2"/>
  <c r="D63" i="3" s="1"/>
  <c r="E426" i="2"/>
  <c r="A426" i="2"/>
  <c r="C425" i="2"/>
  <c r="H425" i="2"/>
  <c r="C63" i="5" s="1"/>
  <c r="G425" i="2"/>
  <c r="C63" i="4" s="1"/>
  <c r="A425" i="2"/>
  <c r="C424" i="2"/>
  <c r="A63" i="20" s="1"/>
  <c r="H424" i="2"/>
  <c r="G424" i="2"/>
  <c r="B63" i="10" s="1"/>
  <c r="A424" i="2"/>
  <c r="C423" i="2"/>
  <c r="H423" i="2"/>
  <c r="H62" i="5" s="1"/>
  <c r="D423" i="2"/>
  <c r="A423" i="2"/>
  <c r="E422" i="2"/>
  <c r="D422" i="2"/>
  <c r="A422" i="2"/>
  <c r="F421" i="2"/>
  <c r="F62" i="3" s="1"/>
  <c r="E421" i="2"/>
  <c r="D421" i="2"/>
  <c r="G420" i="2"/>
  <c r="E62" i="4" s="1"/>
  <c r="F420" i="2"/>
  <c r="E62" i="3" s="1"/>
  <c r="E420" i="2"/>
  <c r="D420" i="2"/>
  <c r="H419" i="2"/>
  <c r="D62" i="5" s="1"/>
  <c r="G419" i="2"/>
  <c r="D62" i="4" s="1"/>
  <c r="F419" i="2"/>
  <c r="D62" i="3" s="1"/>
  <c r="E419" i="2"/>
  <c r="D419" i="2"/>
  <c r="C418" i="2"/>
  <c r="H418" i="2"/>
  <c r="C62" i="5" s="1"/>
  <c r="G418" i="2"/>
  <c r="C62" i="4" s="1"/>
  <c r="F418" i="2"/>
  <c r="C62" i="3" s="1"/>
  <c r="E418" i="2"/>
  <c r="A418" i="2"/>
  <c r="C417" i="2"/>
  <c r="A62" i="20" s="1"/>
  <c r="H417" i="2"/>
  <c r="G417" i="2"/>
  <c r="B62" i="10" s="1"/>
  <c r="A417" i="2"/>
  <c r="C416" i="2"/>
  <c r="H416" i="2"/>
  <c r="H61" i="5" s="1"/>
  <c r="G416" i="2"/>
  <c r="H61" i="4" s="1"/>
  <c r="A416" i="2"/>
  <c r="C415" i="2"/>
  <c r="H415" i="2"/>
  <c r="G61" i="5" s="1"/>
  <c r="D415" i="2"/>
  <c r="A415" i="2"/>
  <c r="C414" i="2"/>
  <c r="E414" i="2"/>
  <c r="D414" i="2"/>
  <c r="A414" i="2"/>
  <c r="F413" i="2"/>
  <c r="E61" i="3" s="1"/>
  <c r="E413" i="2"/>
  <c r="D413" i="2"/>
  <c r="G412" i="2"/>
  <c r="D61" i="4" s="1"/>
  <c r="F412" i="2"/>
  <c r="D61" i="3" s="1"/>
  <c r="E412" i="2"/>
  <c r="D412" i="2"/>
  <c r="H411" i="2"/>
  <c r="C61" i="5" s="1"/>
  <c r="G411" i="2"/>
  <c r="C61" i="4" s="1"/>
  <c r="F411" i="2"/>
  <c r="C61" i="3" s="1"/>
  <c r="E411" i="2"/>
  <c r="D411" i="2"/>
  <c r="C410" i="2"/>
  <c r="A61" i="20" s="1"/>
  <c r="H410" i="2"/>
  <c r="G410" i="2"/>
  <c r="B61" i="10" s="1"/>
  <c r="F410" i="2"/>
  <c r="B61" i="9" s="1"/>
  <c r="E410" i="2"/>
  <c r="A410" i="2"/>
  <c r="C409" i="2"/>
  <c r="H409" i="2"/>
  <c r="H60" i="5" s="1"/>
  <c r="G409" i="2"/>
  <c r="H60" i="4" s="1"/>
  <c r="F409" i="2"/>
  <c r="H60" i="3" s="1"/>
  <c r="A409" i="2"/>
  <c r="C408" i="2"/>
  <c r="H408" i="2"/>
  <c r="G60" i="5" s="1"/>
  <c r="G408" i="2"/>
  <c r="G60" i="4" s="1"/>
  <c r="A408" i="2"/>
  <c r="C407" i="2"/>
  <c r="D407" i="2"/>
  <c r="A407" i="2"/>
  <c r="C406" i="2"/>
  <c r="E406" i="2"/>
  <c r="D406" i="2"/>
  <c r="A406" i="2"/>
  <c r="F405" i="2"/>
  <c r="D60" i="3" s="1"/>
  <c r="E405" i="2"/>
  <c r="D405" i="2"/>
  <c r="G404" i="2"/>
  <c r="C60" i="4" s="1"/>
  <c r="F404" i="2"/>
  <c r="C60" i="3" s="1"/>
  <c r="E404" i="2"/>
  <c r="D404" i="2"/>
  <c r="H403" i="2"/>
  <c r="G403" i="2"/>
  <c r="B60" i="10" s="1"/>
  <c r="F403" i="2"/>
  <c r="B60" i="9" s="1"/>
  <c r="E403" i="2"/>
  <c r="D403" i="2"/>
  <c r="C402" i="2"/>
  <c r="H402" i="2"/>
  <c r="G402" i="2"/>
  <c r="F402" i="2"/>
  <c r="A402" i="2"/>
  <c r="C401" i="2"/>
  <c r="H401" i="2"/>
  <c r="G401" i="2"/>
  <c r="A401" i="2"/>
  <c r="C400" i="2"/>
  <c r="H400" i="2"/>
  <c r="G400" i="2"/>
  <c r="A400" i="2"/>
  <c r="C399" i="2"/>
  <c r="D399" i="2"/>
  <c r="A399" i="2"/>
  <c r="C398" i="2"/>
  <c r="E398" i="2"/>
  <c r="D398" i="2"/>
  <c r="F397" i="2"/>
  <c r="E397" i="2"/>
  <c r="D397" i="2"/>
  <c r="G396" i="2"/>
  <c r="F396" i="2"/>
  <c r="E396" i="2"/>
  <c r="D396" i="2"/>
  <c r="H395" i="2"/>
  <c r="G395" i="2"/>
  <c r="F395" i="2"/>
  <c r="E395" i="2"/>
  <c r="D395" i="2"/>
  <c r="C394" i="2"/>
  <c r="H394" i="2"/>
  <c r="G394" i="2"/>
  <c r="F394" i="2"/>
  <c r="A394" i="2"/>
  <c r="C393" i="2"/>
  <c r="H393" i="2"/>
  <c r="G393" i="2"/>
  <c r="F393" i="2"/>
  <c r="A393" i="2"/>
  <c r="C392" i="2"/>
  <c r="H392" i="2"/>
  <c r="G392" i="2"/>
  <c r="A392" i="2"/>
  <c r="C391" i="2"/>
  <c r="D391" i="2"/>
  <c r="A391" i="2"/>
  <c r="E390" i="2"/>
  <c r="D390" i="2"/>
  <c r="F389" i="2"/>
  <c r="E389" i="2"/>
  <c r="D389" i="2"/>
  <c r="F388" i="2"/>
  <c r="H58" i="3" s="1"/>
  <c r="E388" i="2"/>
  <c r="D388" i="2"/>
  <c r="H387" i="2"/>
  <c r="G58" i="5" s="1"/>
  <c r="G387" i="2"/>
  <c r="G58" i="4" s="1"/>
  <c r="F387" i="2"/>
  <c r="G58" i="3" s="1"/>
  <c r="E387" i="2"/>
  <c r="C386" i="2"/>
  <c r="H386" i="2"/>
  <c r="F58" i="5" s="1"/>
  <c r="G386" i="2"/>
  <c r="F58" i="4" s="1"/>
  <c r="F386" i="2"/>
  <c r="F58" i="3" s="1"/>
  <c r="E386" i="2"/>
  <c r="A386" i="2"/>
  <c r="C385" i="2"/>
  <c r="H385" i="2"/>
  <c r="E58" i="5" s="1"/>
  <c r="A385" i="2"/>
  <c r="C384" i="2"/>
  <c r="H384" i="2"/>
  <c r="D58" i="5" s="1"/>
  <c r="G384" i="2"/>
  <c r="D58" i="4" s="1"/>
  <c r="A384" i="2"/>
  <c r="C383" i="2"/>
  <c r="H383" i="2"/>
  <c r="C58" i="5" s="1"/>
  <c r="D383" i="2"/>
  <c r="A383" i="2"/>
  <c r="C382" i="2"/>
  <c r="A58" i="20" s="1"/>
  <c r="E382" i="2"/>
  <c r="D382" i="2"/>
  <c r="A382" i="2"/>
  <c r="F381" i="2"/>
  <c r="H57" i="3" s="1"/>
  <c r="E381" i="2"/>
  <c r="D381" i="2"/>
  <c r="G380" i="2"/>
  <c r="G57" i="4" s="1"/>
  <c r="F380" i="2"/>
  <c r="G57" i="3" s="1"/>
  <c r="E380" i="2"/>
  <c r="D380" i="2"/>
  <c r="H379" i="2"/>
  <c r="F57" i="5" s="1"/>
  <c r="G379" i="2"/>
  <c r="F57" i="4" s="1"/>
  <c r="F379" i="2"/>
  <c r="F57" i="3" s="1"/>
  <c r="E379" i="2"/>
  <c r="D379" i="2"/>
  <c r="C378" i="2"/>
  <c r="H378" i="2"/>
  <c r="E57" i="5" s="1"/>
  <c r="G378" i="2"/>
  <c r="E57" i="4" s="1"/>
  <c r="F378" i="2"/>
  <c r="E57" i="3" s="1"/>
  <c r="E378" i="2"/>
  <c r="A378" i="2"/>
  <c r="C377" i="2"/>
  <c r="H377" i="2"/>
  <c r="D57" i="5" s="1"/>
  <c r="G377" i="2"/>
  <c r="D57" i="4" s="1"/>
  <c r="A377" i="2"/>
  <c r="C376" i="2"/>
  <c r="H376" i="2"/>
  <c r="C57" i="5" s="1"/>
  <c r="G376" i="2"/>
  <c r="C57" i="4" s="1"/>
  <c r="A376" i="2"/>
  <c r="C375" i="2"/>
  <c r="A57" i="20" s="1"/>
  <c r="H375" i="2"/>
  <c r="D375" i="2"/>
  <c r="A375" i="2"/>
  <c r="C374" i="2"/>
  <c r="E374" i="2"/>
  <c r="D374" i="2"/>
  <c r="A374" i="2"/>
  <c r="F373" i="2"/>
  <c r="G56" i="3" s="1"/>
  <c r="E373" i="2"/>
  <c r="D373" i="2"/>
  <c r="G372" i="2"/>
  <c r="F56" i="4" s="1"/>
  <c r="F372" i="2"/>
  <c r="F56" i="3" s="1"/>
  <c r="E372" i="2"/>
  <c r="D372" i="2"/>
  <c r="H371" i="2"/>
  <c r="E56" i="5" s="1"/>
  <c r="G371" i="2"/>
  <c r="E56" i="4" s="1"/>
  <c r="F371" i="2"/>
  <c r="E56" i="3" s="1"/>
  <c r="E371" i="2"/>
  <c r="D371" i="2"/>
  <c r="C370" i="2"/>
  <c r="H370" i="2"/>
  <c r="D56" i="5" s="1"/>
  <c r="A370" i="2"/>
  <c r="C369" i="2"/>
  <c r="H369" i="2"/>
  <c r="C56" i="5" s="1"/>
  <c r="G369" i="2"/>
  <c r="C56" i="4" s="1"/>
  <c r="F369" i="2"/>
  <c r="C56" i="3" s="1"/>
  <c r="A369" i="2"/>
  <c r="C368" i="2"/>
  <c r="A56" i="20" s="1"/>
  <c r="H368" i="2"/>
  <c r="G368" i="2"/>
  <c r="B56" i="10" s="1"/>
  <c r="A368" i="2"/>
  <c r="C367" i="2"/>
  <c r="H367" i="2"/>
  <c r="H55" i="5" s="1"/>
  <c r="D367" i="2"/>
  <c r="A367" i="2"/>
  <c r="C366" i="2"/>
  <c r="E366" i="2"/>
  <c r="D366" i="2"/>
  <c r="F365" i="2"/>
  <c r="F55" i="3" s="1"/>
  <c r="E365" i="2"/>
  <c r="D365" i="2"/>
  <c r="G364" i="2"/>
  <c r="E55" i="4" s="1"/>
  <c r="F364" i="2"/>
  <c r="E55" i="3" s="1"/>
  <c r="E364" i="2"/>
  <c r="D364" i="2"/>
  <c r="H363" i="2"/>
  <c r="D55" i="5" s="1"/>
  <c r="G363" i="2"/>
  <c r="D55" i="4" s="1"/>
  <c r="F363" i="2"/>
  <c r="D55" i="3" s="1"/>
  <c r="D363" i="2"/>
  <c r="C362" i="2"/>
  <c r="H362" i="2"/>
  <c r="C55" i="5" s="1"/>
  <c r="G362" i="2"/>
  <c r="C55" i="4" s="1"/>
  <c r="F362" i="2"/>
  <c r="C55" i="3" s="1"/>
  <c r="E362" i="2"/>
  <c r="A362" i="2"/>
  <c r="C361" i="2"/>
  <c r="A55" i="20" s="1"/>
  <c r="H361" i="2"/>
  <c r="B55" i="5" s="1"/>
  <c r="G361" i="2"/>
  <c r="B55" i="4" s="1"/>
  <c r="A361" i="2"/>
  <c r="C360" i="2"/>
  <c r="H360" i="2"/>
  <c r="H54" i="5" s="1"/>
  <c r="A360" i="2"/>
  <c r="C359" i="2"/>
  <c r="H359" i="2"/>
  <c r="G54" i="5" s="1"/>
  <c r="D359" i="2"/>
  <c r="C358" i="2"/>
  <c r="E358" i="2"/>
  <c r="D358" i="2"/>
  <c r="F357" i="2"/>
  <c r="E54" i="3" s="1"/>
  <c r="E357" i="2"/>
  <c r="D357" i="2"/>
  <c r="G356" i="2"/>
  <c r="D54" i="4" s="1"/>
  <c r="F356" i="2"/>
  <c r="D54" i="3" s="1"/>
  <c r="E356" i="2"/>
  <c r="D356" i="2"/>
  <c r="H355" i="2"/>
  <c r="C54" i="5" s="1"/>
  <c r="G355" i="2"/>
  <c r="C54" i="4" s="1"/>
  <c r="F355" i="2"/>
  <c r="C54" i="3" s="1"/>
  <c r="E355" i="2"/>
  <c r="D355" i="2"/>
  <c r="C354" i="2"/>
  <c r="A54" i="20" s="1"/>
  <c r="H354" i="2"/>
  <c r="G354" i="2"/>
  <c r="B54" i="10" s="1"/>
  <c r="F354" i="2"/>
  <c r="B54" i="9" s="1"/>
  <c r="E354" i="2"/>
  <c r="A354" i="2"/>
  <c r="C353" i="2"/>
  <c r="H353" i="2"/>
  <c r="H53" i="5" s="1"/>
  <c r="G353" i="2"/>
  <c r="H53" i="4" s="1"/>
  <c r="F353" i="2"/>
  <c r="H53" i="3" s="1"/>
  <c r="A353" i="2"/>
  <c r="C352" i="2"/>
  <c r="H352" i="2"/>
  <c r="G53" i="5" s="1"/>
  <c r="A352" i="2"/>
  <c r="C351" i="2"/>
  <c r="H351" i="2"/>
  <c r="F53" i="5" s="1"/>
  <c r="D351" i="2"/>
  <c r="A351" i="2"/>
  <c r="E350" i="2"/>
  <c r="D350" i="2"/>
  <c r="A350" i="2"/>
  <c r="F349" i="2"/>
  <c r="D53" i="3" s="1"/>
  <c r="E349" i="2"/>
  <c r="D349" i="2"/>
  <c r="G348" i="2"/>
  <c r="C53" i="4" s="1"/>
  <c r="F348" i="2"/>
  <c r="C53" i="3" s="1"/>
  <c r="E348" i="2"/>
  <c r="D348" i="2"/>
  <c r="H347" i="2"/>
  <c r="G347" i="2"/>
  <c r="B53" i="10" s="1"/>
  <c r="F347" i="2"/>
  <c r="B53" i="9" s="1"/>
  <c r="E347" i="2"/>
  <c r="D347" i="2"/>
  <c r="C346" i="2"/>
  <c r="H346" i="2"/>
  <c r="H52" i="5" s="1"/>
  <c r="G346" i="2"/>
  <c r="H52" i="4" s="1"/>
  <c r="F346" i="2"/>
  <c r="H52" i="3" s="1"/>
  <c r="E346" i="2"/>
  <c r="A346" i="2"/>
  <c r="C345" i="2"/>
  <c r="H345" i="2"/>
  <c r="G52" i="5" s="1"/>
  <c r="A345" i="2"/>
  <c r="C344" i="2"/>
  <c r="H344" i="2"/>
  <c r="F52" i="5" s="1"/>
  <c r="G344" i="2"/>
  <c r="F52" i="4" s="1"/>
  <c r="A344" i="2"/>
  <c r="C343" i="2"/>
  <c r="H343" i="2"/>
  <c r="E52" i="5" s="1"/>
  <c r="D343" i="2"/>
  <c r="A343" i="2"/>
  <c r="C342" i="2"/>
  <c r="E342" i="2"/>
  <c r="D342" i="2"/>
  <c r="F341" i="2"/>
  <c r="C52" i="3" s="1"/>
  <c r="E341" i="2"/>
  <c r="D341" i="2"/>
  <c r="G340" i="2"/>
  <c r="B52" i="10" s="1"/>
  <c r="F340" i="2"/>
  <c r="B52" i="9" s="1"/>
  <c r="E340" i="2"/>
  <c r="D340" i="2"/>
  <c r="H339" i="2"/>
  <c r="H51" i="5" s="1"/>
  <c r="G339" i="2"/>
  <c r="H51" i="4" s="1"/>
  <c r="F339" i="2"/>
  <c r="H51" i="3" s="1"/>
  <c r="E339" i="2"/>
  <c r="D339" i="2"/>
  <c r="C338" i="2"/>
  <c r="H338" i="2"/>
  <c r="G51" i="5" s="1"/>
  <c r="G338" i="2"/>
  <c r="G51" i="4" s="1"/>
  <c r="F338" i="2"/>
  <c r="G51" i="3" s="1"/>
  <c r="A338" i="2"/>
  <c r="C337" i="2"/>
  <c r="H337" i="2"/>
  <c r="F51" i="5" s="1"/>
  <c r="G337" i="2"/>
  <c r="F51" i="4" s="1"/>
  <c r="F337" i="2"/>
  <c r="F51" i="3" s="1"/>
  <c r="A337" i="2"/>
  <c r="C336" i="2"/>
  <c r="H336" i="2"/>
  <c r="E51" i="5" s="1"/>
  <c r="G336" i="2"/>
  <c r="E51" i="4" s="1"/>
  <c r="A336" i="2"/>
  <c r="C335" i="2"/>
  <c r="H335" i="2"/>
  <c r="D51" i="5" s="1"/>
  <c r="D335" i="2"/>
  <c r="A335" i="2"/>
  <c r="C334" i="2"/>
  <c r="E334" i="2"/>
  <c r="D334" i="2"/>
  <c r="A334" i="2"/>
  <c r="F333" i="2"/>
  <c r="B51" i="9" s="1"/>
  <c r="E333" i="2"/>
  <c r="D333" i="2"/>
  <c r="G332" i="2"/>
  <c r="H50" i="4" s="1"/>
  <c r="F332" i="2"/>
  <c r="H50" i="3" s="1"/>
  <c r="E332" i="2"/>
  <c r="D332" i="2"/>
  <c r="H331" i="2"/>
  <c r="G50" i="5" s="1"/>
  <c r="G331" i="2"/>
  <c r="G50" i="4" s="1"/>
  <c r="F331" i="2"/>
  <c r="G50" i="3" s="1"/>
  <c r="E331" i="2"/>
  <c r="C330" i="2"/>
  <c r="H330" i="2"/>
  <c r="F50" i="5" s="1"/>
  <c r="G330" i="2"/>
  <c r="F50" i="4" s="1"/>
  <c r="F330" i="2"/>
  <c r="F50" i="3" s="1"/>
  <c r="A330" i="2"/>
  <c r="C329" i="2"/>
  <c r="H329" i="2"/>
  <c r="E50" i="5" s="1"/>
  <c r="G329" i="2"/>
  <c r="E50" i="4" s="1"/>
  <c r="F329" i="2"/>
  <c r="E50" i="3" s="1"/>
  <c r="A329" i="2"/>
  <c r="C328" i="2"/>
  <c r="H328" i="2"/>
  <c r="D50" i="5" s="1"/>
  <c r="G328" i="2"/>
  <c r="D50" i="4" s="1"/>
  <c r="A328" i="2"/>
  <c r="C327" i="2"/>
  <c r="H327" i="2"/>
  <c r="C50" i="5" s="1"/>
  <c r="D327" i="2"/>
  <c r="A327" i="2"/>
  <c r="C326" i="2"/>
  <c r="A50" i="20" s="1"/>
  <c r="E326" i="2"/>
  <c r="D326" i="2"/>
  <c r="A326" i="2"/>
  <c r="F325" i="2"/>
  <c r="H49" i="3" s="1"/>
  <c r="E325" i="2"/>
  <c r="D325" i="2"/>
  <c r="G324" i="2"/>
  <c r="G49" i="4" s="1"/>
  <c r="F324" i="2"/>
  <c r="G49" i="3" s="1"/>
  <c r="E324" i="2"/>
  <c r="D324" i="2"/>
  <c r="H323" i="2"/>
  <c r="F49" i="5" s="1"/>
  <c r="G323" i="2"/>
  <c r="F49" i="4" s="1"/>
  <c r="F323" i="2"/>
  <c r="F49" i="3" s="1"/>
  <c r="E323" i="2"/>
  <c r="D323" i="2"/>
  <c r="C322" i="2"/>
  <c r="H322" i="2"/>
  <c r="E49" i="5" s="1"/>
  <c r="G322" i="2"/>
  <c r="E49" i="4" s="1"/>
  <c r="F322" i="2"/>
  <c r="E49" i="3" s="1"/>
  <c r="A322" i="2"/>
  <c r="C321" i="2"/>
  <c r="H321" i="2"/>
  <c r="D49" i="5" s="1"/>
  <c r="G321" i="2"/>
  <c r="D49" i="4" s="1"/>
  <c r="F321" i="2"/>
  <c r="D49" i="3" s="1"/>
  <c r="A321" i="2"/>
  <c r="C320" i="2"/>
  <c r="H320" i="2"/>
  <c r="C49" i="5" s="1"/>
  <c r="A320" i="2"/>
  <c r="C319" i="2"/>
  <c r="A49" i="20" s="1"/>
  <c r="H319" i="2"/>
  <c r="D319" i="2"/>
  <c r="E318" i="2"/>
  <c r="D318" i="2"/>
  <c r="A318" i="2"/>
  <c r="F317" i="2"/>
  <c r="E317" i="2"/>
  <c r="D317" i="2"/>
  <c r="G316" i="2"/>
  <c r="F316" i="2"/>
  <c r="E316" i="2"/>
  <c r="H315" i="2"/>
  <c r="G315" i="2"/>
  <c r="F315" i="2"/>
  <c r="E315" i="2"/>
  <c r="D315" i="2"/>
  <c r="C314" i="2"/>
  <c r="H314" i="2"/>
  <c r="G314" i="2"/>
  <c r="F314" i="2"/>
  <c r="A314" i="2"/>
  <c r="C313" i="2"/>
  <c r="H313" i="2"/>
  <c r="G313" i="2"/>
  <c r="F313" i="2"/>
  <c r="A313" i="2"/>
  <c r="C312" i="2"/>
  <c r="H312" i="2"/>
  <c r="G312" i="2"/>
  <c r="A312" i="2"/>
  <c r="C311" i="2"/>
  <c r="H311" i="2"/>
  <c r="D311" i="2"/>
  <c r="A311" i="2"/>
  <c r="C310" i="2"/>
  <c r="E310" i="2"/>
  <c r="D310" i="2"/>
  <c r="A310" i="2"/>
  <c r="F309" i="2"/>
  <c r="E309" i="2"/>
  <c r="D309" i="2"/>
  <c r="G308" i="2"/>
  <c r="F308" i="2"/>
  <c r="E308" i="2"/>
  <c r="D308" i="2"/>
  <c r="H307" i="2"/>
  <c r="G307" i="2"/>
  <c r="F307" i="2"/>
  <c r="C306" i="2"/>
  <c r="H306" i="2"/>
  <c r="G306" i="2"/>
  <c r="F306" i="2"/>
  <c r="E306" i="2"/>
  <c r="A306" i="2"/>
  <c r="C305" i="2"/>
  <c r="H305" i="2"/>
  <c r="A305" i="2"/>
  <c r="C304" i="2"/>
  <c r="H304" i="2"/>
  <c r="H47" i="5" s="1"/>
  <c r="A304" i="2"/>
  <c r="C303" i="2"/>
  <c r="D303" i="2"/>
  <c r="A303" i="2"/>
  <c r="C302" i="2"/>
  <c r="E302" i="2"/>
  <c r="D302" i="2"/>
  <c r="F301" i="2"/>
  <c r="E47" i="3" s="1"/>
  <c r="E301" i="2"/>
  <c r="D301" i="2"/>
  <c r="G300" i="2"/>
  <c r="D47" i="4" s="1"/>
  <c r="F300" i="2"/>
  <c r="D47" i="3" s="1"/>
  <c r="E300" i="2"/>
  <c r="D300" i="2"/>
  <c r="H299" i="2"/>
  <c r="C47" i="5" s="1"/>
  <c r="G299" i="2"/>
  <c r="C47" i="4" s="1"/>
  <c r="F299" i="2"/>
  <c r="C47" i="3" s="1"/>
  <c r="E299" i="2"/>
  <c r="D299" i="2"/>
  <c r="C298" i="2"/>
  <c r="A47" i="20" s="1"/>
  <c r="H298" i="2"/>
  <c r="G298" i="2"/>
  <c r="B47" i="10" s="1"/>
  <c r="F298" i="2"/>
  <c r="B47" i="9" s="1"/>
  <c r="E298" i="2"/>
  <c r="A298" i="2"/>
  <c r="C297" i="2"/>
  <c r="H297" i="2"/>
  <c r="H45" i="5" s="1"/>
  <c r="G297" i="2"/>
  <c r="H45" i="4" s="1"/>
  <c r="F297" i="2"/>
  <c r="H45" i="3" s="1"/>
  <c r="A297" i="2"/>
  <c r="C296" i="2"/>
  <c r="H296" i="2"/>
  <c r="G45" i="5" s="1"/>
  <c r="G296" i="2"/>
  <c r="G45" i="4" s="1"/>
  <c r="A296" i="2"/>
  <c r="C295" i="2"/>
  <c r="H295" i="2"/>
  <c r="F45" i="5" s="1"/>
  <c r="D295" i="2"/>
  <c r="A295" i="2"/>
  <c r="E294" i="2"/>
  <c r="D294" i="2"/>
  <c r="A294" i="2"/>
  <c r="F293" i="2"/>
  <c r="D45" i="3" s="1"/>
  <c r="E293" i="2"/>
  <c r="D293" i="2"/>
  <c r="G292" i="2"/>
  <c r="C45" i="4" s="1"/>
  <c r="F292" i="2"/>
  <c r="C45" i="3" s="1"/>
  <c r="E292" i="2"/>
  <c r="D292" i="2"/>
  <c r="H291" i="2"/>
  <c r="G291" i="2"/>
  <c r="B45" i="10" s="1"/>
  <c r="F291" i="2"/>
  <c r="B45" i="9" s="1"/>
  <c r="E291" i="2"/>
  <c r="D291" i="2"/>
  <c r="C290" i="2"/>
  <c r="H290" i="2"/>
  <c r="H43" i="5" s="1"/>
  <c r="G290" i="2"/>
  <c r="H43" i="4" s="1"/>
  <c r="F290" i="2"/>
  <c r="H43" i="3" s="1"/>
  <c r="A290" i="2"/>
  <c r="C289" i="2"/>
  <c r="H289" i="2"/>
  <c r="G43" i="5" s="1"/>
  <c r="G289" i="2"/>
  <c r="G43" i="4" s="1"/>
  <c r="A289" i="2"/>
  <c r="C288" i="2"/>
  <c r="H288" i="2"/>
  <c r="F43" i="5" s="1"/>
  <c r="G288" i="2"/>
  <c r="F43" i="4" s="1"/>
  <c r="A288" i="2"/>
  <c r="C287" i="2"/>
  <c r="D287" i="2"/>
  <c r="A287" i="2"/>
  <c r="E286" i="2"/>
  <c r="D286" i="2"/>
  <c r="F285" i="2"/>
  <c r="C43" i="3" s="1"/>
  <c r="E285" i="2"/>
  <c r="D285" i="2"/>
  <c r="G284" i="2"/>
  <c r="B43" i="10" s="1"/>
  <c r="F284" i="2"/>
  <c r="B43" i="9" s="1"/>
  <c r="E284" i="2"/>
  <c r="D284" i="2"/>
  <c r="H283" i="2"/>
  <c r="H42" i="5" s="1"/>
  <c r="G283" i="2"/>
  <c r="H42" i="4" s="1"/>
  <c r="F283" i="2"/>
  <c r="H42" i="3" s="1"/>
  <c r="C282" i="2"/>
  <c r="H282" i="2"/>
  <c r="G42" i="5" s="1"/>
  <c r="G282" i="2"/>
  <c r="G42" i="4" s="1"/>
  <c r="F282" i="2"/>
  <c r="G42" i="3" s="1"/>
  <c r="E282" i="2"/>
  <c r="A282" i="2"/>
  <c r="C281" i="2"/>
  <c r="H281" i="2"/>
  <c r="F42" i="5" s="1"/>
  <c r="G281" i="2"/>
  <c r="F42" i="4" s="1"/>
  <c r="A281" i="2"/>
  <c r="C280" i="2"/>
  <c r="H280" i="2"/>
  <c r="E42" i="5" s="1"/>
  <c r="G280" i="2"/>
  <c r="E42" i="4" s="1"/>
  <c r="A280" i="2"/>
  <c r="C279" i="2"/>
  <c r="H279" i="2"/>
  <c r="D42" i="5" s="1"/>
  <c r="D279" i="2"/>
  <c r="A279" i="2"/>
  <c r="E278" i="2"/>
  <c r="D278" i="2"/>
  <c r="A278" i="2"/>
  <c r="F277" i="2"/>
  <c r="B42" i="9" s="1"/>
  <c r="E277" i="2"/>
  <c r="D277" i="2"/>
  <c r="G276" i="2"/>
  <c r="H41" i="4" s="1"/>
  <c r="F276" i="2"/>
  <c r="H41" i="3" s="1"/>
  <c r="E276" i="2"/>
  <c r="D276" i="2"/>
  <c r="H275" i="2"/>
  <c r="G41" i="5" s="1"/>
  <c r="G275" i="2"/>
  <c r="G41" i="4" s="1"/>
  <c r="F275" i="2"/>
  <c r="G41" i="3" s="1"/>
  <c r="E275" i="2"/>
  <c r="C274" i="2"/>
  <c r="H274" i="2"/>
  <c r="F41" i="5" s="1"/>
  <c r="G274" i="2"/>
  <c r="F41" i="4" s="1"/>
  <c r="F274" i="2"/>
  <c r="F41" i="3" s="1"/>
  <c r="A274" i="2"/>
  <c r="C273" i="2"/>
  <c r="H273" i="2"/>
  <c r="E41" i="5" s="1"/>
  <c r="A273" i="2"/>
  <c r="C272" i="2"/>
  <c r="H272" i="2"/>
  <c r="D41" i="5" s="1"/>
  <c r="G272" i="2"/>
  <c r="D41" i="4" s="1"/>
  <c r="C271" i="2"/>
  <c r="D271" i="2"/>
  <c r="A271" i="2"/>
  <c r="C270" i="2"/>
  <c r="A41" i="20" s="1"/>
  <c r="E270" i="2"/>
  <c r="D270" i="2"/>
  <c r="F269" i="2"/>
  <c r="H40" i="3" s="1"/>
  <c r="E269" i="2"/>
  <c r="D269" i="2"/>
  <c r="G268" i="2"/>
  <c r="G40" i="4" s="1"/>
  <c r="F268" i="2"/>
  <c r="G40" i="3" s="1"/>
  <c r="E268" i="2"/>
  <c r="D268" i="2"/>
  <c r="H267" i="2"/>
  <c r="F40" i="5" s="1"/>
  <c r="G267" i="2"/>
  <c r="F40" i="4" s="1"/>
  <c r="F267" i="2"/>
  <c r="F40" i="3" s="1"/>
  <c r="E267" i="2"/>
  <c r="C266" i="2"/>
  <c r="H266" i="2"/>
  <c r="E40" i="5" s="1"/>
  <c r="G266" i="2"/>
  <c r="E40" i="4" s="1"/>
  <c r="F266" i="2"/>
  <c r="E40" i="3" s="1"/>
  <c r="E266" i="2"/>
  <c r="A266" i="2"/>
  <c r="C265" i="2"/>
  <c r="H265" i="2"/>
  <c r="D40" i="5" s="1"/>
  <c r="G265" i="2"/>
  <c r="D40" i="4" s="1"/>
  <c r="F265" i="2"/>
  <c r="D40" i="3" s="1"/>
  <c r="A265" i="2"/>
  <c r="C264" i="2"/>
  <c r="H264" i="2"/>
  <c r="C40" i="5" s="1"/>
  <c r="G264" i="2"/>
  <c r="C40" i="4" s="1"/>
  <c r="A264" i="2"/>
  <c r="C263" i="2"/>
  <c r="A40" i="20" s="1"/>
  <c r="H263" i="2"/>
  <c r="D263" i="2"/>
  <c r="A263" i="2"/>
  <c r="E262" i="2"/>
  <c r="D262" i="2"/>
  <c r="A262" i="2"/>
  <c r="F261" i="2"/>
  <c r="G39" i="3" s="1"/>
  <c r="E261" i="2"/>
  <c r="D261" i="2"/>
  <c r="G260" i="2"/>
  <c r="F39" i="4" s="1"/>
  <c r="F260" i="2"/>
  <c r="F39" i="3" s="1"/>
  <c r="E260" i="2"/>
  <c r="D260" i="2"/>
  <c r="H259" i="2"/>
  <c r="E39" i="5" s="1"/>
  <c r="G259" i="2"/>
  <c r="E39" i="4" s="1"/>
  <c r="F259" i="2"/>
  <c r="E39" i="3" s="1"/>
  <c r="E259" i="2"/>
  <c r="D259" i="2"/>
  <c r="C258" i="2"/>
  <c r="H258" i="2"/>
  <c r="D39" i="5" s="1"/>
  <c r="G258" i="2"/>
  <c r="D39" i="4" s="1"/>
  <c r="F258" i="2"/>
  <c r="D39" i="3" s="1"/>
  <c r="A258" i="2"/>
  <c r="C257" i="2"/>
  <c r="H257" i="2"/>
  <c r="C39" i="5" s="1"/>
  <c r="G257" i="2"/>
  <c r="C39" i="4" s="1"/>
  <c r="A257" i="2"/>
  <c r="C256" i="2"/>
  <c r="A39" i="20" s="1"/>
  <c r="H256" i="2"/>
  <c r="G256" i="2"/>
  <c r="B39" i="10" s="1"/>
  <c r="A256" i="2"/>
  <c r="C255" i="2"/>
  <c r="D255" i="2"/>
  <c r="A255" i="2"/>
  <c r="E254" i="2"/>
  <c r="D254" i="2"/>
  <c r="F253" i="2"/>
  <c r="F38" i="3" s="1"/>
  <c r="E253" i="2"/>
  <c r="D253" i="2"/>
  <c r="G252" i="2"/>
  <c r="E38" i="4" s="1"/>
  <c r="F252" i="2"/>
  <c r="E38" i="3" s="1"/>
  <c r="E252" i="2"/>
  <c r="D252" i="2"/>
  <c r="H251" i="2"/>
  <c r="D38" i="5" s="1"/>
  <c r="G251" i="2"/>
  <c r="D38" i="4" s="1"/>
  <c r="F251" i="2"/>
  <c r="D38" i="3" s="1"/>
  <c r="E251" i="2"/>
  <c r="C250" i="2"/>
  <c r="H250" i="2"/>
  <c r="C38" i="5" s="1"/>
  <c r="G250" i="2"/>
  <c r="C38" i="4" s="1"/>
  <c r="F250" i="2"/>
  <c r="C38" i="3" s="1"/>
  <c r="E250" i="2"/>
  <c r="A250" i="2"/>
  <c r="C249" i="2"/>
  <c r="A38" i="20" s="1"/>
  <c r="H249" i="2"/>
  <c r="G249" i="2"/>
  <c r="B38" i="10" s="1"/>
  <c r="A249" i="2"/>
  <c r="A37" i="20" s="1"/>
  <c r="C248" i="2"/>
  <c r="H248" i="2"/>
  <c r="A248" i="2"/>
  <c r="C247" i="2"/>
  <c r="H247" i="2"/>
  <c r="D247" i="2"/>
  <c r="A247" i="2"/>
  <c r="C246" i="2"/>
  <c r="E246" i="2"/>
  <c r="D246" i="2"/>
  <c r="A246" i="2"/>
  <c r="F245" i="2"/>
  <c r="E245" i="2"/>
  <c r="D245" i="2"/>
  <c r="G244" i="2"/>
  <c r="F244" i="2"/>
  <c r="E244" i="2"/>
  <c r="D244" i="2"/>
  <c r="H243" i="2"/>
  <c r="G243" i="2"/>
  <c r="F243" i="2"/>
  <c r="E243" i="2"/>
  <c r="D243" i="2"/>
  <c r="C242" i="2"/>
  <c r="H242" i="2"/>
  <c r="G242" i="2"/>
  <c r="A242" i="2"/>
  <c r="C241" i="2"/>
  <c r="H241" i="2"/>
  <c r="G241" i="2"/>
  <c r="F241" i="2"/>
  <c r="A241" i="2"/>
  <c r="C240" i="2"/>
  <c r="H240" i="2"/>
  <c r="A240" i="2"/>
  <c r="C239" i="2"/>
  <c r="H239" i="2"/>
  <c r="D239" i="2"/>
  <c r="A239" i="2"/>
  <c r="E238" i="2"/>
  <c r="D238" i="2"/>
  <c r="A238" i="2"/>
  <c r="F237" i="2"/>
  <c r="E237" i="2"/>
  <c r="D237" i="2"/>
  <c r="G236" i="2"/>
  <c r="F236" i="2"/>
  <c r="E236" i="2"/>
  <c r="D236" i="2"/>
  <c r="H235" i="2"/>
  <c r="G235" i="2"/>
  <c r="F235" i="2"/>
  <c r="E235" i="2"/>
  <c r="D235" i="2"/>
  <c r="C234" i="2"/>
  <c r="H234" i="2"/>
  <c r="H36" i="5" s="1"/>
  <c r="G234" i="2"/>
  <c r="H36" i="4" s="1"/>
  <c r="F234" i="2"/>
  <c r="H36" i="3" s="1"/>
  <c r="E234" i="2"/>
  <c r="A234" i="2"/>
  <c r="C233" i="2"/>
  <c r="H233" i="2"/>
  <c r="G36" i="5" s="1"/>
  <c r="G233" i="2"/>
  <c r="G36" i="4" s="1"/>
  <c r="F233" i="2"/>
  <c r="G36" i="3" s="1"/>
  <c r="A233" i="2"/>
  <c r="C232" i="2"/>
  <c r="A232" i="2"/>
  <c r="H231" i="2"/>
  <c r="E36" i="5" s="1"/>
  <c r="D231" i="2"/>
  <c r="A231" i="2"/>
  <c r="C230" i="2"/>
  <c r="E230" i="2"/>
  <c r="D230" i="2"/>
  <c r="A230" i="2"/>
  <c r="F229" i="2"/>
  <c r="C36" i="3" s="1"/>
  <c r="E229" i="2"/>
  <c r="D229" i="2"/>
  <c r="G228" i="2"/>
  <c r="B36" i="10" s="1"/>
  <c r="F228" i="2"/>
  <c r="B36" i="9" s="1"/>
  <c r="D228" i="2"/>
  <c r="H227" i="2"/>
  <c r="H35" i="5" s="1"/>
  <c r="G227" i="2"/>
  <c r="H35" i="4" s="1"/>
  <c r="F227" i="2"/>
  <c r="H35" i="3" s="1"/>
  <c r="E227" i="2"/>
  <c r="D227" i="2"/>
  <c r="C226" i="2"/>
  <c r="H226" i="2"/>
  <c r="G35" i="5" s="1"/>
  <c r="G226" i="2"/>
  <c r="G35" i="4" s="1"/>
  <c r="F226" i="2"/>
  <c r="G35" i="3" s="1"/>
  <c r="A226" i="2"/>
  <c r="C225" i="2"/>
  <c r="H225" i="2"/>
  <c r="F35" i="5" s="1"/>
  <c r="G225" i="2"/>
  <c r="F35" i="4" s="1"/>
  <c r="F225" i="2"/>
  <c r="F35" i="3" s="1"/>
  <c r="A225" i="2"/>
  <c r="C224" i="2"/>
  <c r="H224" i="2"/>
  <c r="E35" i="5" s="1"/>
  <c r="A224" i="2"/>
  <c r="C223" i="2"/>
  <c r="H223" i="2"/>
  <c r="D35" i="5" s="1"/>
  <c r="D223" i="2"/>
  <c r="A223" i="2"/>
  <c r="E222" i="2"/>
  <c r="D222" i="2"/>
  <c r="F221" i="2"/>
  <c r="B35" i="9" s="1"/>
  <c r="E221" i="2"/>
  <c r="D221" i="2"/>
  <c r="G220" i="2"/>
  <c r="H34" i="4" s="1"/>
  <c r="F220" i="2"/>
  <c r="H34" i="3" s="1"/>
  <c r="E220" i="2"/>
  <c r="D220" i="2"/>
  <c r="H219" i="2"/>
  <c r="G34" i="5" s="1"/>
  <c r="G219" i="2"/>
  <c r="G34" i="4" s="1"/>
  <c r="F219" i="2"/>
  <c r="G34" i="3" s="1"/>
  <c r="E219" i="2"/>
  <c r="C218" i="2"/>
  <c r="H218" i="2"/>
  <c r="F34" i="5" s="1"/>
  <c r="G218" i="2"/>
  <c r="F34" i="4" s="1"/>
  <c r="F218" i="2"/>
  <c r="F34" i="3" s="1"/>
  <c r="E218" i="2"/>
  <c r="A218" i="2"/>
  <c r="C217" i="2"/>
  <c r="H217" i="2"/>
  <c r="E34" i="5" s="1"/>
  <c r="G217" i="2"/>
  <c r="E34" i="4" s="1"/>
  <c r="A217" i="2"/>
  <c r="C216" i="2"/>
  <c r="H216" i="2"/>
  <c r="D34" i="5" s="1"/>
  <c r="G216" i="2"/>
  <c r="D34" i="4" s="1"/>
  <c r="A216" i="2"/>
  <c r="C215" i="2"/>
  <c r="H215" i="2"/>
  <c r="C34" i="5" s="1"/>
  <c r="D215" i="2"/>
  <c r="A215" i="2"/>
  <c r="C214" i="2"/>
  <c r="A34" i="20" s="1"/>
  <c r="E214" i="2"/>
  <c r="D214" i="2"/>
  <c r="A214" i="2"/>
  <c r="F213" i="2"/>
  <c r="H33" i="3" s="1"/>
  <c r="E213" i="2"/>
  <c r="D213" i="2"/>
  <c r="G212" i="2"/>
  <c r="G33" i="4" s="1"/>
  <c r="F212" i="2"/>
  <c r="G33" i="3" s="1"/>
  <c r="E212" i="2"/>
  <c r="D212" i="2"/>
  <c r="H211" i="2"/>
  <c r="F33" i="5" s="1"/>
  <c r="G211" i="2"/>
  <c r="F33" i="4" s="1"/>
  <c r="F211" i="2"/>
  <c r="F33" i="3" s="1"/>
  <c r="E211" i="2"/>
  <c r="D211" i="2"/>
  <c r="C210" i="2"/>
  <c r="H210" i="2"/>
  <c r="E33" i="5" s="1"/>
  <c r="G210" i="2"/>
  <c r="E33" i="4" s="1"/>
  <c r="F210" i="2"/>
  <c r="E33" i="3" s="1"/>
  <c r="E210" i="2"/>
  <c r="A210" i="2"/>
  <c r="C209" i="2"/>
  <c r="H209" i="2"/>
  <c r="D33" i="5" s="1"/>
  <c r="G209" i="2"/>
  <c r="D33" i="4" s="1"/>
  <c r="A209" i="2"/>
  <c r="C208" i="2"/>
  <c r="H208" i="2"/>
  <c r="C33" i="5" s="1"/>
  <c r="G208" i="2"/>
  <c r="C33" i="4" s="1"/>
  <c r="A208" i="2"/>
  <c r="C207" i="2"/>
  <c r="A33" i="20" s="1"/>
  <c r="D207" i="2"/>
  <c r="A207" i="2"/>
  <c r="E206" i="2"/>
  <c r="D206" i="2"/>
  <c r="F205" i="2"/>
  <c r="G32" i="3" s="1"/>
  <c r="E205" i="2"/>
  <c r="D205" i="2"/>
  <c r="G204" i="2"/>
  <c r="F32" i="4" s="1"/>
  <c r="F204" i="2"/>
  <c r="F32" i="3" s="1"/>
  <c r="E204" i="2"/>
  <c r="D204" i="2"/>
  <c r="H203" i="2"/>
  <c r="E32" i="5" s="1"/>
  <c r="G203" i="2"/>
  <c r="E32" i="4" s="1"/>
  <c r="F203" i="2"/>
  <c r="E32" i="3" s="1"/>
  <c r="C202" i="2"/>
  <c r="H202" i="2"/>
  <c r="D32" i="5" s="1"/>
  <c r="G202" i="2"/>
  <c r="D32" i="4" s="1"/>
  <c r="F202" i="2"/>
  <c r="D32" i="3" s="1"/>
  <c r="E202" i="2"/>
  <c r="A202" i="2"/>
  <c r="C201" i="2"/>
  <c r="H201" i="2"/>
  <c r="C32" i="5" s="1"/>
  <c r="G201" i="2"/>
  <c r="C32" i="4" s="1"/>
  <c r="A201" i="2"/>
  <c r="C200" i="2"/>
  <c r="A32" i="20" s="1"/>
  <c r="H200" i="2"/>
  <c r="G200" i="2"/>
  <c r="B32" i="10" s="1"/>
  <c r="A200" i="2"/>
  <c r="C199" i="2"/>
  <c r="H199" i="2"/>
  <c r="H31" i="5" s="1"/>
  <c r="D199" i="2"/>
  <c r="A199" i="2"/>
  <c r="C198" i="2"/>
  <c r="E198" i="2"/>
  <c r="D198" i="2"/>
  <c r="A198" i="2"/>
  <c r="F197" i="2"/>
  <c r="F31" i="3" s="1"/>
  <c r="E197" i="2"/>
  <c r="D197" i="2"/>
  <c r="G196" i="2"/>
  <c r="E31" i="4" s="1"/>
  <c r="F196" i="2"/>
  <c r="E31" i="3" s="1"/>
  <c r="E196" i="2"/>
  <c r="D196" i="2"/>
  <c r="H195" i="2"/>
  <c r="D31" i="5" s="1"/>
  <c r="G195" i="2"/>
  <c r="D31" i="4" s="1"/>
  <c r="F195" i="2"/>
  <c r="D31" i="3" s="1"/>
  <c r="E195" i="2"/>
  <c r="D195" i="2"/>
  <c r="C194" i="2"/>
  <c r="H194" i="2"/>
  <c r="C31" i="5" s="1"/>
  <c r="G194" i="2"/>
  <c r="C31" i="4" s="1"/>
  <c r="F194" i="2"/>
  <c r="C31" i="3" s="1"/>
  <c r="A194" i="2"/>
  <c r="C193" i="2"/>
  <c r="A31" i="20" s="1"/>
  <c r="H193" i="2"/>
  <c r="G193" i="2"/>
  <c r="B31" i="10" s="1"/>
  <c r="F193" i="2"/>
  <c r="B31" i="9" s="1"/>
  <c r="A193" i="2"/>
  <c r="C192" i="2"/>
  <c r="H192" i="2"/>
  <c r="H30" i="5" s="1"/>
  <c r="G192" i="2"/>
  <c r="H30" i="4" s="1"/>
  <c r="A192" i="2"/>
  <c r="C191" i="2"/>
  <c r="H191" i="2"/>
  <c r="G30" i="5" s="1"/>
  <c r="D191" i="2"/>
  <c r="E190" i="2"/>
  <c r="D190" i="2"/>
  <c r="A190" i="2"/>
  <c r="F189" i="2"/>
  <c r="E30" i="3" s="1"/>
  <c r="E189" i="2"/>
  <c r="D189" i="2"/>
  <c r="G188" i="2"/>
  <c r="D30" i="4" s="1"/>
  <c r="F188" i="2"/>
  <c r="D30" i="3" s="1"/>
  <c r="E188" i="2"/>
  <c r="D188" i="2"/>
  <c r="H187" i="2"/>
  <c r="C30" i="5" s="1"/>
  <c r="G187" i="2"/>
  <c r="C30" i="4" s="1"/>
  <c r="F187" i="2"/>
  <c r="C30" i="3" s="1"/>
  <c r="E187" i="2"/>
  <c r="D187" i="2"/>
  <c r="C186" i="2"/>
  <c r="A30" i="20" s="1"/>
  <c r="H186" i="2"/>
  <c r="G186" i="2"/>
  <c r="B30" i="10" s="1"/>
  <c r="F186" i="2"/>
  <c r="B30" i="9" s="1"/>
  <c r="E186" i="2"/>
  <c r="A186" i="2"/>
  <c r="C185" i="2"/>
  <c r="H185" i="2"/>
  <c r="H29" i="5" s="1"/>
  <c r="G185" i="2"/>
  <c r="H29" i="4" s="1"/>
  <c r="F185" i="2"/>
  <c r="H29" i="3" s="1"/>
  <c r="A185" i="2"/>
  <c r="C184" i="2"/>
  <c r="H184" i="2"/>
  <c r="G29" i="5" s="1"/>
  <c r="A184" i="2"/>
  <c r="H183" i="2"/>
  <c r="F29" i="5" s="1"/>
  <c r="D183" i="2"/>
  <c r="C182" i="2"/>
  <c r="E182" i="2"/>
  <c r="D182" i="2"/>
  <c r="A182" i="2"/>
  <c r="F181" i="2"/>
  <c r="D29" i="3" s="1"/>
  <c r="E181" i="2"/>
  <c r="D181" i="2"/>
  <c r="G180" i="2"/>
  <c r="C29" i="4" s="1"/>
  <c r="F180" i="2"/>
  <c r="C29" i="3" s="1"/>
  <c r="E180" i="2"/>
  <c r="D180" i="2"/>
  <c r="H179" i="2"/>
  <c r="G179" i="2"/>
  <c r="B29" i="10" s="1"/>
  <c r="F179" i="2"/>
  <c r="B29" i="9" s="1"/>
  <c r="E179" i="2"/>
  <c r="D179" i="2"/>
  <c r="C178" i="2"/>
  <c r="H178" i="2"/>
  <c r="H28" i="5" s="1"/>
  <c r="G178" i="2"/>
  <c r="H28" i="4" s="1"/>
  <c r="F178" i="2"/>
  <c r="H28" i="3" s="1"/>
  <c r="A178" i="2"/>
  <c r="C177" i="2"/>
  <c r="H177" i="2"/>
  <c r="G28" i="5" s="1"/>
  <c r="G177" i="2"/>
  <c r="G28" i="4" s="1"/>
  <c r="F177" i="2"/>
  <c r="G28" i="3" s="1"/>
  <c r="A177" i="2"/>
  <c r="C176" i="2"/>
  <c r="H176" i="2"/>
  <c r="F28" i="5" s="1"/>
  <c r="G176" i="2"/>
  <c r="F28" i="4" s="1"/>
  <c r="A176" i="2"/>
  <c r="C175" i="2"/>
  <c r="H175" i="2"/>
  <c r="E28" i="5" s="1"/>
  <c r="D175" i="2"/>
  <c r="A175" i="2"/>
  <c r="C174" i="2"/>
  <c r="E174" i="2"/>
  <c r="D174" i="2"/>
  <c r="A174" i="2"/>
  <c r="F173" i="2"/>
  <c r="C28" i="3" s="1"/>
  <c r="E173" i="2"/>
  <c r="D173" i="2"/>
  <c r="G172" i="2"/>
  <c r="B28" i="10" s="1"/>
  <c r="F172" i="2"/>
  <c r="B28" i="9" s="1"/>
  <c r="E172" i="2"/>
  <c r="D172" i="2"/>
  <c r="H171" i="2"/>
  <c r="H27" i="5" s="1"/>
  <c r="G171" i="2"/>
  <c r="H27" i="4" s="1"/>
  <c r="F171" i="2"/>
  <c r="H27" i="3" s="1"/>
  <c r="E171" i="2"/>
  <c r="D171" i="2"/>
  <c r="C170" i="2"/>
  <c r="H170" i="2"/>
  <c r="G27" i="5" s="1"/>
  <c r="G170" i="2"/>
  <c r="G27" i="4" s="1"/>
  <c r="F170" i="2"/>
  <c r="G27" i="3" s="1"/>
  <c r="A170" i="2"/>
  <c r="C169" i="2"/>
  <c r="H169" i="2"/>
  <c r="F27" i="5" s="1"/>
  <c r="G169" i="2"/>
  <c r="F27" i="4" s="1"/>
  <c r="F169" i="2"/>
  <c r="F27" i="3" s="1"/>
  <c r="A169" i="2"/>
  <c r="C168" i="2"/>
  <c r="H168" i="2"/>
  <c r="E27" i="5" s="1"/>
  <c r="G168" i="2"/>
  <c r="E27" i="4" s="1"/>
  <c r="A168" i="2"/>
  <c r="C167" i="2"/>
  <c r="H167" i="2"/>
  <c r="D27" i="5" s="1"/>
  <c r="D167" i="2"/>
  <c r="A167" i="2"/>
  <c r="E166" i="2"/>
  <c r="D166" i="2"/>
  <c r="A166" i="2"/>
  <c r="F165" i="2"/>
  <c r="B27" i="9" s="1"/>
  <c r="E165" i="2"/>
  <c r="D165" i="2"/>
  <c r="G164" i="2"/>
  <c r="F164" i="2"/>
  <c r="E164" i="2"/>
  <c r="D164" i="2"/>
  <c r="H163" i="2"/>
  <c r="G163" i="2"/>
  <c r="F163" i="2"/>
  <c r="E163" i="2"/>
  <c r="D163" i="2"/>
  <c r="C162" i="2"/>
  <c r="H162" i="2"/>
  <c r="G162" i="2"/>
  <c r="F162" i="2"/>
  <c r="A162" i="2"/>
  <c r="C161" i="2"/>
  <c r="H161" i="2"/>
  <c r="G161" i="2"/>
  <c r="F161" i="2"/>
  <c r="A161" i="2"/>
  <c r="C160" i="2"/>
  <c r="H160" i="2"/>
  <c r="A160" i="2"/>
  <c r="C159" i="2"/>
  <c r="H159" i="2"/>
  <c r="D159" i="2"/>
  <c r="C158" i="2"/>
  <c r="E158" i="2"/>
  <c r="D158" i="2"/>
  <c r="A158" i="2"/>
  <c r="F157" i="2"/>
  <c r="E157" i="2"/>
  <c r="D157" i="2"/>
  <c r="G156" i="2"/>
  <c r="F156" i="2"/>
  <c r="E156" i="2"/>
  <c r="D156" i="2"/>
  <c r="H155" i="2"/>
  <c r="G155" i="2"/>
  <c r="F155" i="2"/>
  <c r="E155" i="2"/>
  <c r="D155" i="2"/>
  <c r="C154" i="2"/>
  <c r="H154" i="2"/>
  <c r="G154" i="2"/>
  <c r="F154" i="2"/>
  <c r="E154" i="2"/>
  <c r="A154" i="2"/>
  <c r="C153" i="2"/>
  <c r="H153" i="2"/>
  <c r="G153" i="2"/>
  <c r="F153" i="2"/>
  <c r="A153" i="2"/>
  <c r="C152" i="2"/>
  <c r="H152" i="2"/>
  <c r="A152" i="2"/>
  <c r="C151" i="2"/>
  <c r="H151" i="2"/>
  <c r="D151" i="2"/>
  <c r="C150" i="2"/>
  <c r="E150" i="2"/>
  <c r="D150" i="2"/>
  <c r="A150" i="2"/>
  <c r="F149" i="2"/>
  <c r="G25" i="3" s="1"/>
  <c r="E149" i="2"/>
  <c r="D149" i="2"/>
  <c r="G148" i="2"/>
  <c r="F25" i="4" s="1"/>
  <c r="F148" i="2"/>
  <c r="F25" i="3" s="1"/>
  <c r="E148" i="2"/>
  <c r="H147" i="2"/>
  <c r="E25" i="5" s="1"/>
  <c r="G147" i="2"/>
  <c r="E25" i="4" s="1"/>
  <c r="F147" i="2"/>
  <c r="E25" i="3" s="1"/>
  <c r="E147" i="2"/>
  <c r="D147" i="2"/>
  <c r="C146" i="2"/>
  <c r="H146" i="2"/>
  <c r="D25" i="5" s="1"/>
  <c r="G146" i="2"/>
  <c r="D25" i="4" s="1"/>
  <c r="F146" i="2"/>
  <c r="D25" i="3" s="1"/>
  <c r="A146" i="2"/>
  <c r="C145" i="2"/>
  <c r="H145" i="2"/>
  <c r="C25" i="5" s="1"/>
  <c r="G145" i="2"/>
  <c r="C25" i="4" s="1"/>
  <c r="F145" i="2"/>
  <c r="C25" i="3" s="1"/>
  <c r="A145" i="2"/>
  <c r="C144" i="2"/>
  <c r="A25" i="20" s="1"/>
  <c r="H144" i="2"/>
  <c r="G144" i="2"/>
  <c r="B25" i="10" s="1"/>
  <c r="A144" i="2"/>
  <c r="C143" i="2"/>
  <c r="H143" i="2"/>
  <c r="H24" i="5" s="1"/>
  <c r="D143" i="2"/>
  <c r="A143" i="2"/>
  <c r="C142" i="2"/>
  <c r="E142" i="2"/>
  <c r="D142" i="2"/>
  <c r="F141" i="2"/>
  <c r="F24" i="3" s="1"/>
  <c r="E141" i="2"/>
  <c r="D141" i="2"/>
  <c r="G140" i="2"/>
  <c r="E24" i="4" s="1"/>
  <c r="F140" i="2"/>
  <c r="E24" i="3" s="1"/>
  <c r="E140" i="2"/>
  <c r="D140" i="2"/>
  <c r="H139" i="2"/>
  <c r="D24" i="5" s="1"/>
  <c r="G139" i="2"/>
  <c r="D24" i="4" s="1"/>
  <c r="F139" i="2"/>
  <c r="D24" i="3" s="1"/>
  <c r="E139" i="2"/>
  <c r="C138" i="2"/>
  <c r="H138" i="2"/>
  <c r="C24" i="5" s="1"/>
  <c r="G138" i="2"/>
  <c r="C24" i="4" s="1"/>
  <c r="F138" i="2"/>
  <c r="C24" i="3" s="1"/>
  <c r="E138" i="2"/>
  <c r="A138" i="2"/>
  <c r="C137" i="2"/>
  <c r="A24" i="20" s="1"/>
  <c r="H137" i="2"/>
  <c r="G137" i="2"/>
  <c r="B24" i="10" s="1"/>
  <c r="A137" i="2"/>
  <c r="C136" i="2"/>
  <c r="H136" i="2"/>
  <c r="A136" i="2"/>
  <c r="C135" i="2"/>
  <c r="H135" i="2"/>
  <c r="D135" i="2"/>
  <c r="C134" i="2"/>
  <c r="E134" i="2"/>
  <c r="D134" i="2"/>
  <c r="A134" i="2"/>
  <c r="F133" i="2"/>
  <c r="E23" i="9" s="1"/>
  <c r="G132" i="2"/>
  <c r="D23" i="10" s="1"/>
  <c r="F132" i="2"/>
  <c r="D23" i="9" s="1"/>
  <c r="E132" i="2"/>
  <c r="D132" i="2"/>
  <c r="H131" i="2"/>
  <c r="G131" i="2"/>
  <c r="C23" i="10" s="1"/>
  <c r="F131" i="2"/>
  <c r="C23" i="9" s="1"/>
  <c r="E131" i="2"/>
  <c r="D131" i="2"/>
  <c r="C130" i="2"/>
  <c r="A23" i="20" s="1"/>
  <c r="H130" i="2"/>
  <c r="G130" i="2"/>
  <c r="F130" i="2"/>
  <c r="E130" i="2"/>
  <c r="A130" i="2"/>
  <c r="C129" i="2"/>
  <c r="H129" i="2"/>
  <c r="G129" i="2"/>
  <c r="F129" i="2"/>
  <c r="A129" i="2"/>
  <c r="C128" i="2"/>
  <c r="H128" i="2"/>
  <c r="A128" i="2"/>
  <c r="C127" i="2"/>
  <c r="H127" i="2"/>
  <c r="D127" i="2"/>
  <c r="A127" i="2"/>
  <c r="C126" i="2"/>
  <c r="E126" i="2"/>
  <c r="D126" i="2"/>
  <c r="A126" i="2"/>
  <c r="F125" i="2"/>
  <c r="D22" i="9" s="1"/>
  <c r="E125" i="2"/>
  <c r="D125" i="2"/>
  <c r="G124" i="2"/>
  <c r="C22" i="10" s="1"/>
  <c r="F124" i="2"/>
  <c r="C22" i="9" s="1"/>
  <c r="E124" i="2"/>
  <c r="H123" i="2"/>
  <c r="G123" i="2"/>
  <c r="F123" i="2"/>
  <c r="E123" i="2"/>
  <c r="D123" i="2"/>
  <c r="C122" i="2"/>
  <c r="H122" i="2"/>
  <c r="H21" i="5" s="1"/>
  <c r="G122" i="2"/>
  <c r="H21" i="4" s="1"/>
  <c r="F122" i="2"/>
  <c r="H21" i="3" s="1"/>
  <c r="A122" i="2"/>
  <c r="C121" i="2"/>
  <c r="H121" i="2"/>
  <c r="G21" i="5" s="1"/>
  <c r="G121" i="2"/>
  <c r="G21" i="4" s="1"/>
  <c r="F121" i="2"/>
  <c r="G21" i="3" s="1"/>
  <c r="A121" i="2"/>
  <c r="C120" i="2"/>
  <c r="H120" i="2"/>
  <c r="F21" i="5" s="1"/>
  <c r="G120" i="2"/>
  <c r="F21" i="4" s="1"/>
  <c r="A120" i="2"/>
  <c r="C119" i="2"/>
  <c r="H119" i="2"/>
  <c r="E21" i="5" s="1"/>
  <c r="D119" i="2"/>
  <c r="A119" i="2"/>
  <c r="C118" i="2"/>
  <c r="E118" i="2"/>
  <c r="D118" i="2"/>
  <c r="A118" i="2"/>
  <c r="F117" i="2"/>
  <c r="C21" i="3" s="1"/>
  <c r="E117" i="2"/>
  <c r="D117" i="2"/>
  <c r="G116" i="2"/>
  <c r="B21" i="10" s="1"/>
  <c r="F116" i="2"/>
  <c r="B21" i="9" s="1"/>
  <c r="E116" i="2"/>
  <c r="D116" i="2"/>
  <c r="H115" i="2"/>
  <c r="H20" i="5" s="1"/>
  <c r="G115" i="2"/>
  <c r="H20" i="4" s="1"/>
  <c r="F115" i="2"/>
  <c r="H20" i="3" s="1"/>
  <c r="E115" i="2"/>
  <c r="D115" i="2"/>
  <c r="C114" i="2"/>
  <c r="H114" i="2"/>
  <c r="G20" i="5" s="1"/>
  <c r="G114" i="2"/>
  <c r="G20" i="4" s="1"/>
  <c r="F114" i="2"/>
  <c r="G20" i="3" s="1"/>
  <c r="A114" i="2"/>
  <c r="C113" i="2"/>
  <c r="H113" i="2"/>
  <c r="F20" i="5" s="1"/>
  <c r="G113" i="2"/>
  <c r="F20" i="4" s="1"/>
  <c r="F113" i="2"/>
  <c r="F20" i="3" s="1"/>
  <c r="A113" i="2"/>
  <c r="C112" i="2"/>
  <c r="H112" i="2"/>
  <c r="E20" i="5" s="1"/>
  <c r="G112" i="2"/>
  <c r="E20" i="4" s="1"/>
  <c r="A112" i="2"/>
  <c r="C111" i="2"/>
  <c r="H111" i="2"/>
  <c r="D20" i="5" s="1"/>
  <c r="D111" i="2"/>
  <c r="A111" i="2"/>
  <c r="C110" i="2"/>
  <c r="E110" i="2"/>
  <c r="D110" i="2"/>
  <c r="A110" i="2"/>
  <c r="F109" i="2"/>
  <c r="B20" i="9" s="1"/>
  <c r="E109" i="2"/>
  <c r="D109" i="2"/>
  <c r="G108" i="2"/>
  <c r="H19" i="4" s="1"/>
  <c r="F108" i="2"/>
  <c r="H19" i="3" s="1"/>
  <c r="E108" i="2"/>
  <c r="D108" i="2"/>
  <c r="H107" i="2"/>
  <c r="G19" i="5" s="1"/>
  <c r="G107" i="2"/>
  <c r="G19" i="4" s="1"/>
  <c r="F107" i="2"/>
  <c r="G19" i="3" s="1"/>
  <c r="E107" i="2"/>
  <c r="D107" i="2"/>
  <c r="C106" i="2"/>
  <c r="H106" i="2"/>
  <c r="F19" i="5" s="1"/>
  <c r="G106" i="2"/>
  <c r="F19" i="4" s="1"/>
  <c r="F106" i="2"/>
  <c r="F19" i="3" s="1"/>
  <c r="A106" i="2"/>
  <c r="C105" i="2"/>
  <c r="H105" i="2"/>
  <c r="E19" i="5" s="1"/>
  <c r="G105" i="2"/>
  <c r="E19" i="4" s="1"/>
  <c r="F105" i="2"/>
  <c r="E19" i="3" s="1"/>
  <c r="A105" i="2"/>
  <c r="C104" i="2"/>
  <c r="H104" i="2"/>
  <c r="D19" i="5" s="1"/>
  <c r="A104" i="2"/>
  <c r="C103" i="2"/>
  <c r="H103" i="2"/>
  <c r="C19" i="5" s="1"/>
  <c r="D103" i="2"/>
  <c r="A103" i="2"/>
  <c r="C102" i="2"/>
  <c r="A19" i="20" s="1"/>
  <c r="E102" i="2"/>
  <c r="D102" i="2"/>
  <c r="A102" i="2"/>
  <c r="F101" i="2"/>
  <c r="H18" i="3" s="1"/>
  <c r="E101" i="2"/>
  <c r="D101" i="2"/>
  <c r="G100" i="2"/>
  <c r="G18" i="4" s="1"/>
  <c r="F100" i="2"/>
  <c r="G18" i="3" s="1"/>
  <c r="E100" i="2"/>
  <c r="D100" i="2"/>
  <c r="H99" i="2"/>
  <c r="F18" i="5" s="1"/>
  <c r="G99" i="2"/>
  <c r="F18" i="4" s="1"/>
  <c r="F99" i="2"/>
  <c r="F18" i="3" s="1"/>
  <c r="E99" i="2"/>
  <c r="D99" i="2"/>
  <c r="C98" i="2"/>
  <c r="H98" i="2"/>
  <c r="E18" i="5" s="1"/>
  <c r="G98" i="2"/>
  <c r="E18" i="4" s="1"/>
  <c r="F98" i="2"/>
  <c r="E18" i="3" s="1"/>
  <c r="E98" i="2"/>
  <c r="A98" i="2"/>
  <c r="C97" i="2"/>
  <c r="H97" i="2"/>
  <c r="D18" i="5" s="1"/>
  <c r="G97" i="2"/>
  <c r="D18" i="4" s="1"/>
  <c r="F97" i="2"/>
  <c r="D18" i="3" s="1"/>
  <c r="A97" i="2"/>
  <c r="C96" i="2"/>
  <c r="H96" i="2"/>
  <c r="C18" i="5" s="1"/>
  <c r="A96" i="2"/>
  <c r="C95" i="2"/>
  <c r="A18" i="20" s="1"/>
  <c r="H95" i="2"/>
  <c r="D95" i="2"/>
  <c r="A95" i="2"/>
  <c r="C94" i="2"/>
  <c r="E94" i="2"/>
  <c r="D94" i="2"/>
  <c r="A94" i="2"/>
  <c r="F93" i="2"/>
  <c r="G17" i="3" s="1"/>
  <c r="E93" i="2"/>
  <c r="D93" i="2"/>
  <c r="G92" i="2"/>
  <c r="F17" i="4" s="1"/>
  <c r="F92" i="2"/>
  <c r="F17" i="3" s="1"/>
  <c r="E92" i="2"/>
  <c r="H91" i="2"/>
  <c r="E17" i="5" s="1"/>
  <c r="G91" i="2"/>
  <c r="E17" i="4" s="1"/>
  <c r="F91" i="2"/>
  <c r="E17" i="3" s="1"/>
  <c r="E91" i="2"/>
  <c r="D91" i="2"/>
  <c r="C90" i="2"/>
  <c r="H90" i="2"/>
  <c r="D17" i="5" s="1"/>
  <c r="G90" i="2"/>
  <c r="D17" i="4" s="1"/>
  <c r="F90" i="2"/>
  <c r="D17" i="3" s="1"/>
  <c r="A90" i="2"/>
  <c r="C89" i="2"/>
  <c r="H89" i="2"/>
  <c r="C17" i="5" s="1"/>
  <c r="G89" i="2"/>
  <c r="C17" i="4" s="1"/>
  <c r="F89" i="2"/>
  <c r="C17" i="3" s="1"/>
  <c r="A89" i="2"/>
  <c r="C88" i="2"/>
  <c r="A17" i="20" s="1"/>
  <c r="H88" i="2"/>
  <c r="G88" i="2"/>
  <c r="B17" i="10" s="1"/>
  <c r="A88" i="2"/>
  <c r="C87" i="2"/>
  <c r="H87" i="2"/>
  <c r="H16" i="5" s="1"/>
  <c r="D87" i="2"/>
  <c r="A87" i="2"/>
  <c r="C86" i="2"/>
  <c r="E86" i="2"/>
  <c r="D86" i="2"/>
  <c r="A86" i="2"/>
  <c r="F85" i="2"/>
  <c r="F16" i="3" s="1"/>
  <c r="E85" i="2"/>
  <c r="D85" i="2"/>
  <c r="G84" i="2"/>
  <c r="E16" i="4" s="1"/>
  <c r="F84" i="2"/>
  <c r="E16" i="3" s="1"/>
  <c r="E84" i="2"/>
  <c r="D84" i="2"/>
  <c r="H83" i="2"/>
  <c r="D16" i="5" s="1"/>
  <c r="G83" i="2"/>
  <c r="D16" i="4" s="1"/>
  <c r="F83" i="2"/>
  <c r="D16" i="3" s="1"/>
  <c r="E83" i="2"/>
  <c r="D83" i="2"/>
  <c r="C82" i="2"/>
  <c r="H82" i="2"/>
  <c r="C16" i="5" s="1"/>
  <c r="G82" i="2"/>
  <c r="C16" i="4" s="1"/>
  <c r="F82" i="2"/>
  <c r="C16" i="3" s="1"/>
  <c r="A82" i="2"/>
  <c r="C81" i="2"/>
  <c r="A16" i="20" s="1"/>
  <c r="H81" i="2"/>
  <c r="G81" i="2"/>
  <c r="B16" i="10" s="1"/>
  <c r="F81" i="2"/>
  <c r="B16" i="9" s="1"/>
  <c r="A81" i="2"/>
  <c r="A15" i="20" s="1"/>
  <c r="C80" i="2"/>
  <c r="H80" i="2"/>
  <c r="G80" i="2"/>
  <c r="A80" i="2"/>
  <c r="C79" i="2"/>
  <c r="H79" i="2"/>
  <c r="D79" i="2"/>
  <c r="A79" i="2"/>
  <c r="C78" i="2"/>
  <c r="E78" i="2"/>
  <c r="D78" i="2"/>
  <c r="A78" i="2"/>
  <c r="F77" i="2"/>
  <c r="E77" i="2"/>
  <c r="D77" i="2"/>
  <c r="G76" i="2"/>
  <c r="F76" i="2"/>
  <c r="E76" i="2"/>
  <c r="D76" i="2"/>
  <c r="H75" i="2"/>
  <c r="G75" i="2"/>
  <c r="F75" i="2"/>
  <c r="E75" i="2"/>
  <c r="D75" i="2"/>
  <c r="C74" i="2"/>
  <c r="H74" i="2"/>
  <c r="G74" i="2"/>
  <c r="F74" i="2"/>
  <c r="E74" i="2"/>
  <c r="A74" i="2"/>
  <c r="C73" i="2"/>
  <c r="H73" i="2"/>
  <c r="G73" i="2"/>
  <c r="F73" i="2"/>
  <c r="A73" i="2"/>
  <c r="C72" i="2"/>
  <c r="H72" i="2"/>
  <c r="A72" i="2"/>
  <c r="C71" i="2"/>
  <c r="H71" i="2"/>
  <c r="D71" i="2"/>
  <c r="A71" i="2"/>
  <c r="E70" i="2"/>
  <c r="D70" i="2"/>
  <c r="A70" i="2"/>
  <c r="F69" i="2"/>
  <c r="E69" i="2"/>
  <c r="D69" i="2"/>
  <c r="G68" i="2"/>
  <c r="F68" i="2"/>
  <c r="E68" i="2"/>
  <c r="H67" i="2"/>
  <c r="G67" i="2"/>
  <c r="F67" i="2"/>
  <c r="E67" i="2"/>
  <c r="D67" i="2"/>
  <c r="C66" i="2"/>
  <c r="H66" i="2"/>
  <c r="H14" i="5" s="1"/>
  <c r="G66" i="2"/>
  <c r="H14" i="4" s="1"/>
  <c r="F66" i="2"/>
  <c r="H14" i="3" s="1"/>
  <c r="A66" i="2"/>
  <c r="C65" i="2"/>
  <c r="H65" i="2"/>
  <c r="G14" i="5" s="1"/>
  <c r="G65" i="2"/>
  <c r="G14" i="4" s="1"/>
  <c r="F65" i="2"/>
  <c r="G14" i="3" s="1"/>
  <c r="A65" i="2"/>
  <c r="C64" i="2"/>
  <c r="H64" i="2"/>
  <c r="F14" i="5" s="1"/>
  <c r="G64" i="2"/>
  <c r="F14" i="4" s="1"/>
  <c r="A64" i="2"/>
  <c r="C63" i="2"/>
  <c r="H63" i="2"/>
  <c r="E14" i="5" s="1"/>
  <c r="D63" i="2"/>
  <c r="A63" i="2"/>
  <c r="C62" i="2"/>
  <c r="E62" i="2"/>
  <c r="D62" i="2"/>
  <c r="A62" i="2"/>
  <c r="F61" i="2"/>
  <c r="C14" i="3" s="1"/>
  <c r="E61" i="2"/>
  <c r="D61" i="2"/>
  <c r="G60" i="2"/>
  <c r="B14" i="10" s="1"/>
  <c r="F60" i="2"/>
  <c r="B14" i="9" s="1"/>
  <c r="E60" i="2"/>
  <c r="D60" i="2"/>
  <c r="H59" i="2"/>
  <c r="H13" i="5" s="1"/>
  <c r="G59" i="2"/>
  <c r="H13" i="4" s="1"/>
  <c r="F59" i="2"/>
  <c r="H13" i="3" s="1"/>
  <c r="E59" i="2"/>
  <c r="D59" i="2"/>
  <c r="C58" i="2"/>
  <c r="H58" i="2"/>
  <c r="G13" i="5" s="1"/>
  <c r="G58" i="2"/>
  <c r="G13" i="4" s="1"/>
  <c r="A58" i="2"/>
  <c r="C57" i="2"/>
  <c r="H57" i="2"/>
  <c r="F13" i="5" s="1"/>
  <c r="G57" i="2"/>
  <c r="F13" i="4" s="1"/>
  <c r="F57" i="2"/>
  <c r="F13" i="3" s="1"/>
  <c r="A57" i="2"/>
  <c r="C56" i="2"/>
  <c r="H56" i="2"/>
  <c r="E13" i="5" s="1"/>
  <c r="A56" i="2"/>
  <c r="C55" i="2"/>
  <c r="H55" i="2"/>
  <c r="D13" i="5" s="1"/>
  <c r="D55" i="2"/>
  <c r="A55" i="2"/>
  <c r="E54" i="2"/>
  <c r="D54" i="2"/>
  <c r="A54" i="2"/>
  <c r="F53" i="2"/>
  <c r="B13" i="9" s="1"/>
  <c r="E53" i="2"/>
  <c r="D53" i="2"/>
  <c r="G52" i="2"/>
  <c r="H12" i="4" s="1"/>
  <c r="F52" i="2"/>
  <c r="H12" i="3" s="1"/>
  <c r="E52" i="2"/>
  <c r="D52" i="2"/>
  <c r="H51" i="2"/>
  <c r="G12" i="5" s="1"/>
  <c r="G51" i="2"/>
  <c r="G12" i="4" s="1"/>
  <c r="F51" i="2"/>
  <c r="G12" i="3" s="1"/>
  <c r="E51" i="2"/>
  <c r="D51" i="2"/>
  <c r="C50" i="2"/>
  <c r="H50" i="2"/>
  <c r="F12" i="5" s="1"/>
  <c r="G50" i="2"/>
  <c r="F12" i="4" s="1"/>
  <c r="F50" i="2"/>
  <c r="F12" i="3" s="1"/>
  <c r="E50" i="2"/>
  <c r="A50" i="2"/>
  <c r="C49" i="2"/>
  <c r="H49" i="2"/>
  <c r="E12" i="5" s="1"/>
  <c r="G49" i="2"/>
  <c r="E12" i="4" s="1"/>
  <c r="F49" i="2"/>
  <c r="E12" i="3" s="1"/>
  <c r="A49" i="2"/>
  <c r="C48" i="2"/>
  <c r="A48" i="2"/>
  <c r="C47" i="2"/>
  <c r="H47" i="2"/>
  <c r="C12" i="5" s="1"/>
  <c r="D47" i="2"/>
  <c r="A47" i="2"/>
  <c r="C46" i="2"/>
  <c r="A12" i="20" s="1"/>
  <c r="A166" i="20" s="1"/>
  <c r="E46" i="2"/>
  <c r="D46" i="2"/>
  <c r="A46" i="2"/>
  <c r="F45" i="2"/>
  <c r="H10" i="3" s="1"/>
  <c r="E45" i="2"/>
  <c r="D45" i="2"/>
  <c r="F44" i="2"/>
  <c r="G10" i="3" s="1"/>
  <c r="E44" i="2"/>
  <c r="H43" i="2"/>
  <c r="F10" i="5" s="1"/>
  <c r="G43" i="2"/>
  <c r="F10" i="4" s="1"/>
  <c r="F43" i="2"/>
  <c r="F10" i="3" s="1"/>
  <c r="E43" i="2"/>
  <c r="D43" i="2"/>
  <c r="C42" i="2"/>
  <c r="H42" i="2"/>
  <c r="E10" i="5" s="1"/>
  <c r="G42" i="2"/>
  <c r="E10" i="4" s="1"/>
  <c r="F42" i="2"/>
  <c r="E10" i="3" s="1"/>
  <c r="A42" i="2"/>
  <c r="C41" i="2"/>
  <c r="H41" i="2"/>
  <c r="D10" i="5" s="1"/>
  <c r="G41" i="2"/>
  <c r="D10" i="4" s="1"/>
  <c r="F41" i="2"/>
  <c r="D10" i="3" s="1"/>
  <c r="A41" i="2"/>
  <c r="C40" i="2"/>
  <c r="H40" i="2"/>
  <c r="C10" i="5" s="1"/>
  <c r="G40" i="2"/>
  <c r="C10" i="4" s="1"/>
  <c r="A40" i="2"/>
  <c r="C39" i="2"/>
  <c r="A10" i="20" s="1"/>
  <c r="A164" i="20" s="1"/>
  <c r="H39" i="2"/>
  <c r="D39" i="2"/>
  <c r="A39" i="2"/>
  <c r="E38" i="2"/>
  <c r="D38" i="2"/>
  <c r="A38" i="2"/>
  <c r="F37" i="2"/>
  <c r="G9" i="3" s="1"/>
  <c r="E37" i="2"/>
  <c r="D37" i="2"/>
  <c r="G36" i="2"/>
  <c r="F9" i="4" s="1"/>
  <c r="F36" i="2"/>
  <c r="F9" i="3" s="1"/>
  <c r="E36" i="2"/>
  <c r="D36" i="2"/>
  <c r="H35" i="2"/>
  <c r="E9" i="5" s="1"/>
  <c r="G35" i="2"/>
  <c r="E9" i="4" s="1"/>
  <c r="F35" i="2"/>
  <c r="E9" i="3" s="1"/>
  <c r="E35" i="2"/>
  <c r="D35" i="2"/>
  <c r="C34" i="2"/>
  <c r="H34" i="2"/>
  <c r="D9" i="5" s="1"/>
  <c r="G34" i="2"/>
  <c r="D9" i="4" s="1"/>
  <c r="A34" i="2"/>
  <c r="C33" i="2"/>
  <c r="H33" i="2"/>
  <c r="C9" i="5" s="1"/>
  <c r="G33" i="2"/>
  <c r="C9" i="4" s="1"/>
  <c r="F33" i="2"/>
  <c r="C9" i="3" s="1"/>
  <c r="A33" i="2"/>
  <c r="C32" i="2"/>
  <c r="A9" i="20" s="1"/>
  <c r="A163" i="20" s="1"/>
  <c r="H32" i="2"/>
  <c r="A32" i="2"/>
  <c r="C31" i="2"/>
  <c r="H31" i="2"/>
  <c r="H8" i="5" s="1"/>
  <c r="D31" i="2"/>
  <c r="A31" i="2"/>
  <c r="C30" i="2"/>
  <c r="E30" i="2"/>
  <c r="D30" i="2"/>
  <c r="A30" i="2"/>
  <c r="F29" i="2"/>
  <c r="F8" i="3" s="1"/>
  <c r="E29" i="2"/>
  <c r="D29" i="2"/>
  <c r="G28" i="2"/>
  <c r="E8" i="4" s="1"/>
  <c r="F28" i="2"/>
  <c r="E8" i="3" s="1"/>
  <c r="E28" i="2"/>
  <c r="D28" i="2"/>
  <c r="H27" i="2"/>
  <c r="D8" i="5" s="1"/>
  <c r="G27" i="2"/>
  <c r="D8" i="4" s="1"/>
  <c r="F27" i="2"/>
  <c r="D8" i="3" s="1"/>
  <c r="E27" i="2"/>
  <c r="D27" i="2"/>
  <c r="C26" i="2"/>
  <c r="H26" i="2"/>
  <c r="C8" i="5" s="1"/>
  <c r="G26" i="2"/>
  <c r="C8" i="4" s="1"/>
  <c r="F26" i="2"/>
  <c r="C8" i="3" s="1"/>
  <c r="E26" i="2"/>
  <c r="A26" i="2"/>
  <c r="C25" i="2"/>
  <c r="A8" i="20" s="1"/>
  <c r="A162" i="20" s="1"/>
  <c r="H25" i="2"/>
  <c r="G25" i="2"/>
  <c r="B8" i="10" s="1"/>
  <c r="F25" i="2"/>
  <c r="B8" i="9" s="1"/>
  <c r="A25" i="2"/>
  <c r="C24" i="2"/>
  <c r="A24" i="2"/>
  <c r="C23" i="2"/>
  <c r="H23" i="2"/>
  <c r="G7" i="5" s="1"/>
  <c r="D23" i="2"/>
  <c r="A23" i="2"/>
  <c r="C22" i="2"/>
  <c r="E22" i="2"/>
  <c r="D22" i="2"/>
  <c r="A22" i="2"/>
  <c r="F21" i="2"/>
  <c r="E7" i="3" s="1"/>
  <c r="E21" i="2"/>
  <c r="D21" i="2"/>
  <c r="G20" i="2"/>
  <c r="D7" i="4" s="1"/>
  <c r="F20" i="2"/>
  <c r="D7" i="3" s="1"/>
  <c r="E20" i="2"/>
  <c r="D20" i="2"/>
  <c r="H19" i="2"/>
  <c r="C7" i="5" s="1"/>
  <c r="G19" i="2"/>
  <c r="C7" i="4" s="1"/>
  <c r="F19" i="2"/>
  <c r="C7" i="3" s="1"/>
  <c r="E19" i="2"/>
  <c r="D19" i="2"/>
  <c r="C18" i="2"/>
  <c r="A7" i="20" s="1"/>
  <c r="A161" i="20" s="1"/>
  <c r="H18" i="2"/>
  <c r="G18" i="2"/>
  <c r="B7" i="10" s="1"/>
  <c r="F18" i="2"/>
  <c r="B7" i="9" s="1"/>
  <c r="E18" i="2"/>
  <c r="A18" i="2"/>
  <c r="C17" i="2"/>
  <c r="H17" i="2"/>
  <c r="H6" i="5" s="1"/>
  <c r="G17" i="2"/>
  <c r="H6" i="4" s="1"/>
  <c r="A17" i="2"/>
  <c r="C16" i="2"/>
  <c r="H16" i="2"/>
  <c r="G6" i="5" s="1"/>
  <c r="G16" i="2"/>
  <c r="G6" i="4" s="1"/>
  <c r="A16" i="2"/>
  <c r="C15" i="2"/>
  <c r="D15" i="2"/>
  <c r="A15" i="2"/>
  <c r="C14" i="2"/>
  <c r="E14" i="2"/>
  <c r="D14" i="2"/>
  <c r="F13" i="2"/>
  <c r="D6" i="3" s="1"/>
  <c r="E13" i="2"/>
  <c r="D13" i="2"/>
  <c r="G12" i="2"/>
  <c r="C6" i="4" s="1"/>
  <c r="F12" i="2"/>
  <c r="C6" i="3" s="1"/>
  <c r="E12" i="2"/>
  <c r="D12" i="2"/>
  <c r="H11" i="2"/>
  <c r="G11" i="2"/>
  <c r="B6" i="10" s="1"/>
  <c r="F11" i="2"/>
  <c r="B6" i="9" s="1"/>
  <c r="E11" i="2"/>
  <c r="C10" i="2"/>
  <c r="H10" i="2"/>
  <c r="H5" i="5" s="1"/>
  <c r="G10" i="2"/>
  <c r="H5" i="4" s="1"/>
  <c r="F10" i="2"/>
  <c r="H5" i="3" s="1"/>
  <c r="E10" i="2"/>
  <c r="A10" i="2"/>
  <c r="C9" i="2"/>
  <c r="H9" i="2"/>
  <c r="G5" i="5" s="1"/>
  <c r="G9" i="2"/>
  <c r="G5" i="4" s="1"/>
  <c r="G3" i="3"/>
  <c r="A9" i="2"/>
  <c r="C8" i="2"/>
  <c r="H8" i="2"/>
  <c r="F5" i="5" s="1"/>
  <c r="G8" i="2"/>
  <c r="F5" i="4" s="1"/>
  <c r="F3" i="3"/>
  <c r="A8" i="2"/>
  <c r="C7" i="2"/>
  <c r="H7" i="2"/>
  <c r="E5" i="5" s="1"/>
  <c r="D7" i="2"/>
  <c r="E3" i="3"/>
  <c r="A7" i="2"/>
  <c r="C6" i="2"/>
  <c r="E6" i="2"/>
  <c r="D6" i="2"/>
  <c r="D3" i="3"/>
  <c r="A6" i="2"/>
  <c r="F5" i="2"/>
  <c r="C5" i="3" s="1"/>
  <c r="E5" i="2"/>
  <c r="D5" i="2"/>
  <c r="G4" i="2"/>
  <c r="B5" i="10" s="1"/>
  <c r="F4" i="2"/>
  <c r="B5" i="9" s="1"/>
  <c r="E4" i="2"/>
  <c r="D4" i="2"/>
  <c r="C1074" i="2"/>
  <c r="H1074" i="2"/>
  <c r="G1074" i="2"/>
  <c r="D1074" i="2"/>
  <c r="F1073" i="2"/>
  <c r="E1073" i="2"/>
  <c r="F1072" i="2"/>
  <c r="G1071" i="2"/>
  <c r="C1070" i="2"/>
  <c r="H1070" i="2"/>
  <c r="A1070" i="2"/>
  <c r="C1069" i="2"/>
  <c r="H1067" i="2"/>
  <c r="D1066" i="2"/>
  <c r="F1065" i="2"/>
  <c r="E1065" i="2"/>
  <c r="F1064" i="2"/>
  <c r="G1063" i="2"/>
  <c r="A1061" i="2"/>
  <c r="E1057" i="2"/>
  <c r="G1056" i="2"/>
  <c r="D157" i="4" s="1"/>
  <c r="F1056" i="2"/>
  <c r="D157" i="3" s="1"/>
  <c r="H1055" i="2"/>
  <c r="C157" i="5" s="1"/>
  <c r="G1055" i="2"/>
  <c r="C157" i="4" s="1"/>
  <c r="C1053" i="2"/>
  <c r="A1053" i="2"/>
  <c r="G1052" i="2"/>
  <c r="G155" i="4" s="1"/>
  <c r="D1051" i="2"/>
  <c r="E1050" i="2"/>
  <c r="D1050" i="2"/>
  <c r="E1049" i="2"/>
  <c r="F1048" i="2"/>
  <c r="C155" i="3" s="1"/>
  <c r="H1047" i="2"/>
  <c r="G1047" i="2"/>
  <c r="B155" i="10" s="1"/>
  <c r="C1046" i="2"/>
  <c r="C1045" i="2"/>
  <c r="A1045" i="2"/>
  <c r="D1042" i="2"/>
  <c r="F1041" i="2"/>
  <c r="C153" i="3" s="1"/>
  <c r="E1041" i="2"/>
  <c r="G1040" i="2"/>
  <c r="B153" i="10" s="1"/>
  <c r="F1040" i="2"/>
  <c r="B153" i="9" s="1"/>
  <c r="G1039" i="2"/>
  <c r="H152" i="4" s="1"/>
  <c r="H1038" i="2"/>
  <c r="G152" i="5" s="1"/>
  <c r="C1037" i="2"/>
  <c r="E1034" i="2"/>
  <c r="D1034" i="2"/>
  <c r="E1033" i="2"/>
  <c r="F1032" i="2"/>
  <c r="H151" i="3" s="1"/>
  <c r="G1031" i="2"/>
  <c r="G151" i="4" s="1"/>
  <c r="A1030" i="2"/>
  <c r="D1027" i="2"/>
  <c r="E1026" i="2"/>
  <c r="D1026" i="2"/>
  <c r="E1025" i="2"/>
  <c r="F1024" i="2"/>
  <c r="G150" i="3" s="1"/>
  <c r="G1023" i="2"/>
  <c r="F150" i="4" s="1"/>
  <c r="C1022" i="2"/>
  <c r="H1022" i="2"/>
  <c r="E150" i="5" s="1"/>
  <c r="C1021" i="2"/>
  <c r="A1021" i="2"/>
  <c r="E1018" i="2"/>
  <c r="F1017" i="2"/>
  <c r="G149" i="3" s="1"/>
  <c r="E1017" i="2"/>
  <c r="G1016" i="2"/>
  <c r="F149" i="4" s="1"/>
  <c r="F1016" i="2"/>
  <c r="F149" i="3" s="1"/>
  <c r="G1015" i="2"/>
  <c r="E149" i="4" s="1"/>
  <c r="H1014" i="2"/>
  <c r="D149" i="5" s="1"/>
  <c r="C1013" i="2"/>
  <c r="A1013" i="2"/>
  <c r="D1010" i="2"/>
  <c r="F1008" i="2"/>
  <c r="E148" i="3" s="1"/>
  <c r="H1007" i="2"/>
  <c r="D148" i="5" s="1"/>
  <c r="G1007" i="2"/>
  <c r="D148" i="4" s="1"/>
  <c r="H1006" i="2"/>
  <c r="C148" i="5" s="1"/>
  <c r="C1005" i="2"/>
  <c r="A148" i="20" s="1"/>
  <c r="D1002" i="2"/>
  <c r="F1001" i="2"/>
  <c r="E1001" i="2"/>
  <c r="F1000" i="2"/>
  <c r="H999" i="2"/>
  <c r="G999" i="2"/>
  <c r="H998" i="2"/>
  <c r="C997" i="2"/>
  <c r="A997" i="2"/>
  <c r="E994" i="2"/>
  <c r="D994" i="2"/>
  <c r="F993" i="2"/>
  <c r="E993" i="2"/>
  <c r="F992" i="2"/>
  <c r="G991" i="2"/>
  <c r="C990" i="2"/>
  <c r="A990" i="2"/>
  <c r="C989" i="2"/>
  <c r="A989" i="2"/>
  <c r="D986" i="2"/>
  <c r="F985" i="2"/>
  <c r="C146" i="3" s="1"/>
  <c r="E985" i="2"/>
  <c r="G984" i="2"/>
  <c r="B146" i="10" s="1"/>
  <c r="F984" i="2"/>
  <c r="B146" i="9" s="1"/>
  <c r="G983" i="2"/>
  <c r="H144" i="4" s="1"/>
  <c r="C981" i="2"/>
  <c r="A981" i="2"/>
  <c r="D979" i="2"/>
  <c r="E978" i="2"/>
  <c r="D978" i="2"/>
  <c r="E977" i="2"/>
  <c r="F976" i="2"/>
  <c r="H142" i="3" s="1"/>
  <c r="G975" i="2"/>
  <c r="G142" i="4" s="1"/>
  <c r="H974" i="2"/>
  <c r="F142" i="5" s="1"/>
  <c r="A974" i="2"/>
  <c r="C973" i="2"/>
  <c r="A973" i="2"/>
  <c r="D970" i="2"/>
  <c r="F969" i="2"/>
  <c r="H141" i="3" s="1"/>
  <c r="F968" i="2"/>
  <c r="G141" i="3" s="1"/>
  <c r="G967" i="2"/>
  <c r="F141" i="4" s="1"/>
  <c r="A966" i="2"/>
  <c r="A965" i="2"/>
  <c r="E961" i="2"/>
  <c r="G960" i="2"/>
  <c r="F140" i="4" s="1"/>
  <c r="F960" i="2"/>
  <c r="F140" i="3" s="1"/>
  <c r="H959" i="2"/>
  <c r="E140" i="5" s="1"/>
  <c r="G959" i="2"/>
  <c r="E140" i="4" s="1"/>
  <c r="H958" i="2"/>
  <c r="D140" i="5" s="1"/>
  <c r="C957" i="2"/>
  <c r="A957" i="2"/>
  <c r="D955" i="2"/>
  <c r="F953" i="2"/>
  <c r="F139" i="3" s="1"/>
  <c r="E953" i="2"/>
  <c r="G952" i="2"/>
  <c r="E139" i="4" s="1"/>
  <c r="F952" i="2"/>
  <c r="E139" i="3" s="1"/>
  <c r="G951" i="2"/>
  <c r="D139" i="4" s="1"/>
  <c r="H950" i="2"/>
  <c r="C139" i="5" s="1"/>
  <c r="A949" i="2"/>
  <c r="F944" i="2"/>
  <c r="D138" i="3" s="1"/>
  <c r="G943" i="2"/>
  <c r="C138" i="4" s="1"/>
  <c r="H942" i="2"/>
  <c r="C941" i="2"/>
  <c r="A941" i="2"/>
  <c r="D939" i="2"/>
  <c r="D938" i="2"/>
  <c r="F937" i="2"/>
  <c r="D137" i="3" s="1"/>
  <c r="F936" i="2"/>
  <c r="C137" i="3" s="1"/>
  <c r="G935" i="2"/>
  <c r="B137" i="10" s="1"/>
  <c r="H934" i="2"/>
  <c r="C933" i="2"/>
  <c r="A933" i="2"/>
  <c r="F928" i="2"/>
  <c r="G927" i="2"/>
  <c r="C926" i="2"/>
  <c r="H926" i="2"/>
  <c r="A925" i="2"/>
  <c r="D922" i="2"/>
  <c r="E921" i="2"/>
  <c r="G920" i="2"/>
  <c r="H135" i="4" s="1"/>
  <c r="F920" i="2"/>
  <c r="H135" i="3" s="1"/>
  <c r="G919" i="2"/>
  <c r="G135" i="4" s="1"/>
  <c r="H918" i="2"/>
  <c r="F135" i="5" s="1"/>
  <c r="C917" i="2"/>
  <c r="A917" i="2"/>
  <c r="D914" i="2"/>
  <c r="F913" i="2"/>
  <c r="G912" i="2"/>
  <c r="G133" i="10" s="1"/>
  <c r="G133" i="16" s="1"/>
  <c r="F912" i="2"/>
  <c r="G133" i="9" s="1"/>
  <c r="G133" i="18" s="1"/>
  <c r="G911" i="2"/>
  <c r="F133" i="10" s="1"/>
  <c r="F133" i="16" s="1"/>
  <c r="H910" i="2"/>
  <c r="C909" i="2"/>
  <c r="D907" i="2"/>
  <c r="D906" i="2"/>
  <c r="E905" i="2"/>
  <c r="G904" i="2"/>
  <c r="F132" i="10" s="1"/>
  <c r="F904" i="2"/>
  <c r="F132" i="9" s="1"/>
  <c r="F132" i="18" s="1"/>
  <c r="H903" i="2"/>
  <c r="G903" i="2"/>
  <c r="E132" i="10" s="1"/>
  <c r="C902" i="2"/>
  <c r="C901" i="2"/>
  <c r="A901" i="2"/>
  <c r="E898" i="2"/>
  <c r="D898" i="2"/>
  <c r="F897" i="2"/>
  <c r="F131" i="3" s="1"/>
  <c r="E897" i="2"/>
  <c r="F896" i="2"/>
  <c r="E131" i="3" s="1"/>
  <c r="G895" i="2"/>
  <c r="D131" i="4" s="1"/>
  <c r="C893" i="2"/>
  <c r="A131" i="20" s="1"/>
  <c r="E889" i="2"/>
  <c r="G888" i="2"/>
  <c r="D130" i="4" s="1"/>
  <c r="F888" i="2"/>
  <c r="D130" i="3" s="1"/>
  <c r="G887" i="2"/>
  <c r="C130" i="4" s="1"/>
  <c r="H886" i="2"/>
  <c r="C885" i="2"/>
  <c r="A885" i="2"/>
  <c r="G884" i="2"/>
  <c r="G129" i="4" s="1"/>
  <c r="D882" i="2"/>
  <c r="E881" i="2"/>
  <c r="G879" i="2"/>
  <c r="B129" i="10" s="1"/>
  <c r="H878" i="2"/>
  <c r="H128" i="5" s="1"/>
  <c r="C877" i="2"/>
  <c r="A877" i="2"/>
  <c r="F872" i="2"/>
  <c r="B128" i="9" s="1"/>
  <c r="H871" i="2"/>
  <c r="H127" i="5" s="1"/>
  <c r="G871" i="2"/>
  <c r="H127" i="4" s="1"/>
  <c r="H870" i="2"/>
  <c r="G127" i="5" s="1"/>
  <c r="C869" i="2"/>
  <c r="A869" i="2"/>
  <c r="D866" i="2"/>
  <c r="E865" i="2"/>
  <c r="G863" i="2"/>
  <c r="G126" i="4" s="1"/>
  <c r="C862" i="2"/>
  <c r="A862" i="2"/>
  <c r="C861" i="2"/>
  <c r="A861" i="2"/>
  <c r="E858" i="2"/>
  <c r="D858" i="2"/>
  <c r="F857" i="2"/>
  <c r="G856" i="2"/>
  <c r="G855" i="2"/>
  <c r="H854" i="2"/>
  <c r="A853" i="2"/>
  <c r="D851" i="2"/>
  <c r="D850" i="2"/>
  <c r="E849" i="2"/>
  <c r="F848" i="2"/>
  <c r="G847" i="2"/>
  <c r="C846" i="2"/>
  <c r="H846" i="2"/>
  <c r="A846" i="2"/>
  <c r="A845" i="2"/>
  <c r="D842" i="2"/>
  <c r="F841" i="2"/>
  <c r="F124" i="3" s="1"/>
  <c r="G840" i="2"/>
  <c r="E124" i="4" s="1"/>
  <c r="F840" i="2"/>
  <c r="E124" i="3" s="1"/>
  <c r="A838" i="2"/>
  <c r="C837" i="2"/>
  <c r="A124" i="20" s="1"/>
  <c r="D834" i="2"/>
  <c r="E833" i="2"/>
  <c r="G832" i="2"/>
  <c r="D122" i="4" s="1"/>
  <c r="H831" i="2"/>
  <c r="C122" i="5" s="1"/>
  <c r="G831" i="2"/>
  <c r="C122" i="4" s="1"/>
  <c r="C829" i="2"/>
  <c r="A829" i="2"/>
  <c r="D827" i="2"/>
  <c r="E826" i="2"/>
  <c r="D826" i="2"/>
  <c r="E825" i="2"/>
  <c r="G823" i="2"/>
  <c r="B120" i="10" s="1"/>
  <c r="A821" i="2"/>
  <c r="E817" i="2"/>
  <c r="G816" i="2"/>
  <c r="B119" i="10" s="1"/>
  <c r="F816" i="2"/>
  <c r="B119" i="9" s="1"/>
  <c r="G815" i="2"/>
  <c r="H118" i="4" s="1"/>
  <c r="H814" i="2"/>
  <c r="G118" i="5" s="1"/>
  <c r="A813" i="2"/>
  <c r="E810" i="2"/>
  <c r="E809" i="2"/>
  <c r="G807" i="2"/>
  <c r="G117" i="4" s="1"/>
  <c r="C806" i="2"/>
  <c r="H806" i="2"/>
  <c r="F117" i="5" s="1"/>
  <c r="A806" i="2"/>
  <c r="C805" i="2"/>
  <c r="E801" i="2"/>
  <c r="G800" i="2"/>
  <c r="G116" i="4" s="1"/>
  <c r="F800" i="2"/>
  <c r="G116" i="3" s="1"/>
  <c r="G799" i="2"/>
  <c r="F116" i="4" s="1"/>
  <c r="H798" i="2"/>
  <c r="E116" i="5" s="1"/>
  <c r="C797" i="2"/>
  <c r="A797" i="2"/>
  <c r="D795" i="2"/>
  <c r="D794" i="2"/>
  <c r="E793" i="2"/>
  <c r="G792" i="2"/>
  <c r="F115" i="4" s="1"/>
  <c r="H791" i="2"/>
  <c r="E115" i="5" s="1"/>
  <c r="G791" i="2"/>
  <c r="E115" i="4" s="1"/>
  <c r="H790" i="2"/>
  <c r="D115" i="5" s="1"/>
  <c r="C789" i="2"/>
  <c r="D787" i="2"/>
  <c r="E786" i="2"/>
  <c r="D786" i="2"/>
  <c r="F784" i="2"/>
  <c r="H782" i="2"/>
  <c r="A782" i="2"/>
  <c r="D779" i="2"/>
  <c r="D778" i="2"/>
  <c r="E777" i="2"/>
  <c r="F776" i="2"/>
  <c r="H775" i="2"/>
  <c r="C774" i="2"/>
  <c r="H774" i="2"/>
  <c r="C773" i="2"/>
  <c r="A773" i="2"/>
  <c r="E770" i="2"/>
  <c r="E769" i="2"/>
  <c r="F768" i="2"/>
  <c r="C113" i="3" s="1"/>
  <c r="H767" i="2"/>
  <c r="C766" i="2"/>
  <c r="A765" i="2"/>
  <c r="D762" i="2"/>
  <c r="F761" i="2"/>
  <c r="C111" i="3" s="1"/>
  <c r="E761" i="2"/>
  <c r="G760" i="2"/>
  <c r="B111" i="10" s="1"/>
  <c r="H758" i="2"/>
  <c r="G110" i="5" s="1"/>
  <c r="A757" i="2"/>
  <c r="G754" i="2"/>
  <c r="C110" i="4" s="1"/>
  <c r="E754" i="2"/>
  <c r="D754" i="2"/>
  <c r="E753" i="2"/>
  <c r="G751" i="2"/>
  <c r="G109" i="4" s="1"/>
  <c r="C749" i="2"/>
  <c r="A749" i="2"/>
  <c r="E745" i="2"/>
  <c r="G743" i="2"/>
  <c r="F108" i="4" s="1"/>
  <c r="C741" i="2"/>
  <c r="A741" i="2"/>
  <c r="E738" i="2"/>
  <c r="F737" i="2"/>
  <c r="G107" i="3" s="1"/>
  <c r="E737" i="2"/>
  <c r="F736" i="2"/>
  <c r="F107" i="3" s="1"/>
  <c r="H734" i="2"/>
  <c r="D107" i="5" s="1"/>
  <c r="C733" i="2"/>
  <c r="A733" i="2"/>
  <c r="D731" i="2"/>
  <c r="E729" i="2"/>
  <c r="C726" i="2"/>
  <c r="H726" i="2"/>
  <c r="C106" i="5" s="1"/>
  <c r="A726" i="2"/>
  <c r="A725" i="2"/>
  <c r="D722" i="2"/>
  <c r="E721" i="2"/>
  <c r="F720" i="2"/>
  <c r="D105" i="3" s="1"/>
  <c r="A718" i="2"/>
  <c r="A717" i="2"/>
  <c r="E713" i="2"/>
  <c r="F712" i="2"/>
  <c r="C104" i="3" s="1"/>
  <c r="G711" i="2"/>
  <c r="B104" i="10" s="1"/>
  <c r="C710" i="2"/>
  <c r="A710" i="2"/>
  <c r="C709" i="2"/>
  <c r="A709" i="2"/>
  <c r="F705" i="2"/>
  <c r="E705" i="2"/>
  <c r="G704" i="2"/>
  <c r="F704" i="2"/>
  <c r="A701" i="2"/>
  <c r="D699" i="2"/>
  <c r="E698" i="2"/>
  <c r="D698" i="2"/>
  <c r="E697" i="2"/>
  <c r="F696" i="2"/>
  <c r="H102" i="3" s="1"/>
  <c r="G695" i="2"/>
  <c r="G102" i="4" s="1"/>
  <c r="H694" i="2"/>
  <c r="F102" i="5" s="1"/>
  <c r="A694" i="2"/>
  <c r="A693" i="2"/>
  <c r="E689" i="2"/>
  <c r="G688" i="2"/>
  <c r="G101" i="4" s="1"/>
  <c r="F688" i="2"/>
  <c r="G101" i="3" s="1"/>
  <c r="C685" i="2"/>
  <c r="A685" i="2"/>
  <c r="E682" i="2"/>
  <c r="F681" i="2"/>
  <c r="G100" i="9" s="1"/>
  <c r="E681" i="2"/>
  <c r="G679" i="2"/>
  <c r="E100" i="10" s="1"/>
  <c r="A677" i="2"/>
  <c r="E674" i="2"/>
  <c r="D674" i="2"/>
  <c r="E673" i="2"/>
  <c r="G672" i="2"/>
  <c r="E99" i="10" s="1"/>
  <c r="F672" i="2"/>
  <c r="E99" i="9" s="1"/>
  <c r="A669" i="2"/>
  <c r="D667" i="2"/>
  <c r="E666" i="2"/>
  <c r="D666" i="2"/>
  <c r="F665" i="2"/>
  <c r="E98" i="3" s="1"/>
  <c r="E665" i="2"/>
  <c r="G663" i="2"/>
  <c r="C98" i="4" s="1"/>
  <c r="H662" i="2"/>
  <c r="A662" i="2"/>
  <c r="A661" i="2"/>
  <c r="E657" i="2"/>
  <c r="G656" i="2"/>
  <c r="C97" i="4" s="1"/>
  <c r="F656" i="2"/>
  <c r="C97" i="3" s="1"/>
  <c r="G655" i="2"/>
  <c r="B97" i="10" s="1"/>
  <c r="H654" i="2"/>
  <c r="H96" i="5" s="1"/>
  <c r="C653" i="2"/>
  <c r="A653" i="2"/>
  <c r="D651" i="2"/>
  <c r="D650" i="2"/>
  <c r="E649" i="2"/>
  <c r="F648" i="2"/>
  <c r="B96" i="9" s="1"/>
  <c r="G647" i="2"/>
  <c r="H95" i="4" s="1"/>
  <c r="C646" i="2"/>
  <c r="A646" i="2"/>
  <c r="A645" i="2"/>
  <c r="E641" i="2"/>
  <c r="F640" i="2"/>
  <c r="H94" i="3" s="1"/>
  <c r="G639" i="2"/>
  <c r="G94" i="4" s="1"/>
  <c r="A638" i="2"/>
  <c r="A637" i="2"/>
  <c r="E633" i="2"/>
  <c r="F632" i="2"/>
  <c r="G93" i="3" s="1"/>
  <c r="C629" i="2"/>
  <c r="A629" i="2"/>
  <c r="E626" i="2"/>
  <c r="D626" i="2"/>
  <c r="E625" i="2"/>
  <c r="G623" i="2"/>
  <c r="H622" i="2"/>
  <c r="A621" i="2"/>
  <c r="D619" i="2"/>
  <c r="E618" i="2"/>
  <c r="D618" i="2"/>
  <c r="E617" i="2"/>
  <c r="F616" i="2"/>
  <c r="G615" i="2"/>
  <c r="C614" i="2"/>
  <c r="A614" i="2"/>
  <c r="A613" i="2"/>
  <c r="D611" i="2"/>
  <c r="E609" i="2"/>
  <c r="F608" i="2"/>
  <c r="D91" i="3" s="1"/>
  <c r="G607" i="2"/>
  <c r="C91" i="4" s="1"/>
  <c r="H606" i="2"/>
  <c r="A606" i="2"/>
  <c r="C605" i="2"/>
  <c r="E601" i="2"/>
  <c r="G599" i="2"/>
  <c r="B90" i="10" s="1"/>
  <c r="C597" i="2"/>
  <c r="A597" i="2"/>
  <c r="E593" i="2"/>
  <c r="F592" i="2"/>
  <c r="B89" i="9" s="1"/>
  <c r="H591" i="2"/>
  <c r="H87" i="5" s="1"/>
  <c r="C590" i="2"/>
  <c r="H590" i="2"/>
  <c r="G87" i="5" s="1"/>
  <c r="C589" i="2"/>
  <c r="E586" i="2"/>
  <c r="D586" i="2"/>
  <c r="F585" i="2"/>
  <c r="B87" i="9" s="1"/>
  <c r="E585" i="2"/>
  <c r="G584" i="2"/>
  <c r="H86" i="4" s="1"/>
  <c r="G583" i="2"/>
  <c r="G86" i="4" s="1"/>
  <c r="H582" i="2"/>
  <c r="F86" i="5" s="1"/>
  <c r="A581" i="2"/>
  <c r="D579" i="2"/>
  <c r="E578" i="2"/>
  <c r="D578" i="2"/>
  <c r="E577" i="2"/>
  <c r="F576" i="2"/>
  <c r="G85" i="3" s="1"/>
  <c r="A573" i="2"/>
  <c r="D571" i="2"/>
  <c r="E570" i="2"/>
  <c r="F569" i="2"/>
  <c r="G84" i="3" s="1"/>
  <c r="E569" i="2"/>
  <c r="F568" i="2"/>
  <c r="F84" i="3" s="1"/>
  <c r="C565" i="2"/>
  <c r="D563" i="2"/>
  <c r="E562" i="2"/>
  <c r="E561" i="2"/>
  <c r="C558" i="2"/>
  <c r="H558" i="2"/>
  <c r="C83" i="5" s="1"/>
  <c r="D554" i="2"/>
  <c r="E553" i="2"/>
  <c r="G552" i="2"/>
  <c r="D82" i="4" s="1"/>
  <c r="F552" i="2"/>
  <c r="D82" i="3" s="1"/>
  <c r="G551" i="2"/>
  <c r="C82" i="4" s="1"/>
  <c r="A549" i="2"/>
  <c r="E546" i="2"/>
  <c r="H545" i="2"/>
  <c r="F545" i="2"/>
  <c r="E545" i="2"/>
  <c r="G544" i="2"/>
  <c r="F544" i="2"/>
  <c r="G543" i="2"/>
  <c r="A541" i="2"/>
  <c r="D539" i="2"/>
  <c r="E538" i="2"/>
  <c r="D538" i="2"/>
  <c r="E537" i="2"/>
  <c r="A534" i="2"/>
  <c r="C533" i="2"/>
  <c r="E529" i="2"/>
  <c r="F528" i="2"/>
  <c r="H78" i="3" s="1"/>
  <c r="H526" i="2"/>
  <c r="F78" i="5" s="1"/>
  <c r="C525" i="2"/>
  <c r="D522" i="2"/>
  <c r="F521" i="2"/>
  <c r="H77" i="3" s="1"/>
  <c r="E521" i="2"/>
  <c r="G519" i="2"/>
  <c r="F77" i="4" s="1"/>
  <c r="H518" i="2"/>
  <c r="E77" i="5" s="1"/>
  <c r="C517" i="2"/>
  <c r="A517" i="2"/>
  <c r="D515" i="2"/>
  <c r="E514" i="2"/>
  <c r="D514" i="2"/>
  <c r="E513" i="2"/>
  <c r="F512" i="2"/>
  <c r="F76" i="3" s="1"/>
  <c r="A510" i="2"/>
  <c r="A509" i="2"/>
  <c r="D507" i="2"/>
  <c r="E506" i="2"/>
  <c r="F505" i="2"/>
  <c r="F75" i="3" s="1"/>
  <c r="E505" i="2"/>
  <c r="F504" i="2"/>
  <c r="E75" i="3" s="1"/>
  <c r="C501" i="2"/>
  <c r="A75" i="20" s="1"/>
  <c r="E498" i="2"/>
  <c r="E497" i="2"/>
  <c r="F496" i="2"/>
  <c r="D74" i="3" s="1"/>
  <c r="C494" i="2"/>
  <c r="A74" i="20" s="1"/>
  <c r="H494" i="2"/>
  <c r="E490" i="2"/>
  <c r="D490" i="2"/>
  <c r="E489" i="2"/>
  <c r="G487" i="2"/>
  <c r="B73" i="10" s="1"/>
  <c r="C486" i="2"/>
  <c r="A485" i="2"/>
  <c r="E482" i="2"/>
  <c r="E481" i="2"/>
  <c r="G480" i="2"/>
  <c r="B72" i="10" s="1"/>
  <c r="F480" i="2"/>
  <c r="B72" i="9" s="1"/>
  <c r="H479" i="2"/>
  <c r="H71" i="5" s="1"/>
  <c r="G479" i="2"/>
  <c r="H71" i="4" s="1"/>
  <c r="G471" i="2"/>
  <c r="D467" i="2"/>
  <c r="D466" i="2"/>
  <c r="E465" i="2"/>
  <c r="A461" i="2"/>
  <c r="F456" i="2"/>
  <c r="F69" i="3" s="1"/>
  <c r="H446" i="2"/>
  <c r="C67" i="5" s="1"/>
  <c r="F441" i="2"/>
  <c r="E65" i="3" s="1"/>
  <c r="E441" i="2"/>
  <c r="C438" i="2"/>
  <c r="A65" i="20" s="1"/>
  <c r="C437" i="2"/>
  <c r="A437" i="2"/>
  <c r="G431" i="2"/>
  <c r="B64" i="10" s="1"/>
  <c r="D427" i="2"/>
  <c r="D426" i="2"/>
  <c r="H422" i="2"/>
  <c r="G62" i="5" s="1"/>
  <c r="F417" i="2"/>
  <c r="B62" i="9" s="1"/>
  <c r="F416" i="2"/>
  <c r="H61" i="3" s="1"/>
  <c r="C413" i="2"/>
  <c r="H407" i="2"/>
  <c r="F60" i="5" s="1"/>
  <c r="G407" i="2"/>
  <c r="F60" i="4" s="1"/>
  <c r="E402" i="2"/>
  <c r="D402" i="2"/>
  <c r="E401" i="2"/>
  <c r="A398" i="2"/>
  <c r="A397" i="2"/>
  <c r="F392" i="2"/>
  <c r="G388" i="2"/>
  <c r="H58" i="4" s="1"/>
  <c r="H382" i="2"/>
  <c r="F377" i="2"/>
  <c r="D57" i="3" s="1"/>
  <c r="E377" i="2"/>
  <c r="C373" i="2"/>
  <c r="A373" i="2"/>
  <c r="G367" i="2"/>
  <c r="H55" i="4" s="1"/>
  <c r="D362" i="2"/>
  <c r="H358" i="2"/>
  <c r="F54" i="5" s="1"/>
  <c r="A358" i="2"/>
  <c r="F352" i="2"/>
  <c r="G53" i="3" s="1"/>
  <c r="C350" i="2"/>
  <c r="C349" i="2"/>
  <c r="G343" i="2"/>
  <c r="E52" i="4" s="1"/>
  <c r="E338" i="2"/>
  <c r="D338" i="2"/>
  <c r="E337" i="2"/>
  <c r="A333" i="2"/>
  <c r="F328" i="2"/>
  <c r="D50" i="3" s="1"/>
  <c r="H318" i="2"/>
  <c r="E314" i="2"/>
  <c r="E313" i="2"/>
  <c r="C309" i="2"/>
  <c r="A309" i="2"/>
  <c r="G304" i="2"/>
  <c r="H47" i="4" s="1"/>
  <c r="G303" i="2"/>
  <c r="G47" i="4" s="1"/>
  <c r="D298" i="2"/>
  <c r="H294" i="2"/>
  <c r="E45" i="5" s="1"/>
  <c r="F289" i="2"/>
  <c r="G43" i="3" s="1"/>
  <c r="F288" i="2"/>
  <c r="F43" i="3" s="1"/>
  <c r="C286" i="2"/>
  <c r="C285" i="2"/>
  <c r="G279" i="2"/>
  <c r="D42" i="4" s="1"/>
  <c r="D275" i="2"/>
  <c r="E274" i="2"/>
  <c r="D274" i="2"/>
  <c r="E273" i="2"/>
  <c r="C269" i="2"/>
  <c r="C262" i="2"/>
  <c r="C261" i="2"/>
  <c r="C254" i="2"/>
  <c r="C253" i="2"/>
  <c r="C245" i="2"/>
  <c r="C238" i="2"/>
  <c r="C237" i="2"/>
  <c r="C229" i="2"/>
  <c r="E228" i="2"/>
  <c r="C222" i="2"/>
  <c r="C221" i="2"/>
  <c r="C213" i="2"/>
  <c r="C206" i="2"/>
  <c r="C205" i="2"/>
  <c r="C197" i="2"/>
  <c r="C190" i="2"/>
  <c r="C189" i="2"/>
  <c r="C181" i="2"/>
  <c r="C173" i="2"/>
  <c r="C166" i="2"/>
  <c r="C165" i="2"/>
  <c r="A27" i="20" s="1"/>
  <c r="C157" i="2"/>
  <c r="C149" i="2"/>
  <c r="C141" i="2"/>
  <c r="C133" i="2"/>
  <c r="E133" i="2"/>
  <c r="D133" i="2"/>
  <c r="C125" i="2"/>
  <c r="C117" i="2"/>
  <c r="C109" i="2"/>
  <c r="A20" i="20" s="1"/>
  <c r="C101" i="2"/>
  <c r="C93" i="2"/>
  <c r="C85" i="2"/>
  <c r="C77" i="2"/>
  <c r="C70" i="2"/>
  <c r="C69" i="2"/>
  <c r="C61" i="2"/>
  <c r="C54" i="2"/>
  <c r="C53" i="2"/>
  <c r="A13" i="20" s="1"/>
  <c r="A167" i="20" s="1"/>
  <c r="C45" i="2"/>
  <c r="G44" i="2"/>
  <c r="G10" i="4" s="1"/>
  <c r="C38" i="2"/>
  <c r="C37" i="2"/>
  <c r="C29" i="2"/>
  <c r="C21" i="2"/>
  <c r="C13" i="2"/>
  <c r="C5" i="2"/>
  <c r="C3" i="3"/>
  <c r="B3" i="3"/>
  <c r="A48" i="4"/>
  <c r="A4" i="2"/>
  <c r="A4" i="20" s="1"/>
  <c r="E1074" i="2"/>
  <c r="D1073" i="2"/>
  <c r="E1072" i="2"/>
  <c r="D1072" i="2"/>
  <c r="F1071" i="2"/>
  <c r="E1071" i="2"/>
  <c r="G1070" i="2"/>
  <c r="F1070" i="2"/>
  <c r="H1069" i="2"/>
  <c r="G1069" i="2"/>
  <c r="A1069" i="2"/>
  <c r="H1068" i="2"/>
  <c r="C1068" i="2"/>
  <c r="A1068" i="2"/>
  <c r="D1067" i="2"/>
  <c r="C1067" i="2"/>
  <c r="A1067" i="2"/>
  <c r="D1065" i="2"/>
  <c r="E1064" i="2"/>
  <c r="D1064" i="2"/>
  <c r="F1063" i="2"/>
  <c r="E1063" i="2"/>
  <c r="H1062" i="2"/>
  <c r="G1062" i="2"/>
  <c r="F1062" i="2"/>
  <c r="H1061" i="2"/>
  <c r="G1061" i="2"/>
  <c r="C1061" i="2"/>
  <c r="H1060" i="2"/>
  <c r="H157" i="5" s="1"/>
  <c r="C1060" i="2"/>
  <c r="A1060" i="2"/>
  <c r="C1059" i="2"/>
  <c r="A1059" i="2"/>
  <c r="D1058" i="2"/>
  <c r="D1057" i="2"/>
  <c r="E1056" i="2"/>
  <c r="D1056" i="2"/>
  <c r="F1055" i="2"/>
  <c r="C157" i="3" s="1"/>
  <c r="E1055" i="2"/>
  <c r="H1054" i="2"/>
  <c r="G1054" i="2"/>
  <c r="B157" i="10" s="1"/>
  <c r="F1054" i="2"/>
  <c r="B157" i="9" s="1"/>
  <c r="A1054" i="2"/>
  <c r="H1053" i="2"/>
  <c r="H155" i="5" s="1"/>
  <c r="G1053" i="2"/>
  <c r="H155" i="4" s="1"/>
  <c r="H1052" i="2"/>
  <c r="G155" i="5" s="1"/>
  <c r="C1052" i="2"/>
  <c r="A1052" i="2"/>
  <c r="C1051" i="2"/>
  <c r="A1051" i="2"/>
  <c r="D1049" i="2"/>
  <c r="E1048" i="2"/>
  <c r="D1048" i="2"/>
  <c r="F1047" i="2"/>
  <c r="B155" i="9" s="1"/>
  <c r="E1047" i="2"/>
  <c r="H1046" i="2"/>
  <c r="H153" i="5" s="1"/>
  <c r="G1046" i="2"/>
  <c r="H153" i="4" s="1"/>
  <c r="F1046" i="2"/>
  <c r="H153" i="3" s="1"/>
  <c r="H1045" i="2"/>
  <c r="G153" i="5" s="1"/>
  <c r="G1045" i="2"/>
  <c r="G153" i="4" s="1"/>
  <c r="H1044" i="2"/>
  <c r="F153" i="5" s="1"/>
  <c r="C1044" i="2"/>
  <c r="A1044" i="2"/>
  <c r="C1043" i="2"/>
  <c r="A1043" i="2"/>
  <c r="D1041" i="2"/>
  <c r="E1040" i="2"/>
  <c r="D1040" i="2"/>
  <c r="H1039" i="2"/>
  <c r="H152" i="5" s="1"/>
  <c r="F1039" i="2"/>
  <c r="H152" i="3" s="1"/>
  <c r="E1039" i="2"/>
  <c r="G1038" i="2"/>
  <c r="G152" i="4" s="1"/>
  <c r="F1038" i="2"/>
  <c r="G152" i="3" s="1"/>
  <c r="H1037" i="2"/>
  <c r="F152" i="5" s="1"/>
  <c r="G1037" i="2"/>
  <c r="F152" i="4" s="1"/>
  <c r="A1037" i="2"/>
  <c r="H1036" i="2"/>
  <c r="E152" i="5" s="1"/>
  <c r="C1036" i="2"/>
  <c r="A1036" i="2"/>
  <c r="C1035" i="2"/>
  <c r="A1035" i="2"/>
  <c r="D1033" i="2"/>
  <c r="E1032" i="2"/>
  <c r="D1032" i="2"/>
  <c r="F1031" i="2"/>
  <c r="G151" i="3" s="1"/>
  <c r="E1031" i="2"/>
  <c r="H1030" i="2"/>
  <c r="F151" i="5" s="1"/>
  <c r="G1030" i="2"/>
  <c r="F151" i="4" s="1"/>
  <c r="F1030" i="2"/>
  <c r="F151" i="3" s="1"/>
  <c r="H1029" i="2"/>
  <c r="E151" i="5" s="1"/>
  <c r="G1029" i="2"/>
  <c r="E151" i="4" s="1"/>
  <c r="C1029" i="2"/>
  <c r="A1029" i="2"/>
  <c r="H1028" i="2"/>
  <c r="D151" i="5" s="1"/>
  <c r="C1028" i="2"/>
  <c r="A1028" i="2"/>
  <c r="C1027" i="2"/>
  <c r="A1027" i="2"/>
  <c r="D1025" i="2"/>
  <c r="E1024" i="2"/>
  <c r="D1024" i="2"/>
  <c r="F1023" i="2"/>
  <c r="F150" i="3" s="1"/>
  <c r="E1023" i="2"/>
  <c r="G1022" i="2"/>
  <c r="E150" i="4" s="1"/>
  <c r="F1022" i="2"/>
  <c r="E150" i="3" s="1"/>
  <c r="H1021" i="2"/>
  <c r="D150" i="5" s="1"/>
  <c r="G1021" i="2"/>
  <c r="D150" i="4" s="1"/>
  <c r="H1020" i="2"/>
  <c r="C150" i="5" s="1"/>
  <c r="C1020" i="2"/>
  <c r="A1020" i="2"/>
  <c r="C1019" i="2"/>
  <c r="A150" i="20" s="1"/>
  <c r="A1019" i="2"/>
  <c r="D1018" i="2"/>
  <c r="D1017" i="2"/>
  <c r="E1016" i="2"/>
  <c r="D1016" i="2"/>
  <c r="F1015" i="2"/>
  <c r="E149" i="3" s="1"/>
  <c r="E1015" i="2"/>
  <c r="G1014" i="2"/>
  <c r="D149" i="4" s="1"/>
  <c r="F1014" i="2"/>
  <c r="D149" i="3" s="1"/>
  <c r="H1013" i="2"/>
  <c r="C149" i="5" s="1"/>
  <c r="G1013" i="2"/>
  <c r="C149" i="4" s="1"/>
  <c r="H1012" i="2"/>
  <c r="C1012" i="2"/>
  <c r="A149" i="20" s="1"/>
  <c r="A1012" i="2"/>
  <c r="C1011" i="2"/>
  <c r="A1011" i="2"/>
  <c r="E1009" i="2"/>
  <c r="D1009" i="2"/>
  <c r="E1008" i="2"/>
  <c r="D1008" i="2"/>
  <c r="F1007" i="2"/>
  <c r="D148" i="3" s="1"/>
  <c r="E1007" i="2"/>
  <c r="G1006" i="2"/>
  <c r="C148" i="4" s="1"/>
  <c r="F1006" i="2"/>
  <c r="C148" i="3" s="1"/>
  <c r="H1005" i="2"/>
  <c r="G1005" i="2"/>
  <c r="B148" i="10" s="1"/>
  <c r="A1005" i="2"/>
  <c r="A147" i="20" s="1"/>
  <c r="H1004" i="2"/>
  <c r="C1004" i="2"/>
  <c r="A1004" i="2"/>
  <c r="C1003" i="2"/>
  <c r="A1003" i="2"/>
  <c r="D1001" i="2"/>
  <c r="E1000" i="2"/>
  <c r="D1000" i="2"/>
  <c r="F999" i="2"/>
  <c r="E999" i="2"/>
  <c r="G998" i="2"/>
  <c r="F998" i="2"/>
  <c r="C998" i="2"/>
  <c r="H997" i="2"/>
  <c r="G997" i="2"/>
  <c r="H996" i="2"/>
  <c r="C996" i="2"/>
  <c r="A996" i="2"/>
  <c r="C995" i="2"/>
  <c r="A995" i="2"/>
  <c r="F994" i="2"/>
  <c r="D993" i="2"/>
  <c r="E992" i="2"/>
  <c r="D992" i="2"/>
  <c r="F991" i="2"/>
  <c r="E991" i="2"/>
  <c r="H990" i="2"/>
  <c r="H146" i="5" s="1"/>
  <c r="G990" i="2"/>
  <c r="H146" i="4" s="1"/>
  <c r="F990" i="2"/>
  <c r="H146" i="3" s="1"/>
  <c r="H989" i="2"/>
  <c r="G146" i="5" s="1"/>
  <c r="G989" i="2"/>
  <c r="G146" i="4" s="1"/>
  <c r="H988" i="2"/>
  <c r="F146" i="5" s="1"/>
  <c r="C988" i="2"/>
  <c r="A988" i="2"/>
  <c r="E987" i="2"/>
  <c r="C987" i="2"/>
  <c r="A987" i="2"/>
  <c r="D985" i="2"/>
  <c r="E984" i="2"/>
  <c r="D984" i="2"/>
  <c r="F983" i="2"/>
  <c r="H144" i="3" s="1"/>
  <c r="E983" i="2"/>
  <c r="H982" i="2"/>
  <c r="G144" i="5" s="1"/>
  <c r="G982" i="2"/>
  <c r="G144" i="4" s="1"/>
  <c r="F982" i="2"/>
  <c r="G144" i="3" s="1"/>
  <c r="H981" i="2"/>
  <c r="F144" i="5" s="1"/>
  <c r="G981" i="2"/>
  <c r="F144" i="4" s="1"/>
  <c r="H980" i="2"/>
  <c r="E144" i="5" s="1"/>
  <c r="C980" i="2"/>
  <c r="A980" i="2"/>
  <c r="C979" i="2"/>
  <c r="A979" i="2"/>
  <c r="D977" i="2"/>
  <c r="E976" i="2"/>
  <c r="D976" i="2"/>
  <c r="H975" i="2"/>
  <c r="G142" i="5" s="1"/>
  <c r="F975" i="2"/>
  <c r="G142" i="3" s="1"/>
  <c r="E975" i="2"/>
  <c r="G974" i="2"/>
  <c r="F142" i="4" s="1"/>
  <c r="F974" i="2"/>
  <c r="F142" i="3" s="1"/>
  <c r="C974" i="2"/>
  <c r="H973" i="2"/>
  <c r="E142" i="5" s="1"/>
  <c r="G973" i="2"/>
  <c r="E142" i="4" s="1"/>
  <c r="H972" i="2"/>
  <c r="D142" i="5" s="1"/>
  <c r="C972" i="2"/>
  <c r="A972" i="2"/>
  <c r="C971" i="2"/>
  <c r="A971" i="2"/>
  <c r="E969" i="2"/>
  <c r="D969" i="2"/>
  <c r="E968" i="2"/>
  <c r="D968" i="2"/>
  <c r="F967" i="2"/>
  <c r="F141" i="3" s="1"/>
  <c r="E967" i="2"/>
  <c r="H966" i="2"/>
  <c r="E141" i="5" s="1"/>
  <c r="G966" i="2"/>
  <c r="E141" i="4" s="1"/>
  <c r="F966" i="2"/>
  <c r="E141" i="3" s="1"/>
  <c r="H965" i="2"/>
  <c r="D141" i="5" s="1"/>
  <c r="G965" i="2"/>
  <c r="D141" i="4" s="1"/>
  <c r="C965" i="2"/>
  <c r="H964" i="2"/>
  <c r="C141" i="5" s="1"/>
  <c r="C964" i="2"/>
  <c r="A964" i="2"/>
  <c r="C963" i="2"/>
  <c r="A141" i="20" s="1"/>
  <c r="A963" i="2"/>
  <c r="D962" i="2"/>
  <c r="D961" i="2"/>
  <c r="E960" i="2"/>
  <c r="D960" i="2"/>
  <c r="F959" i="2"/>
  <c r="E140" i="3" s="1"/>
  <c r="E959" i="2"/>
  <c r="G958" i="2"/>
  <c r="D140" i="4" s="1"/>
  <c r="F958" i="2"/>
  <c r="D140" i="3" s="1"/>
  <c r="H957" i="2"/>
  <c r="C140" i="5" s="1"/>
  <c r="G957" i="2"/>
  <c r="C140" i="4" s="1"/>
  <c r="H956" i="2"/>
  <c r="C956" i="2"/>
  <c r="A140" i="20" s="1"/>
  <c r="A956" i="2"/>
  <c r="C955" i="2"/>
  <c r="A955" i="2"/>
  <c r="E954" i="2"/>
  <c r="D954" i="2"/>
  <c r="D953" i="2"/>
  <c r="E952" i="2"/>
  <c r="D952" i="2"/>
  <c r="F951" i="2"/>
  <c r="D139" i="3" s="1"/>
  <c r="E951" i="2"/>
  <c r="C951" i="2"/>
  <c r="G950" i="2"/>
  <c r="C139" i="4" s="1"/>
  <c r="F950" i="2"/>
  <c r="C139" i="3" s="1"/>
  <c r="H949" i="2"/>
  <c r="G949" i="2"/>
  <c r="B139" i="10" s="1"/>
  <c r="C949" i="2"/>
  <c r="A139" i="20" s="1"/>
  <c r="H948" i="2"/>
  <c r="H138" i="5" s="1"/>
  <c r="C948" i="2"/>
  <c r="A948" i="2"/>
  <c r="C947" i="2"/>
  <c r="A947" i="2"/>
  <c r="D946" i="2"/>
  <c r="E945" i="2"/>
  <c r="D945" i="2"/>
  <c r="E944" i="2"/>
  <c r="D944" i="2"/>
  <c r="F943" i="2"/>
  <c r="C138" i="3" s="1"/>
  <c r="E943" i="2"/>
  <c r="G942" i="2"/>
  <c r="B138" i="10" s="1"/>
  <c r="F942" i="2"/>
  <c r="B138" i="9" s="1"/>
  <c r="H941" i="2"/>
  <c r="H137" i="5" s="1"/>
  <c r="G941" i="2"/>
  <c r="H137" i="4" s="1"/>
  <c r="H940" i="2"/>
  <c r="G137" i="5" s="1"/>
  <c r="C940" i="2"/>
  <c r="A940" i="2"/>
  <c r="C939" i="2"/>
  <c r="A939" i="2"/>
  <c r="E937" i="2"/>
  <c r="D937" i="2"/>
  <c r="E936" i="2"/>
  <c r="D936" i="2"/>
  <c r="F935" i="2"/>
  <c r="B137" i="9" s="1"/>
  <c r="E935" i="2"/>
  <c r="G934" i="2"/>
  <c r="F934" i="2"/>
  <c r="C934" i="2"/>
  <c r="H933" i="2"/>
  <c r="G933" i="2"/>
  <c r="H932" i="2"/>
  <c r="C932" i="2"/>
  <c r="A932" i="2"/>
  <c r="C931" i="2"/>
  <c r="A931" i="2"/>
  <c r="D930" i="2"/>
  <c r="E929" i="2"/>
  <c r="D929" i="2"/>
  <c r="E928" i="2"/>
  <c r="D928" i="2"/>
  <c r="F927" i="2"/>
  <c r="E927" i="2"/>
  <c r="G926" i="2"/>
  <c r="F926" i="2"/>
  <c r="H925" i="2"/>
  <c r="G925" i="2"/>
  <c r="C925" i="2"/>
  <c r="H924" i="2"/>
  <c r="C924" i="2"/>
  <c r="A924" i="2"/>
  <c r="C923" i="2"/>
  <c r="A923" i="2"/>
  <c r="E922" i="2"/>
  <c r="D921" i="2"/>
  <c r="E920" i="2"/>
  <c r="D920" i="2"/>
  <c r="F919" i="2"/>
  <c r="G135" i="3" s="1"/>
  <c r="E919" i="2"/>
  <c r="G918" i="2"/>
  <c r="F135" i="4" s="1"/>
  <c r="F918" i="2"/>
  <c r="F135" i="3" s="1"/>
  <c r="H917" i="2"/>
  <c r="E135" i="5" s="1"/>
  <c r="G917" i="2"/>
  <c r="E135" i="4" s="1"/>
  <c r="H916" i="2"/>
  <c r="D135" i="5" s="1"/>
  <c r="C916" i="2"/>
  <c r="A916" i="2"/>
  <c r="C915" i="2"/>
  <c r="A915" i="2"/>
  <c r="F914" i="2"/>
  <c r="E913" i="2"/>
  <c r="D913" i="2"/>
  <c r="E912" i="2"/>
  <c r="D912" i="2"/>
  <c r="F911" i="2"/>
  <c r="F133" i="9" s="1"/>
  <c r="F133" i="18" s="1"/>
  <c r="E911" i="2"/>
  <c r="G910" i="2"/>
  <c r="E133" i="10" s="1"/>
  <c r="E133" i="16" s="1"/>
  <c r="F910" i="2"/>
  <c r="E133" i="9" s="1"/>
  <c r="E133" i="18" s="1"/>
  <c r="A910" i="2"/>
  <c r="H909" i="2"/>
  <c r="G909" i="2"/>
  <c r="D133" i="10" s="1"/>
  <c r="D133" i="16" s="1"/>
  <c r="A909" i="2"/>
  <c r="H908" i="2"/>
  <c r="C908" i="2"/>
  <c r="A908" i="2"/>
  <c r="C907" i="2"/>
  <c r="A133" i="20" s="1"/>
  <c r="A907" i="2"/>
  <c r="D905" i="2"/>
  <c r="E904" i="2"/>
  <c r="D904" i="2"/>
  <c r="F903" i="2"/>
  <c r="E132" i="9" s="1"/>
  <c r="E132" i="18" s="1"/>
  <c r="E903" i="2"/>
  <c r="H902" i="2"/>
  <c r="G902" i="2"/>
  <c r="D132" i="10" s="1"/>
  <c r="F902" i="2"/>
  <c r="D132" i="9" s="1"/>
  <c r="D132" i="18" s="1"/>
  <c r="H901" i="2"/>
  <c r="G901" i="2"/>
  <c r="C132" i="10" s="1"/>
  <c r="H900" i="2"/>
  <c r="C900" i="2"/>
  <c r="A900" i="2"/>
  <c r="C899" i="2"/>
  <c r="A899" i="2"/>
  <c r="D897" i="2"/>
  <c r="E896" i="2"/>
  <c r="D896" i="2"/>
  <c r="F895" i="2"/>
  <c r="D131" i="3" s="1"/>
  <c r="E895" i="2"/>
  <c r="H894" i="2"/>
  <c r="C131" i="5" s="1"/>
  <c r="G894" i="2"/>
  <c r="C131" i="4" s="1"/>
  <c r="F894" i="2"/>
  <c r="C131" i="3" s="1"/>
  <c r="H893" i="2"/>
  <c r="G893" i="2"/>
  <c r="B131" i="10" s="1"/>
  <c r="A893" i="2"/>
  <c r="H892" i="2"/>
  <c r="H130" i="5" s="1"/>
  <c r="C892" i="2"/>
  <c r="A892" i="2"/>
  <c r="C891" i="2"/>
  <c r="A891" i="2"/>
  <c r="E890" i="2"/>
  <c r="D890" i="2"/>
  <c r="D889" i="2"/>
  <c r="E888" i="2"/>
  <c r="D888" i="2"/>
  <c r="F887" i="2"/>
  <c r="C130" i="3" s="1"/>
  <c r="E887" i="2"/>
  <c r="G886" i="2"/>
  <c r="B130" i="10" s="1"/>
  <c r="F886" i="2"/>
  <c r="B130" i="9" s="1"/>
  <c r="H885" i="2"/>
  <c r="H129" i="5" s="1"/>
  <c r="G885" i="2"/>
  <c r="H129" i="4" s="1"/>
  <c r="H884" i="2"/>
  <c r="G129" i="5" s="1"/>
  <c r="D884" i="2"/>
  <c r="C884" i="2"/>
  <c r="A884" i="2"/>
  <c r="C883" i="2"/>
  <c r="A883" i="2"/>
  <c r="F881" i="2"/>
  <c r="D129" i="3" s="1"/>
  <c r="D881" i="2"/>
  <c r="F880" i="2"/>
  <c r="C129" i="3" s="1"/>
  <c r="E880" i="2"/>
  <c r="D880" i="2"/>
  <c r="F879" i="2"/>
  <c r="B129" i="9" s="1"/>
  <c r="E879" i="2"/>
  <c r="G878" i="2"/>
  <c r="H128" i="4" s="1"/>
  <c r="F878" i="2"/>
  <c r="H128" i="3" s="1"/>
  <c r="C878" i="2"/>
  <c r="H877" i="2"/>
  <c r="G128" i="5" s="1"/>
  <c r="G877" i="2"/>
  <c r="G128" i="4" s="1"/>
  <c r="H876" i="2"/>
  <c r="F128" i="5" s="1"/>
  <c r="C876" i="2"/>
  <c r="A876" i="2"/>
  <c r="C875" i="2"/>
  <c r="A875" i="2"/>
  <c r="D874" i="2"/>
  <c r="E873" i="2"/>
  <c r="D873" i="2"/>
  <c r="E872" i="2"/>
  <c r="D872" i="2"/>
  <c r="F871" i="2"/>
  <c r="H127" i="3" s="1"/>
  <c r="E871" i="2"/>
  <c r="G870" i="2"/>
  <c r="G127" i="4" s="1"/>
  <c r="F870" i="2"/>
  <c r="G127" i="3" s="1"/>
  <c r="H869" i="2"/>
  <c r="F127" i="5" s="1"/>
  <c r="G869" i="2"/>
  <c r="F127" i="4" s="1"/>
  <c r="H868" i="2"/>
  <c r="E127" i="5" s="1"/>
  <c r="C868" i="2"/>
  <c r="A868" i="2"/>
  <c r="C867" i="2"/>
  <c r="A867" i="2"/>
  <c r="D865" i="2"/>
  <c r="H864" i="2"/>
  <c r="H126" i="5" s="1"/>
  <c r="F864" i="2"/>
  <c r="H126" i="3" s="1"/>
  <c r="E864" i="2"/>
  <c r="D864" i="2"/>
  <c r="F863" i="2"/>
  <c r="G126" i="3" s="1"/>
  <c r="E863" i="2"/>
  <c r="C863" i="2"/>
  <c r="A863" i="2"/>
  <c r="H862" i="2"/>
  <c r="F126" i="5" s="1"/>
  <c r="G862" i="2"/>
  <c r="F126" i="4" s="1"/>
  <c r="F862" i="2"/>
  <c r="F126" i="3" s="1"/>
  <c r="H861" i="2"/>
  <c r="E126" i="5" s="1"/>
  <c r="G861" i="2"/>
  <c r="E126" i="4" s="1"/>
  <c r="H860" i="2"/>
  <c r="D126" i="5" s="1"/>
  <c r="C860" i="2"/>
  <c r="A860" i="2"/>
  <c r="C859" i="2"/>
  <c r="A859" i="2"/>
  <c r="E857" i="2"/>
  <c r="D857" i="2"/>
  <c r="H856" i="2"/>
  <c r="F856" i="2"/>
  <c r="E856" i="2"/>
  <c r="D856" i="2"/>
  <c r="F855" i="2"/>
  <c r="E855" i="2"/>
  <c r="G854" i="2"/>
  <c r="F854" i="2"/>
  <c r="H853" i="2"/>
  <c r="G853" i="2"/>
  <c r="C853" i="2"/>
  <c r="H852" i="2"/>
  <c r="C852" i="2"/>
  <c r="A852" i="2"/>
  <c r="C851" i="2"/>
  <c r="A851" i="2"/>
  <c r="D849" i="2"/>
  <c r="G848" i="2"/>
  <c r="E848" i="2"/>
  <c r="D848" i="2"/>
  <c r="F847" i="2"/>
  <c r="E847" i="2"/>
  <c r="G846" i="2"/>
  <c r="F846" i="2"/>
  <c r="H845" i="2"/>
  <c r="G845" i="2"/>
  <c r="C845" i="2"/>
  <c r="H844" i="2"/>
  <c r="C844" i="2"/>
  <c r="A844" i="2"/>
  <c r="C843" i="2"/>
  <c r="A843" i="2"/>
  <c r="E841" i="2"/>
  <c r="D841" i="2"/>
  <c r="E840" i="2"/>
  <c r="D840" i="2"/>
  <c r="G839" i="2"/>
  <c r="D124" i="4" s="1"/>
  <c r="F839" i="2"/>
  <c r="D124" i="3" s="1"/>
  <c r="E839" i="2"/>
  <c r="H838" i="2"/>
  <c r="C124" i="5" s="1"/>
  <c r="G838" i="2"/>
  <c r="C124" i="4" s="1"/>
  <c r="F838" i="2"/>
  <c r="C124" i="3" s="1"/>
  <c r="H837" i="2"/>
  <c r="G837" i="2"/>
  <c r="B124" i="10" s="1"/>
  <c r="A837" i="2"/>
  <c r="H836" i="2"/>
  <c r="H122" i="5" s="1"/>
  <c r="C836" i="2"/>
  <c r="A836" i="2"/>
  <c r="C835" i="2"/>
  <c r="A835" i="2"/>
  <c r="D833" i="2"/>
  <c r="F832" i="2"/>
  <c r="D122" i="3" s="1"/>
  <c r="E832" i="2"/>
  <c r="D832" i="2"/>
  <c r="F831" i="2"/>
  <c r="C122" i="3" s="1"/>
  <c r="E831" i="2"/>
  <c r="H830" i="2"/>
  <c r="G830" i="2"/>
  <c r="B122" i="10" s="1"/>
  <c r="F830" i="2"/>
  <c r="B122" i="9" s="1"/>
  <c r="H829" i="2"/>
  <c r="H120" i="5" s="1"/>
  <c r="G829" i="2"/>
  <c r="H120" i="4" s="1"/>
  <c r="H828" i="2"/>
  <c r="G120" i="5" s="1"/>
  <c r="C828" i="2"/>
  <c r="A828" i="2"/>
  <c r="C827" i="2"/>
  <c r="A827" i="2"/>
  <c r="D825" i="2"/>
  <c r="F824" i="2"/>
  <c r="C120" i="3" s="1"/>
  <c r="E824" i="2"/>
  <c r="D824" i="2"/>
  <c r="F823" i="2"/>
  <c r="B120" i="9" s="1"/>
  <c r="E823" i="2"/>
  <c r="H822" i="2"/>
  <c r="H119" i="5" s="1"/>
  <c r="G822" i="2"/>
  <c r="H119" i="4" s="1"/>
  <c r="F822" i="2"/>
  <c r="H119" i="3" s="1"/>
  <c r="H821" i="2"/>
  <c r="G119" i="5" s="1"/>
  <c r="G821" i="2"/>
  <c r="G119" i="4" s="1"/>
  <c r="C821" i="2"/>
  <c r="H820" i="2"/>
  <c r="F119" i="5" s="1"/>
  <c r="C820" i="2"/>
  <c r="A820" i="2"/>
  <c r="C819" i="2"/>
  <c r="A819" i="2"/>
  <c r="D818" i="2"/>
  <c r="D817" i="2"/>
  <c r="E816" i="2"/>
  <c r="D816" i="2"/>
  <c r="F815" i="2"/>
  <c r="H118" i="3" s="1"/>
  <c r="E815" i="2"/>
  <c r="G814" i="2"/>
  <c r="G118" i="4" s="1"/>
  <c r="F814" i="2"/>
  <c r="G118" i="3" s="1"/>
  <c r="H813" i="2"/>
  <c r="F118" i="5" s="1"/>
  <c r="G813" i="2"/>
  <c r="F118" i="4" s="1"/>
  <c r="C813" i="2"/>
  <c r="H812" i="2"/>
  <c r="E118" i="5" s="1"/>
  <c r="C812" i="2"/>
  <c r="A812" i="2"/>
  <c r="C811" i="2"/>
  <c r="A811" i="2"/>
  <c r="D810" i="2"/>
  <c r="D809" i="2"/>
  <c r="G808" i="2"/>
  <c r="H117" i="4" s="1"/>
  <c r="F808" i="2"/>
  <c r="H117" i="3" s="1"/>
  <c r="E808" i="2"/>
  <c r="D808" i="2"/>
  <c r="F807" i="2"/>
  <c r="G117" i="3" s="1"/>
  <c r="E807" i="2"/>
  <c r="G806" i="2"/>
  <c r="F117" i="4" s="1"/>
  <c r="F806" i="2"/>
  <c r="F117" i="3" s="1"/>
  <c r="H805" i="2"/>
  <c r="E117" i="5" s="1"/>
  <c r="G805" i="2"/>
  <c r="E117" i="4" s="1"/>
  <c r="A805" i="2"/>
  <c r="H804" i="2"/>
  <c r="D117" i="5" s="1"/>
  <c r="C804" i="2"/>
  <c r="A804" i="2"/>
  <c r="C803" i="2"/>
  <c r="A803" i="2"/>
  <c r="D802" i="2"/>
  <c r="D801" i="2"/>
  <c r="E800" i="2"/>
  <c r="D800" i="2"/>
  <c r="H799" i="2"/>
  <c r="F116" i="5" s="1"/>
  <c r="F799" i="2"/>
  <c r="F116" i="3" s="1"/>
  <c r="E799" i="2"/>
  <c r="G798" i="2"/>
  <c r="E116" i="4" s="1"/>
  <c r="F798" i="2"/>
  <c r="E116" i="3" s="1"/>
  <c r="H797" i="2"/>
  <c r="D116" i="5" s="1"/>
  <c r="G797" i="2"/>
  <c r="D116" i="4" s="1"/>
  <c r="H796" i="2"/>
  <c r="C116" i="5" s="1"/>
  <c r="C796" i="2"/>
  <c r="A796" i="2"/>
  <c r="C795" i="2"/>
  <c r="A116" i="20" s="1"/>
  <c r="A795" i="2"/>
  <c r="D793" i="2"/>
  <c r="F792" i="2"/>
  <c r="F115" i="3" s="1"/>
  <c r="E792" i="2"/>
  <c r="D792" i="2"/>
  <c r="F791" i="2"/>
  <c r="E115" i="3" s="1"/>
  <c r="E791" i="2"/>
  <c r="G790" i="2"/>
  <c r="D115" i="4" s="1"/>
  <c r="F790" i="2"/>
  <c r="D115" i="3" s="1"/>
  <c r="H789" i="2"/>
  <c r="C115" i="5" s="1"/>
  <c r="G789" i="2"/>
  <c r="C115" i="4" s="1"/>
  <c r="A789" i="2"/>
  <c r="H788" i="2"/>
  <c r="C788" i="2"/>
  <c r="A115" i="20" s="1"/>
  <c r="A788" i="2"/>
  <c r="A114" i="20" s="1"/>
  <c r="C787" i="2"/>
  <c r="A787" i="2"/>
  <c r="F785" i="2"/>
  <c r="E785" i="2"/>
  <c r="D785" i="2"/>
  <c r="E784" i="2"/>
  <c r="D784" i="2"/>
  <c r="H783" i="2"/>
  <c r="G783" i="2"/>
  <c r="F783" i="2"/>
  <c r="E783" i="2"/>
  <c r="G782" i="2"/>
  <c r="F782" i="2"/>
  <c r="H781" i="2"/>
  <c r="G781" i="2"/>
  <c r="C781" i="2"/>
  <c r="A781" i="2"/>
  <c r="H780" i="2"/>
  <c r="C780" i="2"/>
  <c r="A780" i="2"/>
  <c r="C779" i="2"/>
  <c r="A779" i="2"/>
  <c r="D777" i="2"/>
  <c r="E776" i="2"/>
  <c r="D776" i="2"/>
  <c r="G775" i="2"/>
  <c r="F775" i="2"/>
  <c r="E775" i="2"/>
  <c r="G774" i="2"/>
  <c r="F774" i="2"/>
  <c r="H773" i="2"/>
  <c r="H113" i="5" s="1"/>
  <c r="G773" i="2"/>
  <c r="H113" i="4" s="1"/>
  <c r="H772" i="2"/>
  <c r="G113" i="5" s="1"/>
  <c r="C772" i="2"/>
  <c r="A772" i="2"/>
  <c r="C771" i="2"/>
  <c r="A771" i="2"/>
  <c r="D770" i="2"/>
  <c r="F769" i="2"/>
  <c r="D113" i="3" s="1"/>
  <c r="D769" i="2"/>
  <c r="E768" i="2"/>
  <c r="D768" i="2"/>
  <c r="G767" i="2"/>
  <c r="B113" i="10" s="1"/>
  <c r="F767" i="2"/>
  <c r="B113" i="9" s="1"/>
  <c r="E767" i="2"/>
  <c r="C767" i="2"/>
  <c r="A113" i="20" s="1"/>
  <c r="H766" i="2"/>
  <c r="H111" i="5" s="1"/>
  <c r="G766" i="2"/>
  <c r="H111" i="4" s="1"/>
  <c r="F766" i="2"/>
  <c r="H111" i="3" s="1"/>
  <c r="H765" i="2"/>
  <c r="G111" i="5" s="1"/>
  <c r="G765" i="2"/>
  <c r="G111" i="4" s="1"/>
  <c r="C765" i="2"/>
  <c r="H764" i="2"/>
  <c r="F111" i="5" s="1"/>
  <c r="C764" i="2"/>
  <c r="A764" i="2"/>
  <c r="C763" i="2"/>
  <c r="A763" i="2"/>
  <c r="D761" i="2"/>
  <c r="F760" i="2"/>
  <c r="B111" i="9" s="1"/>
  <c r="E760" i="2"/>
  <c r="D760" i="2"/>
  <c r="G759" i="2"/>
  <c r="H110" i="4" s="1"/>
  <c r="F759" i="2"/>
  <c r="H110" i="3" s="1"/>
  <c r="E759" i="2"/>
  <c r="G758" i="2"/>
  <c r="G110" i="4" s="1"/>
  <c r="F758" i="2"/>
  <c r="G110" i="3" s="1"/>
  <c r="H757" i="2"/>
  <c r="F110" i="5" s="1"/>
  <c r="G757" i="2"/>
  <c r="F110" i="4" s="1"/>
  <c r="C757" i="2"/>
  <c r="H756" i="2"/>
  <c r="E110" i="5" s="1"/>
  <c r="C756" i="2"/>
  <c r="A756" i="2"/>
  <c r="C755" i="2"/>
  <c r="A755" i="2"/>
  <c r="D753" i="2"/>
  <c r="F752" i="2"/>
  <c r="H109" i="3" s="1"/>
  <c r="E752" i="2"/>
  <c r="D752" i="2"/>
  <c r="H751" i="2"/>
  <c r="G109" i="5" s="1"/>
  <c r="F751" i="2"/>
  <c r="G109" i="3" s="1"/>
  <c r="E751" i="2"/>
  <c r="H750" i="2"/>
  <c r="F109" i="5" s="1"/>
  <c r="G750" i="2"/>
  <c r="F109" i="4" s="1"/>
  <c r="F750" i="2"/>
  <c r="F109" i="3" s="1"/>
  <c r="H749" i="2"/>
  <c r="E109" i="5" s="1"/>
  <c r="G749" i="2"/>
  <c r="E109" i="4" s="1"/>
  <c r="H748" i="2"/>
  <c r="D109" i="5" s="1"/>
  <c r="C748" i="2"/>
  <c r="A748" i="2"/>
  <c r="C747" i="2"/>
  <c r="A747" i="2"/>
  <c r="D746" i="2"/>
  <c r="D745" i="2"/>
  <c r="F744" i="2"/>
  <c r="G108" i="3" s="1"/>
  <c r="E744" i="2"/>
  <c r="D744" i="2"/>
  <c r="F743" i="2"/>
  <c r="F108" i="3" s="1"/>
  <c r="E743" i="2"/>
  <c r="H742" i="2"/>
  <c r="E108" i="5" s="1"/>
  <c r="G742" i="2"/>
  <c r="E108" i="4" s="1"/>
  <c r="F742" i="2"/>
  <c r="E108" i="3" s="1"/>
  <c r="H741" i="2"/>
  <c r="D108" i="5" s="1"/>
  <c r="G741" i="2"/>
  <c r="D108" i="4" s="1"/>
  <c r="H740" i="2"/>
  <c r="C108" i="5" s="1"/>
  <c r="C740" i="2"/>
  <c r="A740" i="2"/>
  <c r="C739" i="2"/>
  <c r="A108" i="20" s="1"/>
  <c r="A739" i="2"/>
  <c r="D738" i="2"/>
  <c r="D737" i="2"/>
  <c r="E736" i="2"/>
  <c r="D736" i="2"/>
  <c r="G735" i="2"/>
  <c r="E107" i="4" s="1"/>
  <c r="F735" i="2"/>
  <c r="E107" i="3" s="1"/>
  <c r="E735" i="2"/>
  <c r="G734" i="2"/>
  <c r="D107" i="4" s="1"/>
  <c r="F734" i="2"/>
  <c r="D107" i="3" s="1"/>
  <c r="H733" i="2"/>
  <c r="C107" i="5" s="1"/>
  <c r="G733" i="2"/>
  <c r="C107" i="4" s="1"/>
  <c r="H732" i="2"/>
  <c r="C732" i="2"/>
  <c r="A107" i="20" s="1"/>
  <c r="A732" i="2"/>
  <c r="C731" i="2"/>
  <c r="A731" i="2"/>
  <c r="D730" i="2"/>
  <c r="G729" i="2"/>
  <c r="F106" i="4" s="1"/>
  <c r="D729" i="2"/>
  <c r="F728" i="2"/>
  <c r="E106" i="3" s="1"/>
  <c r="E728" i="2"/>
  <c r="D728" i="2"/>
  <c r="G727" i="2"/>
  <c r="D106" i="4" s="1"/>
  <c r="F727" i="2"/>
  <c r="D106" i="3" s="1"/>
  <c r="E727" i="2"/>
  <c r="G726" i="2"/>
  <c r="C106" i="4" s="1"/>
  <c r="F726" i="2"/>
  <c r="C106" i="3" s="1"/>
  <c r="H725" i="2"/>
  <c r="G725" i="2"/>
  <c r="B106" i="10" s="1"/>
  <c r="C725" i="2"/>
  <c r="A106" i="20" s="1"/>
  <c r="H724" i="2"/>
  <c r="H105" i="5" s="1"/>
  <c r="C724" i="2"/>
  <c r="A724" i="2"/>
  <c r="C723" i="2"/>
  <c r="A723" i="2"/>
  <c r="D721" i="2"/>
  <c r="E720" i="2"/>
  <c r="D720" i="2"/>
  <c r="H719" i="2"/>
  <c r="C105" i="5" s="1"/>
  <c r="G719" i="2"/>
  <c r="C105" i="4" s="1"/>
  <c r="F719" i="2"/>
  <c r="C105" i="3" s="1"/>
  <c r="E719" i="2"/>
  <c r="H718" i="2"/>
  <c r="G718" i="2"/>
  <c r="B105" i="10" s="1"/>
  <c r="F718" i="2"/>
  <c r="B105" i="9" s="1"/>
  <c r="C718" i="2"/>
  <c r="A105" i="20" s="1"/>
  <c r="H717" i="2"/>
  <c r="H104" i="5" s="1"/>
  <c r="G717" i="2"/>
  <c r="H104" i="4" s="1"/>
  <c r="C717" i="2"/>
  <c r="H716" i="2"/>
  <c r="G104" i="5" s="1"/>
  <c r="C716" i="2"/>
  <c r="A716" i="2"/>
  <c r="D715" i="2"/>
  <c r="C715" i="2"/>
  <c r="A715" i="2"/>
  <c r="D714" i="2"/>
  <c r="D713" i="2"/>
  <c r="G712" i="2"/>
  <c r="C104" i="4" s="1"/>
  <c r="E712" i="2"/>
  <c r="D712" i="2"/>
  <c r="F711" i="2"/>
  <c r="B104" i="9" s="1"/>
  <c r="E711" i="2"/>
  <c r="H710" i="2"/>
  <c r="G710" i="2"/>
  <c r="F710" i="2"/>
  <c r="H709" i="2"/>
  <c r="G709" i="2"/>
  <c r="H708" i="2"/>
  <c r="C708" i="2"/>
  <c r="A708" i="2"/>
  <c r="C707" i="2"/>
  <c r="A707" i="2"/>
  <c r="D706" i="2"/>
  <c r="D705" i="2"/>
  <c r="E704" i="2"/>
  <c r="D704" i="2"/>
  <c r="G703" i="2"/>
  <c r="F703" i="2"/>
  <c r="E703" i="2"/>
  <c r="H702" i="2"/>
  <c r="G702" i="2"/>
  <c r="F702" i="2"/>
  <c r="H701" i="2"/>
  <c r="G701" i="2"/>
  <c r="C701" i="2"/>
  <c r="H700" i="2"/>
  <c r="C700" i="2"/>
  <c r="A700" i="2"/>
  <c r="C699" i="2"/>
  <c r="A699" i="2"/>
  <c r="D697" i="2"/>
  <c r="E696" i="2"/>
  <c r="D696" i="2"/>
  <c r="F695" i="2"/>
  <c r="G102" i="3" s="1"/>
  <c r="E695" i="2"/>
  <c r="G694" i="2"/>
  <c r="F102" i="4" s="1"/>
  <c r="F694" i="2"/>
  <c r="F102" i="3" s="1"/>
  <c r="H693" i="2"/>
  <c r="E102" i="5" s="1"/>
  <c r="G693" i="2"/>
  <c r="E102" i="4" s="1"/>
  <c r="C693" i="2"/>
  <c r="H692" i="2"/>
  <c r="D102" i="5" s="1"/>
  <c r="C692" i="2"/>
  <c r="A692" i="2"/>
  <c r="C691" i="2"/>
  <c r="A691" i="2"/>
  <c r="D690" i="2"/>
  <c r="D689" i="2"/>
  <c r="E688" i="2"/>
  <c r="D688" i="2"/>
  <c r="G687" i="2"/>
  <c r="F101" i="4" s="1"/>
  <c r="F687" i="2"/>
  <c r="F101" i="3" s="1"/>
  <c r="E687" i="2"/>
  <c r="H686" i="2"/>
  <c r="E101" i="5" s="1"/>
  <c r="G686" i="2"/>
  <c r="E101" i="4" s="1"/>
  <c r="F686" i="2"/>
  <c r="E101" i="3" s="1"/>
  <c r="H685" i="2"/>
  <c r="D101" i="5" s="1"/>
  <c r="G685" i="2"/>
  <c r="D101" i="4" s="1"/>
  <c r="H684" i="2"/>
  <c r="C101" i="5" s="1"/>
  <c r="C684" i="2"/>
  <c r="A684" i="2"/>
  <c r="C683" i="2"/>
  <c r="A683" i="2"/>
  <c r="D682" i="2"/>
  <c r="D681" i="2"/>
  <c r="G680" i="2"/>
  <c r="F100" i="10" s="1"/>
  <c r="F680" i="2"/>
  <c r="F100" i="9" s="1"/>
  <c r="E680" i="2"/>
  <c r="D680" i="2"/>
  <c r="F679" i="2"/>
  <c r="E100" i="9" s="1"/>
  <c r="E679" i="2"/>
  <c r="H678" i="2"/>
  <c r="G678" i="2"/>
  <c r="D100" i="10" s="1"/>
  <c r="F678" i="2"/>
  <c r="D100" i="9" s="1"/>
  <c r="H677" i="2"/>
  <c r="G677" i="2"/>
  <c r="C100" i="10" s="1"/>
  <c r="C677" i="2"/>
  <c r="H676" i="2"/>
  <c r="C676" i="2"/>
  <c r="A100" i="20" s="1"/>
  <c r="A676" i="2"/>
  <c r="D675" i="2"/>
  <c r="C675" i="2"/>
  <c r="A675" i="2"/>
  <c r="C674" i="2"/>
  <c r="D673" i="2"/>
  <c r="E672" i="2"/>
  <c r="D672" i="2"/>
  <c r="H671" i="2"/>
  <c r="G671" i="2"/>
  <c r="D99" i="10" s="1"/>
  <c r="F671" i="2"/>
  <c r="D99" i="9" s="1"/>
  <c r="E671" i="2"/>
  <c r="H670" i="2"/>
  <c r="G670" i="2"/>
  <c r="C99" i="10" s="1"/>
  <c r="F670" i="2"/>
  <c r="C99" i="9" s="1"/>
  <c r="C670" i="2"/>
  <c r="H669" i="2"/>
  <c r="G669" i="2"/>
  <c r="C669" i="2"/>
  <c r="A99" i="20" s="1"/>
  <c r="H668" i="2"/>
  <c r="H98" i="5" s="1"/>
  <c r="C668" i="2"/>
  <c r="A668" i="2"/>
  <c r="E667" i="2"/>
  <c r="C667" i="2"/>
  <c r="A667" i="2"/>
  <c r="D665" i="2"/>
  <c r="F664" i="2"/>
  <c r="D98" i="3" s="1"/>
  <c r="E664" i="2"/>
  <c r="D664" i="2"/>
  <c r="F663" i="2"/>
  <c r="C98" i="3" s="1"/>
  <c r="E663" i="2"/>
  <c r="G662" i="2"/>
  <c r="B98" i="10" s="1"/>
  <c r="F662" i="2"/>
  <c r="B98" i="9" s="1"/>
  <c r="H661" i="2"/>
  <c r="H97" i="5" s="1"/>
  <c r="G661" i="2"/>
  <c r="H97" i="4" s="1"/>
  <c r="C661" i="2"/>
  <c r="H660" i="2"/>
  <c r="G97" i="5" s="1"/>
  <c r="C660" i="2"/>
  <c r="A660" i="2"/>
  <c r="C659" i="2"/>
  <c r="A659" i="2"/>
  <c r="D658" i="2"/>
  <c r="D657" i="2"/>
  <c r="E656" i="2"/>
  <c r="D656" i="2"/>
  <c r="F655" i="2"/>
  <c r="B97" i="9" s="1"/>
  <c r="E655" i="2"/>
  <c r="G654" i="2"/>
  <c r="H96" i="4" s="1"/>
  <c r="F654" i="2"/>
  <c r="H96" i="3" s="1"/>
  <c r="C654" i="2"/>
  <c r="H653" i="2"/>
  <c r="G96" i="5" s="1"/>
  <c r="G653" i="2"/>
  <c r="G96" i="4" s="1"/>
  <c r="H652" i="2"/>
  <c r="F96" i="5" s="1"/>
  <c r="C652" i="2"/>
  <c r="A652" i="2"/>
  <c r="C651" i="2"/>
  <c r="A651" i="2"/>
  <c r="D649" i="2"/>
  <c r="E648" i="2"/>
  <c r="D648" i="2"/>
  <c r="H647" i="2"/>
  <c r="H95" i="5" s="1"/>
  <c r="F647" i="2"/>
  <c r="H95" i="3" s="1"/>
  <c r="E647" i="2"/>
  <c r="H646" i="2"/>
  <c r="G95" i="5" s="1"/>
  <c r="G646" i="2"/>
  <c r="G95" i="4" s="1"/>
  <c r="F646" i="2"/>
  <c r="G95" i="3" s="1"/>
  <c r="H645" i="2"/>
  <c r="F95" i="5" s="1"/>
  <c r="G645" i="2"/>
  <c r="F95" i="4" s="1"/>
  <c r="C645" i="2"/>
  <c r="H644" i="2"/>
  <c r="E95" i="5" s="1"/>
  <c r="C644" i="2"/>
  <c r="A644" i="2"/>
  <c r="C643" i="2"/>
  <c r="A643" i="2"/>
  <c r="D642" i="2"/>
  <c r="D641" i="2"/>
  <c r="E640" i="2"/>
  <c r="D640" i="2"/>
  <c r="H639" i="2"/>
  <c r="G94" i="5" s="1"/>
  <c r="F639" i="2"/>
  <c r="G94" i="3" s="1"/>
  <c r="E639" i="2"/>
  <c r="H638" i="2"/>
  <c r="F94" i="5" s="1"/>
  <c r="G638" i="2"/>
  <c r="F94" i="4" s="1"/>
  <c r="F638" i="2"/>
  <c r="F94" i="3" s="1"/>
  <c r="H637" i="2"/>
  <c r="E94" i="5" s="1"/>
  <c r="G637" i="2"/>
  <c r="E94" i="4" s="1"/>
  <c r="C637" i="2"/>
  <c r="H636" i="2"/>
  <c r="D94" i="5" s="1"/>
  <c r="C636" i="2"/>
  <c r="A636" i="2"/>
  <c r="C635" i="2"/>
  <c r="A635" i="2"/>
  <c r="D634" i="2"/>
  <c r="D633" i="2"/>
  <c r="E632" i="2"/>
  <c r="D632" i="2"/>
  <c r="G631" i="2"/>
  <c r="F93" i="4" s="1"/>
  <c r="F631" i="2"/>
  <c r="F93" i="3" s="1"/>
  <c r="E631" i="2"/>
  <c r="H630" i="2"/>
  <c r="E93" i="5" s="1"/>
  <c r="G630" i="2"/>
  <c r="E93" i="4" s="1"/>
  <c r="F630" i="2"/>
  <c r="E93" i="3" s="1"/>
  <c r="H629" i="2"/>
  <c r="D93" i="5" s="1"/>
  <c r="G629" i="2"/>
  <c r="D93" i="4" s="1"/>
  <c r="H628" i="2"/>
  <c r="C93" i="5" s="1"/>
  <c r="C628" i="2"/>
  <c r="A628" i="2"/>
  <c r="C627" i="2"/>
  <c r="A93" i="20" s="1"/>
  <c r="A627" i="2"/>
  <c r="A92" i="20" s="1"/>
  <c r="D625" i="2"/>
  <c r="G624" i="2"/>
  <c r="F624" i="2"/>
  <c r="E624" i="2"/>
  <c r="D624" i="2"/>
  <c r="F623" i="2"/>
  <c r="E623" i="2"/>
  <c r="G622" i="2"/>
  <c r="F622" i="2"/>
  <c r="A622" i="2"/>
  <c r="H621" i="2"/>
  <c r="G621" i="2"/>
  <c r="C621" i="2"/>
  <c r="H620" i="2"/>
  <c r="C620" i="2"/>
  <c r="A620" i="2"/>
  <c r="E619" i="2"/>
  <c r="C619" i="2"/>
  <c r="A619" i="2"/>
  <c r="D617" i="2"/>
  <c r="E616" i="2"/>
  <c r="D616" i="2"/>
  <c r="H615" i="2"/>
  <c r="F615" i="2"/>
  <c r="E615" i="2"/>
  <c r="H614" i="2"/>
  <c r="G614" i="2"/>
  <c r="F614" i="2"/>
  <c r="H613" i="2"/>
  <c r="G613" i="2"/>
  <c r="C613" i="2"/>
  <c r="H612" i="2"/>
  <c r="H91" i="5" s="1"/>
  <c r="C612" i="2"/>
  <c r="A612" i="2"/>
  <c r="C611" i="2"/>
  <c r="A611" i="2"/>
  <c r="D610" i="2"/>
  <c r="D609" i="2"/>
  <c r="E608" i="2"/>
  <c r="D608" i="2"/>
  <c r="F607" i="2"/>
  <c r="C91" i="3" s="1"/>
  <c r="E607" i="2"/>
  <c r="G606" i="2"/>
  <c r="B91" i="10" s="1"/>
  <c r="F606" i="2"/>
  <c r="B91" i="9" s="1"/>
  <c r="H605" i="2"/>
  <c r="H90" i="5" s="1"/>
  <c r="G605" i="2"/>
  <c r="H90" i="4" s="1"/>
  <c r="A605" i="2"/>
  <c r="H604" i="2"/>
  <c r="G90" i="5" s="1"/>
  <c r="C604" i="2"/>
  <c r="A604" i="2"/>
  <c r="C603" i="2"/>
  <c r="A603" i="2"/>
  <c r="D602" i="2"/>
  <c r="D601" i="2"/>
  <c r="F600" i="2"/>
  <c r="C90" i="3" s="1"/>
  <c r="E600" i="2"/>
  <c r="D600" i="2"/>
  <c r="H599" i="2"/>
  <c r="F599" i="2"/>
  <c r="B90" i="9" s="1"/>
  <c r="E599" i="2"/>
  <c r="H598" i="2"/>
  <c r="H89" i="5" s="1"/>
  <c r="G598" i="2"/>
  <c r="H89" i="4" s="1"/>
  <c r="F598" i="2"/>
  <c r="H89" i="3" s="1"/>
  <c r="H597" i="2"/>
  <c r="G89" i="5" s="1"/>
  <c r="G597" i="2"/>
  <c r="G89" i="4" s="1"/>
  <c r="H596" i="2"/>
  <c r="F89" i="5" s="1"/>
  <c r="C596" i="2"/>
  <c r="A596" i="2"/>
  <c r="C595" i="2"/>
  <c r="A595" i="2"/>
  <c r="D594" i="2"/>
  <c r="D593" i="2"/>
  <c r="E592" i="2"/>
  <c r="D592" i="2"/>
  <c r="G591" i="2"/>
  <c r="H87" i="4" s="1"/>
  <c r="F591" i="2"/>
  <c r="H87" i="3" s="1"/>
  <c r="E591" i="2"/>
  <c r="C591" i="2"/>
  <c r="G590" i="2"/>
  <c r="G87" i="4" s="1"/>
  <c r="F590" i="2"/>
  <c r="G87" i="3" s="1"/>
  <c r="H589" i="2"/>
  <c r="F87" i="5" s="1"/>
  <c r="G589" i="2"/>
  <c r="F87" i="4" s="1"/>
  <c r="A589" i="2"/>
  <c r="H588" i="2"/>
  <c r="E87" i="5" s="1"/>
  <c r="C588" i="2"/>
  <c r="A588" i="2"/>
  <c r="D587" i="2"/>
  <c r="C587" i="2"/>
  <c r="A587" i="2"/>
  <c r="D585" i="2"/>
  <c r="F584" i="2"/>
  <c r="H86" i="3" s="1"/>
  <c r="E584" i="2"/>
  <c r="D584" i="2"/>
  <c r="F583" i="2"/>
  <c r="G86" i="3" s="1"/>
  <c r="E583" i="2"/>
  <c r="G582" i="2"/>
  <c r="F86" i="4" s="1"/>
  <c r="F582" i="2"/>
  <c r="F86" i="3" s="1"/>
  <c r="C582" i="2"/>
  <c r="A582" i="2"/>
  <c r="H581" i="2"/>
  <c r="E86" i="5" s="1"/>
  <c r="G581" i="2"/>
  <c r="E86" i="4" s="1"/>
  <c r="C581" i="2"/>
  <c r="H580" i="2"/>
  <c r="D86" i="5" s="1"/>
  <c r="C580" i="2"/>
  <c r="A580" i="2"/>
  <c r="C579" i="2"/>
  <c r="A579" i="2"/>
  <c r="D577" i="2"/>
  <c r="E576" i="2"/>
  <c r="D576" i="2"/>
  <c r="H575" i="2"/>
  <c r="F85" i="5" s="1"/>
  <c r="G575" i="2"/>
  <c r="F85" i="4" s="1"/>
  <c r="F575" i="2"/>
  <c r="F85" i="3" s="1"/>
  <c r="E575" i="2"/>
  <c r="H574" i="2"/>
  <c r="E85" i="5" s="1"/>
  <c r="G574" i="2"/>
  <c r="E85" i="4" s="1"/>
  <c r="F574" i="2"/>
  <c r="E85" i="3" s="1"/>
  <c r="H573" i="2"/>
  <c r="D85" i="5" s="1"/>
  <c r="G573" i="2"/>
  <c r="D85" i="4" s="1"/>
  <c r="C573" i="2"/>
  <c r="H572" i="2"/>
  <c r="C85" i="5" s="1"/>
  <c r="C572" i="2"/>
  <c r="A572" i="2"/>
  <c r="C571" i="2"/>
  <c r="A85" i="20" s="1"/>
  <c r="A571" i="2"/>
  <c r="D570" i="2"/>
  <c r="D569" i="2"/>
  <c r="E568" i="2"/>
  <c r="D568" i="2"/>
  <c r="G567" i="2"/>
  <c r="E84" i="4" s="1"/>
  <c r="F567" i="2"/>
  <c r="E84" i="3" s="1"/>
  <c r="E567" i="2"/>
  <c r="C567" i="2"/>
  <c r="H566" i="2"/>
  <c r="D84" i="5" s="1"/>
  <c r="G566" i="2"/>
  <c r="D84" i="4" s="1"/>
  <c r="F566" i="2"/>
  <c r="D84" i="3" s="1"/>
  <c r="H565" i="2"/>
  <c r="C84" i="5" s="1"/>
  <c r="G565" i="2"/>
  <c r="C84" i="4" s="1"/>
  <c r="A565" i="2"/>
  <c r="H564" i="2"/>
  <c r="C564" i="2"/>
  <c r="A84" i="20" s="1"/>
  <c r="A564" i="2"/>
  <c r="C563" i="2"/>
  <c r="A563" i="2"/>
  <c r="D562" i="2"/>
  <c r="F561" i="2"/>
  <c r="F83" i="3" s="1"/>
  <c r="D561" i="2"/>
  <c r="F560" i="2"/>
  <c r="E83" i="3" s="1"/>
  <c r="E560" i="2"/>
  <c r="D560" i="2"/>
  <c r="G559" i="2"/>
  <c r="D83" i="4" s="1"/>
  <c r="F559" i="2"/>
  <c r="D83" i="3" s="1"/>
  <c r="E559" i="2"/>
  <c r="G558" i="2"/>
  <c r="C83" i="4" s="1"/>
  <c r="F558" i="2"/>
  <c r="C83" i="3" s="1"/>
  <c r="H557" i="2"/>
  <c r="G557" i="2"/>
  <c r="B83" i="10" s="1"/>
  <c r="C557" i="2"/>
  <c r="A83" i="20" s="1"/>
  <c r="A557" i="2"/>
  <c r="H556" i="2"/>
  <c r="H82" i="5" s="1"/>
  <c r="C556" i="2"/>
  <c r="A556" i="2"/>
  <c r="C555" i="2"/>
  <c r="A555" i="2"/>
  <c r="G554" i="2"/>
  <c r="F82" i="4" s="1"/>
  <c r="G553" i="2"/>
  <c r="E82" i="4" s="1"/>
  <c r="F553" i="2"/>
  <c r="E82" i="3" s="1"/>
  <c r="D553" i="2"/>
  <c r="E552" i="2"/>
  <c r="D552" i="2"/>
  <c r="H551" i="2"/>
  <c r="C82" i="5" s="1"/>
  <c r="F551" i="2"/>
  <c r="C82" i="3" s="1"/>
  <c r="E551" i="2"/>
  <c r="C551" i="2"/>
  <c r="H550" i="2"/>
  <c r="G550" i="2"/>
  <c r="B82" i="10" s="1"/>
  <c r="F550" i="2"/>
  <c r="B82" i="9" s="1"/>
  <c r="H549" i="2"/>
  <c r="G549" i="2"/>
  <c r="C549" i="2"/>
  <c r="H548" i="2"/>
  <c r="C548" i="2"/>
  <c r="A548" i="2"/>
  <c r="C547" i="2"/>
  <c r="A547" i="2"/>
  <c r="D546" i="2"/>
  <c r="D545" i="2"/>
  <c r="E544" i="2"/>
  <c r="D544" i="2"/>
  <c r="F543" i="2"/>
  <c r="E543" i="2"/>
  <c r="H542" i="2"/>
  <c r="G542" i="2"/>
  <c r="F542" i="2"/>
  <c r="C542" i="2"/>
  <c r="H541" i="2"/>
  <c r="G541" i="2"/>
  <c r="C541" i="2"/>
  <c r="H540" i="2"/>
  <c r="C540" i="2"/>
  <c r="A540" i="2"/>
  <c r="C539" i="2"/>
  <c r="A539" i="2"/>
  <c r="D537" i="2"/>
  <c r="F536" i="2"/>
  <c r="E536" i="2"/>
  <c r="D536" i="2"/>
  <c r="H535" i="2"/>
  <c r="H80" i="5" s="1"/>
  <c r="G535" i="2"/>
  <c r="H80" i="4" s="1"/>
  <c r="F535" i="2"/>
  <c r="H80" i="3" s="1"/>
  <c r="E535" i="2"/>
  <c r="H534" i="2"/>
  <c r="G80" i="5" s="1"/>
  <c r="G534" i="2"/>
  <c r="G80" i="4" s="1"/>
  <c r="F534" i="2"/>
  <c r="G80" i="3" s="1"/>
  <c r="H533" i="2"/>
  <c r="F80" i="5" s="1"/>
  <c r="G533" i="2"/>
  <c r="F80" i="4" s="1"/>
  <c r="A533" i="2"/>
  <c r="H532" i="2"/>
  <c r="E80" i="5" s="1"/>
  <c r="C532" i="2"/>
  <c r="A532" i="2"/>
  <c r="D531" i="2"/>
  <c r="C531" i="2"/>
  <c r="A531" i="2"/>
  <c r="D530" i="2"/>
  <c r="D529" i="2"/>
  <c r="G528" i="2"/>
  <c r="H78" i="4" s="1"/>
  <c r="E528" i="2"/>
  <c r="D528" i="2"/>
  <c r="G527" i="2"/>
  <c r="G78" i="4" s="1"/>
  <c r="F527" i="2"/>
  <c r="G78" i="3" s="1"/>
  <c r="E527" i="2"/>
  <c r="G526" i="2"/>
  <c r="F78" i="4" s="1"/>
  <c r="F526" i="2"/>
  <c r="F78" i="3" s="1"/>
  <c r="A526" i="2"/>
  <c r="H525" i="2"/>
  <c r="E78" i="5" s="1"/>
  <c r="G525" i="2"/>
  <c r="E78" i="4" s="1"/>
  <c r="A525" i="2"/>
  <c r="H524" i="2"/>
  <c r="D78" i="5" s="1"/>
  <c r="C524" i="2"/>
  <c r="A524" i="2"/>
  <c r="C523" i="2"/>
  <c r="A523" i="2"/>
  <c r="D521" i="2"/>
  <c r="F520" i="2"/>
  <c r="G77" i="3" s="1"/>
  <c r="E520" i="2"/>
  <c r="D520" i="2"/>
  <c r="F519" i="2"/>
  <c r="F77" i="3" s="1"/>
  <c r="E519" i="2"/>
  <c r="G518" i="2"/>
  <c r="E77" i="4" s="1"/>
  <c r="F518" i="2"/>
  <c r="E77" i="3" s="1"/>
  <c r="H517" i="2"/>
  <c r="D77" i="5" s="1"/>
  <c r="G517" i="2"/>
  <c r="D77" i="4" s="1"/>
  <c r="H516" i="2"/>
  <c r="C77" i="5" s="1"/>
  <c r="C516" i="2"/>
  <c r="A516" i="2"/>
  <c r="C515" i="2"/>
  <c r="A515" i="2"/>
  <c r="F513" i="2"/>
  <c r="G76" i="3" s="1"/>
  <c r="D513" i="2"/>
  <c r="H512" i="2"/>
  <c r="F76" i="5" s="1"/>
  <c r="E512" i="2"/>
  <c r="D512" i="2"/>
  <c r="G511" i="2"/>
  <c r="E76" i="4" s="1"/>
  <c r="F511" i="2"/>
  <c r="E76" i="3" s="1"/>
  <c r="E511" i="2"/>
  <c r="C511" i="2"/>
  <c r="A511" i="2"/>
  <c r="H510" i="2"/>
  <c r="D76" i="5" s="1"/>
  <c r="G510" i="2"/>
  <c r="D76" i="4" s="1"/>
  <c r="F510" i="2"/>
  <c r="D76" i="3" s="1"/>
  <c r="H509" i="2"/>
  <c r="C76" i="5" s="1"/>
  <c r="G509" i="2"/>
  <c r="C76" i="4" s="1"/>
  <c r="C509" i="2"/>
  <c r="H508" i="2"/>
  <c r="C508" i="2"/>
  <c r="A76" i="20" s="1"/>
  <c r="A508" i="2"/>
  <c r="C507" i="2"/>
  <c r="A507" i="2"/>
  <c r="F506" i="2"/>
  <c r="G75" i="3" s="1"/>
  <c r="D506" i="2"/>
  <c r="D505" i="2"/>
  <c r="E504" i="2"/>
  <c r="D504" i="2"/>
  <c r="G503" i="2"/>
  <c r="D75" i="4" s="1"/>
  <c r="F503" i="2"/>
  <c r="D75" i="3" s="1"/>
  <c r="E503" i="2"/>
  <c r="H502" i="2"/>
  <c r="C75" i="5" s="1"/>
  <c r="G502" i="2"/>
  <c r="C75" i="4" s="1"/>
  <c r="F502" i="2"/>
  <c r="C75" i="3" s="1"/>
  <c r="H501" i="2"/>
  <c r="G501" i="2"/>
  <c r="B75" i="10" s="1"/>
  <c r="A501" i="2"/>
  <c r="H500" i="2"/>
  <c r="H74" i="5" s="1"/>
  <c r="C500" i="2"/>
  <c r="A500" i="2"/>
  <c r="C499" i="2"/>
  <c r="A499" i="2"/>
  <c r="D498" i="2"/>
  <c r="D497" i="2"/>
  <c r="E496" i="2"/>
  <c r="D496" i="2"/>
  <c r="G495" i="2"/>
  <c r="C74" i="4" s="1"/>
  <c r="F495" i="2"/>
  <c r="C74" i="3" s="1"/>
  <c r="E495" i="2"/>
  <c r="G494" i="2"/>
  <c r="B74" i="10" s="1"/>
  <c r="F494" i="2"/>
  <c r="B74" i="9" s="1"/>
  <c r="H493" i="2"/>
  <c r="H73" i="5" s="1"/>
  <c r="G493" i="2"/>
  <c r="H73" i="4" s="1"/>
  <c r="C493" i="2"/>
  <c r="A493" i="2"/>
  <c r="H492" i="2"/>
  <c r="G73" i="5" s="1"/>
  <c r="C492" i="2"/>
  <c r="A492" i="2"/>
  <c r="C491" i="2"/>
  <c r="A491" i="2"/>
  <c r="F490" i="2"/>
  <c r="E73" i="3" s="1"/>
  <c r="D489" i="2"/>
  <c r="F488" i="2"/>
  <c r="C73" i="3" s="1"/>
  <c r="E488" i="2"/>
  <c r="D488" i="2"/>
  <c r="H487" i="2"/>
  <c r="F487" i="2"/>
  <c r="B73" i="9" s="1"/>
  <c r="E487" i="2"/>
  <c r="H486" i="2"/>
  <c r="H72" i="5" s="1"/>
  <c r="G486" i="2"/>
  <c r="H72" i="4" s="1"/>
  <c r="F486" i="2"/>
  <c r="H72" i="3" s="1"/>
  <c r="H485" i="2"/>
  <c r="G72" i="5" s="1"/>
  <c r="G485" i="2"/>
  <c r="G72" i="4" s="1"/>
  <c r="C485" i="2"/>
  <c r="H484" i="2"/>
  <c r="F72" i="5" s="1"/>
  <c r="C484" i="2"/>
  <c r="A484" i="2"/>
  <c r="C483" i="2"/>
  <c r="A483" i="2"/>
  <c r="D482" i="2"/>
  <c r="D481" i="2"/>
  <c r="E480" i="2"/>
  <c r="D480" i="2"/>
  <c r="F479" i="2"/>
  <c r="H71" i="3" s="1"/>
  <c r="E479" i="2"/>
  <c r="H478" i="2"/>
  <c r="G71" i="5" s="1"/>
  <c r="G478" i="2"/>
  <c r="G71" i="4" s="1"/>
  <c r="F478" i="2"/>
  <c r="G71" i="3" s="1"/>
  <c r="C478" i="2"/>
  <c r="A478" i="2"/>
  <c r="H477" i="2"/>
  <c r="F71" i="5" s="1"/>
  <c r="G477" i="2"/>
  <c r="F71" i="4" s="1"/>
  <c r="C477" i="2"/>
  <c r="A477" i="2"/>
  <c r="H476" i="2"/>
  <c r="E71" i="5" s="1"/>
  <c r="C476" i="2"/>
  <c r="A476" i="2"/>
  <c r="C475" i="2"/>
  <c r="A475" i="2"/>
  <c r="D474" i="2"/>
  <c r="G473" i="2"/>
  <c r="B71" i="10" s="1"/>
  <c r="F473" i="2"/>
  <c r="B71" i="9" s="1"/>
  <c r="E473" i="2"/>
  <c r="D473" i="2"/>
  <c r="F472" i="2"/>
  <c r="E472" i="2"/>
  <c r="D472" i="2"/>
  <c r="F471" i="2"/>
  <c r="E471" i="2"/>
  <c r="H470" i="2"/>
  <c r="G470" i="2"/>
  <c r="F470" i="2"/>
  <c r="H469" i="2"/>
  <c r="G469" i="2"/>
  <c r="C469" i="2"/>
  <c r="A469" i="2"/>
  <c r="H468" i="2"/>
  <c r="C468" i="2"/>
  <c r="A468" i="2"/>
  <c r="C467" i="2"/>
  <c r="A467" i="2"/>
  <c r="F466" i="2"/>
  <c r="D465" i="2"/>
  <c r="F464" i="2"/>
  <c r="E464" i="2"/>
  <c r="D464" i="2"/>
  <c r="G463" i="2"/>
  <c r="F463" i="2"/>
  <c r="E463" i="2"/>
  <c r="H462" i="2"/>
  <c r="G462" i="2"/>
  <c r="F462" i="2"/>
  <c r="H461" i="2"/>
  <c r="G461" i="2"/>
  <c r="C461" i="2"/>
  <c r="H460" i="2"/>
  <c r="C460" i="2"/>
  <c r="A460" i="2"/>
  <c r="C459" i="2"/>
  <c r="A459" i="2"/>
  <c r="E458" i="2"/>
  <c r="D458" i="2"/>
  <c r="E457" i="2"/>
  <c r="D457" i="2"/>
  <c r="E456" i="2"/>
  <c r="D456" i="2"/>
  <c r="G455" i="2"/>
  <c r="E69" i="4" s="1"/>
  <c r="F455" i="2"/>
  <c r="E69" i="3" s="1"/>
  <c r="E455" i="2"/>
  <c r="H454" i="2"/>
  <c r="D69" i="5" s="1"/>
  <c r="G454" i="2"/>
  <c r="D69" i="4" s="1"/>
  <c r="F454" i="2"/>
  <c r="D69" i="3" s="1"/>
  <c r="C454" i="2"/>
  <c r="H453" i="2"/>
  <c r="C69" i="5" s="1"/>
  <c r="G453" i="2"/>
  <c r="C69" i="4" s="1"/>
  <c r="C453" i="2"/>
  <c r="A453" i="2"/>
  <c r="H452" i="2"/>
  <c r="D452" i="2"/>
  <c r="C452" i="2"/>
  <c r="A69" i="20" s="1"/>
  <c r="A452" i="2"/>
  <c r="C451" i="2"/>
  <c r="A451" i="2"/>
  <c r="E450" i="2"/>
  <c r="D450" i="2"/>
  <c r="E449" i="2"/>
  <c r="D449" i="2"/>
  <c r="F448" i="2"/>
  <c r="E67" i="3" s="1"/>
  <c r="E448" i="2"/>
  <c r="D448" i="2"/>
  <c r="G447" i="2"/>
  <c r="D67" i="4" s="1"/>
  <c r="F447" i="2"/>
  <c r="D67" i="3" s="1"/>
  <c r="E447" i="2"/>
  <c r="G446" i="2"/>
  <c r="C67" i="4" s="1"/>
  <c r="F446" i="2"/>
  <c r="C67" i="3" s="1"/>
  <c r="C446" i="2"/>
  <c r="A446" i="2"/>
  <c r="H445" i="2"/>
  <c r="G445" i="2"/>
  <c r="B67" i="10" s="1"/>
  <c r="C445" i="2"/>
  <c r="A67" i="20" s="1"/>
  <c r="A445" i="2"/>
  <c r="H444" i="2"/>
  <c r="H65" i="5" s="1"/>
  <c r="D444" i="2"/>
  <c r="C444" i="2"/>
  <c r="A444" i="2"/>
  <c r="C443" i="2"/>
  <c r="A443" i="2"/>
  <c r="D442" i="2"/>
  <c r="D441" i="2"/>
  <c r="F440" i="2"/>
  <c r="D65" i="3" s="1"/>
  <c r="E440" i="2"/>
  <c r="D440" i="2"/>
  <c r="G439" i="2"/>
  <c r="C65" i="4" s="1"/>
  <c r="F439" i="2"/>
  <c r="C65" i="3" s="1"/>
  <c r="E439" i="2"/>
  <c r="H438" i="2"/>
  <c r="G438" i="2"/>
  <c r="B65" i="10" s="1"/>
  <c r="F438" i="2"/>
  <c r="B65" i="9" s="1"/>
  <c r="H437" i="2"/>
  <c r="H64" i="5" s="1"/>
  <c r="G437" i="2"/>
  <c r="H64" i="4" s="1"/>
  <c r="H436" i="2"/>
  <c r="G64" i="5" s="1"/>
  <c r="C436" i="2"/>
  <c r="A436" i="2"/>
  <c r="C435" i="2"/>
  <c r="A435" i="2"/>
  <c r="D434" i="2"/>
  <c r="E433" i="2"/>
  <c r="D433" i="2"/>
  <c r="F432" i="2"/>
  <c r="C64" i="3" s="1"/>
  <c r="E432" i="2"/>
  <c r="D432" i="2"/>
  <c r="F431" i="2"/>
  <c r="B64" i="9" s="1"/>
  <c r="E431" i="2"/>
  <c r="H430" i="2"/>
  <c r="H63" i="5" s="1"/>
  <c r="G430" i="2"/>
  <c r="H63" i="4" s="1"/>
  <c r="F430" i="2"/>
  <c r="H63" i="3" s="1"/>
  <c r="C430" i="2"/>
  <c r="H429" i="2"/>
  <c r="G63" i="5" s="1"/>
  <c r="G429" i="2"/>
  <c r="G63" i="4" s="1"/>
  <c r="C429" i="2"/>
  <c r="A429" i="2"/>
  <c r="H428" i="2"/>
  <c r="F63" i="5" s="1"/>
  <c r="C428" i="2"/>
  <c r="A428" i="2"/>
  <c r="C427" i="2"/>
  <c r="A427" i="2"/>
  <c r="F425" i="2"/>
  <c r="C63" i="3" s="1"/>
  <c r="E425" i="2"/>
  <c r="D425" i="2"/>
  <c r="F424" i="2"/>
  <c r="B63" i="9" s="1"/>
  <c r="E424" i="2"/>
  <c r="D424" i="2"/>
  <c r="G423" i="2"/>
  <c r="H62" i="4" s="1"/>
  <c r="F423" i="2"/>
  <c r="H62" i="3" s="1"/>
  <c r="E423" i="2"/>
  <c r="G422" i="2"/>
  <c r="G62" i="4" s="1"/>
  <c r="F422" i="2"/>
  <c r="G62" i="3" s="1"/>
  <c r="C422" i="2"/>
  <c r="H421" i="2"/>
  <c r="F62" i="5" s="1"/>
  <c r="G421" i="2"/>
  <c r="F62" i="4" s="1"/>
  <c r="C421" i="2"/>
  <c r="A421" i="2"/>
  <c r="H420" i="2"/>
  <c r="E62" i="5" s="1"/>
  <c r="C420" i="2"/>
  <c r="A420" i="2"/>
  <c r="C419" i="2"/>
  <c r="A419" i="2"/>
  <c r="D418" i="2"/>
  <c r="E417" i="2"/>
  <c r="D417" i="2"/>
  <c r="E416" i="2"/>
  <c r="D416" i="2"/>
  <c r="G415" i="2"/>
  <c r="G61" i="4" s="1"/>
  <c r="F415" i="2"/>
  <c r="G61" i="3" s="1"/>
  <c r="E415" i="2"/>
  <c r="H414" i="2"/>
  <c r="F61" i="5" s="1"/>
  <c r="G414" i="2"/>
  <c r="F61" i="4" s="1"/>
  <c r="F414" i="2"/>
  <c r="F61" i="3" s="1"/>
  <c r="H413" i="2"/>
  <c r="E61" i="5" s="1"/>
  <c r="G413" i="2"/>
  <c r="E61" i="4" s="1"/>
  <c r="A413" i="2"/>
  <c r="H412" i="2"/>
  <c r="D61" i="5" s="1"/>
  <c r="C412" i="2"/>
  <c r="A412" i="2"/>
  <c r="C411" i="2"/>
  <c r="A411" i="2"/>
  <c r="D410" i="2"/>
  <c r="E409" i="2"/>
  <c r="D409" i="2"/>
  <c r="F408" i="2"/>
  <c r="G60" i="3" s="1"/>
  <c r="E408" i="2"/>
  <c r="D408" i="2"/>
  <c r="F407" i="2"/>
  <c r="F60" i="3" s="1"/>
  <c r="E407" i="2"/>
  <c r="H406" i="2"/>
  <c r="E60" i="5" s="1"/>
  <c r="G406" i="2"/>
  <c r="E60" i="4" s="1"/>
  <c r="F406" i="2"/>
  <c r="E60" i="3" s="1"/>
  <c r="H405" i="2"/>
  <c r="D60" i="5" s="1"/>
  <c r="G405" i="2"/>
  <c r="D60" i="4" s="1"/>
  <c r="C405" i="2"/>
  <c r="A405" i="2"/>
  <c r="H404" i="2"/>
  <c r="C60" i="5" s="1"/>
  <c r="C404" i="2"/>
  <c r="A404" i="2"/>
  <c r="C403" i="2"/>
  <c r="A60" i="20" s="1"/>
  <c r="A403" i="2"/>
  <c r="A59" i="20" s="1"/>
  <c r="F401" i="2"/>
  <c r="D401" i="2"/>
  <c r="F400" i="2"/>
  <c r="E400" i="2"/>
  <c r="D400" i="2"/>
  <c r="H399" i="2"/>
  <c r="G399" i="2"/>
  <c r="F399" i="2"/>
  <c r="E399" i="2"/>
  <c r="H398" i="2"/>
  <c r="G398" i="2"/>
  <c r="F398" i="2"/>
  <c r="H397" i="2"/>
  <c r="G397" i="2"/>
  <c r="C397" i="2"/>
  <c r="H396" i="2"/>
  <c r="C396" i="2"/>
  <c r="A396" i="2"/>
  <c r="C395" i="2"/>
  <c r="A395" i="2"/>
  <c r="E394" i="2"/>
  <c r="D394" i="2"/>
  <c r="E393" i="2"/>
  <c r="D393" i="2"/>
  <c r="E392" i="2"/>
  <c r="D392" i="2"/>
  <c r="H391" i="2"/>
  <c r="G391" i="2"/>
  <c r="F391" i="2"/>
  <c r="E391" i="2"/>
  <c r="H390" i="2"/>
  <c r="G390" i="2"/>
  <c r="F390" i="2"/>
  <c r="C390" i="2"/>
  <c r="A390" i="2"/>
  <c r="H389" i="2"/>
  <c r="G389" i="2"/>
  <c r="C389" i="2"/>
  <c r="A389" i="2"/>
  <c r="H388" i="2"/>
  <c r="H58" i="5" s="1"/>
  <c r="C388" i="2"/>
  <c r="A388" i="2"/>
  <c r="D387" i="2"/>
  <c r="C387" i="2"/>
  <c r="A387" i="2"/>
  <c r="D386" i="2"/>
  <c r="G385" i="2"/>
  <c r="E58" i="4" s="1"/>
  <c r="F385" i="2"/>
  <c r="E58" i="3" s="1"/>
  <c r="E385" i="2"/>
  <c r="D385" i="2"/>
  <c r="F384" i="2"/>
  <c r="D58" i="3" s="1"/>
  <c r="E384" i="2"/>
  <c r="D384" i="2"/>
  <c r="G383" i="2"/>
  <c r="C58" i="4" s="1"/>
  <c r="F383" i="2"/>
  <c r="C58" i="3" s="1"/>
  <c r="E383" i="2"/>
  <c r="G382" i="2"/>
  <c r="B58" i="10" s="1"/>
  <c r="F382" i="2"/>
  <c r="B58" i="9" s="1"/>
  <c r="H381" i="2"/>
  <c r="H57" i="5" s="1"/>
  <c r="G381" i="2"/>
  <c r="H57" i="4" s="1"/>
  <c r="C381" i="2"/>
  <c r="A381" i="2"/>
  <c r="H380" i="2"/>
  <c r="G57" i="5" s="1"/>
  <c r="C380" i="2"/>
  <c r="A380" i="2"/>
  <c r="C379" i="2"/>
  <c r="A379" i="2"/>
  <c r="D378" i="2"/>
  <c r="D377" i="2"/>
  <c r="F376" i="2"/>
  <c r="C57" i="3" s="1"/>
  <c r="E376" i="2"/>
  <c r="D376" i="2"/>
  <c r="G375" i="2"/>
  <c r="B57" i="10" s="1"/>
  <c r="F375" i="2"/>
  <c r="B57" i="9" s="1"/>
  <c r="E375" i="2"/>
  <c r="H374" i="2"/>
  <c r="H56" i="5" s="1"/>
  <c r="G374" i="2"/>
  <c r="H56" i="4" s="1"/>
  <c r="F374" i="2"/>
  <c r="H56" i="3" s="1"/>
  <c r="H373" i="2"/>
  <c r="G56" i="5" s="1"/>
  <c r="G373" i="2"/>
  <c r="G56" i="4" s="1"/>
  <c r="H372" i="2"/>
  <c r="F56" i="5" s="1"/>
  <c r="C372" i="2"/>
  <c r="A372" i="2"/>
  <c r="C371" i="2"/>
  <c r="A371" i="2"/>
  <c r="G370" i="2"/>
  <c r="D56" i="4" s="1"/>
  <c r="F370" i="2"/>
  <c r="D56" i="3" s="1"/>
  <c r="E370" i="2"/>
  <c r="D370" i="2"/>
  <c r="E369" i="2"/>
  <c r="D369" i="2"/>
  <c r="F368" i="2"/>
  <c r="B56" i="9" s="1"/>
  <c r="E368" i="2"/>
  <c r="D368" i="2"/>
  <c r="F367" i="2"/>
  <c r="H55" i="3" s="1"/>
  <c r="E367" i="2"/>
  <c r="H366" i="2"/>
  <c r="G55" i="5" s="1"/>
  <c r="G366" i="2"/>
  <c r="G55" i="4" s="1"/>
  <c r="F366" i="2"/>
  <c r="G55" i="3" s="1"/>
  <c r="A366" i="2"/>
  <c r="H365" i="2"/>
  <c r="F55" i="5" s="1"/>
  <c r="G365" i="2"/>
  <c r="F55" i="4" s="1"/>
  <c r="C365" i="2"/>
  <c r="A365" i="2"/>
  <c r="H364" i="2"/>
  <c r="E55" i="5" s="1"/>
  <c r="C364" i="2"/>
  <c r="A364" i="2"/>
  <c r="E363" i="2"/>
  <c r="C363" i="2"/>
  <c r="A363" i="2"/>
  <c r="F361" i="2"/>
  <c r="B55" i="3" s="1"/>
  <c r="E361" i="2"/>
  <c r="D361" i="2"/>
  <c r="G360" i="2"/>
  <c r="H54" i="4" s="1"/>
  <c r="F360" i="2"/>
  <c r="H54" i="3" s="1"/>
  <c r="E360" i="2"/>
  <c r="D360" i="2"/>
  <c r="G359" i="2"/>
  <c r="G54" i="4" s="1"/>
  <c r="F359" i="2"/>
  <c r="G54" i="3" s="1"/>
  <c r="E359" i="2"/>
  <c r="A359" i="2"/>
  <c r="G358" i="2"/>
  <c r="F54" i="4" s="1"/>
  <c r="F358" i="2"/>
  <c r="F54" i="3" s="1"/>
  <c r="H357" i="2"/>
  <c r="E54" i="5" s="1"/>
  <c r="G357" i="2"/>
  <c r="E54" i="4" s="1"/>
  <c r="C357" i="2"/>
  <c r="A357" i="2"/>
  <c r="H356" i="2"/>
  <c r="D54" i="5" s="1"/>
  <c r="C356" i="2"/>
  <c r="A356" i="2"/>
  <c r="C355" i="2"/>
  <c r="A355" i="2"/>
  <c r="D354" i="2"/>
  <c r="E353" i="2"/>
  <c r="D353" i="2"/>
  <c r="G352" i="2"/>
  <c r="G53" i="4" s="1"/>
  <c r="E352" i="2"/>
  <c r="D352" i="2"/>
  <c r="G351" i="2"/>
  <c r="F53" i="4" s="1"/>
  <c r="F351" i="2"/>
  <c r="F53" i="3" s="1"/>
  <c r="E351" i="2"/>
  <c r="H350" i="2"/>
  <c r="E53" i="5" s="1"/>
  <c r="G350" i="2"/>
  <c r="E53" i="4" s="1"/>
  <c r="F350" i="2"/>
  <c r="E53" i="3" s="1"/>
  <c r="H349" i="2"/>
  <c r="D53" i="5" s="1"/>
  <c r="G349" i="2"/>
  <c r="D53" i="4" s="1"/>
  <c r="A349" i="2"/>
  <c r="H348" i="2"/>
  <c r="C53" i="5" s="1"/>
  <c r="C348" i="2"/>
  <c r="A348" i="2"/>
  <c r="C347" i="2"/>
  <c r="A53" i="20" s="1"/>
  <c r="A347" i="2"/>
  <c r="D346" i="2"/>
  <c r="G345" i="2"/>
  <c r="G52" i="4" s="1"/>
  <c r="F345" i="2"/>
  <c r="G52" i="3" s="1"/>
  <c r="E345" i="2"/>
  <c r="D345" i="2"/>
  <c r="F344" i="2"/>
  <c r="F52" i="3" s="1"/>
  <c r="E344" i="2"/>
  <c r="D344" i="2"/>
  <c r="F343" i="2"/>
  <c r="E52" i="3" s="1"/>
  <c r="E343" i="2"/>
  <c r="H342" i="2"/>
  <c r="D52" i="5" s="1"/>
  <c r="G342" i="2"/>
  <c r="D52" i="4" s="1"/>
  <c r="F342" i="2"/>
  <c r="D52" i="3" s="1"/>
  <c r="A342" i="2"/>
  <c r="H341" i="2"/>
  <c r="C52" i="5" s="1"/>
  <c r="G341" i="2"/>
  <c r="C52" i="4" s="1"/>
  <c r="C341" i="2"/>
  <c r="A341" i="2"/>
  <c r="H340" i="2"/>
  <c r="C340" i="2"/>
  <c r="A52" i="20" s="1"/>
  <c r="A340" i="2"/>
  <c r="C339" i="2"/>
  <c r="A339" i="2"/>
  <c r="D337" i="2"/>
  <c r="F336" i="2"/>
  <c r="E51" i="3" s="1"/>
  <c r="E336" i="2"/>
  <c r="D336" i="2"/>
  <c r="G335" i="2"/>
  <c r="D51" i="4" s="1"/>
  <c r="F335" i="2"/>
  <c r="D51" i="3" s="1"/>
  <c r="E335" i="2"/>
  <c r="H334" i="2"/>
  <c r="C51" i="5" s="1"/>
  <c r="G334" i="2"/>
  <c r="C51" i="4" s="1"/>
  <c r="F334" i="2"/>
  <c r="C51" i="3" s="1"/>
  <c r="H333" i="2"/>
  <c r="G333" i="2"/>
  <c r="B51" i="10" s="1"/>
  <c r="C333" i="2"/>
  <c r="A51" i="20" s="1"/>
  <c r="H332" i="2"/>
  <c r="H50" i="5" s="1"/>
  <c r="C332" i="2"/>
  <c r="A332" i="2"/>
  <c r="D331" i="2"/>
  <c r="C331" i="2"/>
  <c r="A331" i="2"/>
  <c r="E330" i="2"/>
  <c r="D330" i="2"/>
  <c r="E329" i="2"/>
  <c r="D329" i="2"/>
  <c r="E328" i="2"/>
  <c r="D328" i="2"/>
  <c r="G327" i="2"/>
  <c r="C50" i="4" s="1"/>
  <c r="F327" i="2"/>
  <c r="C50" i="3" s="1"/>
  <c r="E327" i="2"/>
  <c r="H326" i="2"/>
  <c r="G326" i="2"/>
  <c r="B50" i="10" s="1"/>
  <c r="F326" i="2"/>
  <c r="B50" i="9" s="1"/>
  <c r="H325" i="2"/>
  <c r="H49" i="5" s="1"/>
  <c r="G325" i="2"/>
  <c r="H49" i="4" s="1"/>
  <c r="C325" i="2"/>
  <c r="A325" i="2"/>
  <c r="H324" i="2"/>
  <c r="G49" i="5" s="1"/>
  <c r="C324" i="2"/>
  <c r="A324" i="2"/>
  <c r="C323" i="2"/>
  <c r="A323" i="2"/>
  <c r="E322" i="2"/>
  <c r="D322" i="2"/>
  <c r="E321" i="2"/>
  <c r="D321" i="2"/>
  <c r="G320" i="2"/>
  <c r="C49" i="4" s="1"/>
  <c r="F320" i="2"/>
  <c r="C49" i="3" s="1"/>
  <c r="E320" i="2"/>
  <c r="D320" i="2"/>
  <c r="G319" i="2"/>
  <c r="B49" i="10" s="1"/>
  <c r="F319" i="2"/>
  <c r="B49" i="9" s="1"/>
  <c r="E319" i="2"/>
  <c r="A48" i="5"/>
  <c r="G318" i="2"/>
  <c r="F318" i="2"/>
  <c r="C318" i="2"/>
  <c r="H317" i="2"/>
  <c r="G317" i="2"/>
  <c r="C317" i="2"/>
  <c r="A317" i="2"/>
  <c r="H316" i="2"/>
  <c r="D316" i="2"/>
  <c r="C316" i="2"/>
  <c r="A316" i="2"/>
  <c r="C315" i="2"/>
  <c r="A315" i="2"/>
  <c r="D314" i="2"/>
  <c r="D313" i="2"/>
  <c r="F312" i="2"/>
  <c r="E312" i="2"/>
  <c r="D312" i="2"/>
  <c r="G311" i="2"/>
  <c r="F311" i="2"/>
  <c r="E311" i="2"/>
  <c r="H310" i="2"/>
  <c r="G310" i="2"/>
  <c r="F310" i="2"/>
  <c r="H309" i="2"/>
  <c r="G309" i="2"/>
  <c r="H308" i="2"/>
  <c r="C308" i="2"/>
  <c r="A308" i="2"/>
  <c r="E307" i="2"/>
  <c r="D307" i="2"/>
  <c r="C307" i="2"/>
  <c r="A307" i="2"/>
  <c r="D306" i="2"/>
  <c r="G305" i="2"/>
  <c r="F305" i="2"/>
  <c r="E305" i="2"/>
  <c r="D305" i="2"/>
  <c r="F304" i="2"/>
  <c r="H47" i="3" s="1"/>
  <c r="E304" i="2"/>
  <c r="D304" i="2"/>
  <c r="H303" i="2"/>
  <c r="G47" i="5" s="1"/>
  <c r="F303" i="2"/>
  <c r="G47" i="3" s="1"/>
  <c r="E303" i="2"/>
  <c r="H302" i="2"/>
  <c r="F47" i="5" s="1"/>
  <c r="G302" i="2"/>
  <c r="F47" i="4" s="1"/>
  <c r="F302" i="2"/>
  <c r="F47" i="3" s="1"/>
  <c r="A302" i="2"/>
  <c r="H301" i="2"/>
  <c r="E47" i="5" s="1"/>
  <c r="G301" i="2"/>
  <c r="E47" i="4" s="1"/>
  <c r="C301" i="2"/>
  <c r="A301" i="2"/>
  <c r="H300" i="2"/>
  <c r="D47" i="5" s="1"/>
  <c r="C300" i="2"/>
  <c r="A300" i="2"/>
  <c r="C299" i="2"/>
  <c r="A299" i="2"/>
  <c r="E297" i="2"/>
  <c r="D297" i="2"/>
  <c r="F296" i="2"/>
  <c r="G45" i="3" s="1"/>
  <c r="E296" i="2"/>
  <c r="D296" i="2"/>
  <c r="G295" i="2"/>
  <c r="F45" i="4" s="1"/>
  <c r="F295" i="2"/>
  <c r="F45" i="3" s="1"/>
  <c r="E295" i="2"/>
  <c r="G294" i="2"/>
  <c r="E45" i="4" s="1"/>
  <c r="F294" i="2"/>
  <c r="E45" i="3" s="1"/>
  <c r="C294" i="2"/>
  <c r="H293" i="2"/>
  <c r="D45" i="5" s="1"/>
  <c r="G293" i="2"/>
  <c r="D45" i="4" s="1"/>
  <c r="C293" i="2"/>
  <c r="A293" i="2"/>
  <c r="H292" i="2"/>
  <c r="C45" i="5" s="1"/>
  <c r="C292" i="2"/>
  <c r="A292" i="2"/>
  <c r="C291" i="2"/>
  <c r="A45" i="20" s="1"/>
  <c r="A291" i="2"/>
  <c r="E290" i="2"/>
  <c r="D290" i="2"/>
  <c r="E289" i="2"/>
  <c r="D289" i="2"/>
  <c r="E288" i="2"/>
  <c r="D288" i="2"/>
  <c r="H287" i="2"/>
  <c r="E43" i="5" s="1"/>
  <c r="G287" i="2"/>
  <c r="E43" i="4" s="1"/>
  <c r="F287" i="2"/>
  <c r="E43" i="3" s="1"/>
  <c r="E287" i="2"/>
  <c r="H286" i="2"/>
  <c r="D43" i="5" s="1"/>
  <c r="G286" i="2"/>
  <c r="D43" i="4" s="1"/>
  <c r="F286" i="2"/>
  <c r="D43" i="3" s="1"/>
  <c r="A286" i="2"/>
  <c r="H285" i="2"/>
  <c r="C43" i="5" s="1"/>
  <c r="G285" i="2"/>
  <c r="C43" i="4" s="1"/>
  <c r="A285" i="2"/>
  <c r="H284" i="2"/>
  <c r="C284" i="2"/>
  <c r="A43" i="20" s="1"/>
  <c r="A284" i="2"/>
  <c r="E283" i="2"/>
  <c r="D283" i="2"/>
  <c r="C283" i="2"/>
  <c r="A283" i="2"/>
  <c r="D282" i="2"/>
  <c r="F281" i="2"/>
  <c r="F42" i="3" s="1"/>
  <c r="E281" i="2"/>
  <c r="D281" i="2"/>
  <c r="F280" i="2"/>
  <c r="E42" i="3" s="1"/>
  <c r="E280" i="2"/>
  <c r="D280" i="2"/>
  <c r="F279" i="2"/>
  <c r="D42" i="3" s="1"/>
  <c r="E279" i="2"/>
  <c r="H278" i="2"/>
  <c r="C42" i="5" s="1"/>
  <c r="G278" i="2"/>
  <c r="C42" i="4" s="1"/>
  <c r="F278" i="2"/>
  <c r="C42" i="3" s="1"/>
  <c r="C278" i="2"/>
  <c r="H277" i="2"/>
  <c r="G277" i="2"/>
  <c r="B42" i="10" s="1"/>
  <c r="C277" i="2"/>
  <c r="A42" i="20" s="1"/>
  <c r="A277" i="2"/>
  <c r="H276" i="2"/>
  <c r="H41" i="5" s="1"/>
  <c r="C276" i="2"/>
  <c r="A276" i="2"/>
  <c r="C275" i="2"/>
  <c r="A275" i="2"/>
  <c r="G273" i="2"/>
  <c r="E41" i="4" s="1"/>
  <c r="F273" i="2"/>
  <c r="E41" i="3" s="1"/>
  <c r="D273" i="2"/>
  <c r="F272" i="2"/>
  <c r="D41" i="3" s="1"/>
  <c r="E272" i="2"/>
  <c r="D272" i="2"/>
  <c r="A272" i="2"/>
  <c r="H271" i="2"/>
  <c r="C41" i="5" s="1"/>
  <c r="G271" i="2"/>
  <c r="C41" i="4" s="1"/>
  <c r="F271" i="2"/>
  <c r="C41" i="3" s="1"/>
  <c r="E271" i="2"/>
  <c r="H270" i="2"/>
  <c r="G270" i="2"/>
  <c r="B41" i="10" s="1"/>
  <c r="F270" i="2"/>
  <c r="B41" i="9" s="1"/>
  <c r="A270" i="2"/>
  <c r="H269" i="2"/>
  <c r="H40" i="5" s="1"/>
  <c r="G269" i="2"/>
  <c r="H40" i="4" s="1"/>
  <c r="A269" i="2"/>
  <c r="H268" i="2"/>
  <c r="G40" i="5" s="1"/>
  <c r="C268" i="2"/>
  <c r="A268" i="2"/>
  <c r="D267" i="2"/>
  <c r="C267" i="2"/>
  <c r="A267" i="2"/>
  <c r="D266" i="2"/>
  <c r="E265" i="2"/>
  <c r="D265" i="2"/>
  <c r="F264" i="2"/>
  <c r="C40" i="3" s="1"/>
  <c r="E264" i="2"/>
  <c r="D264" i="2"/>
  <c r="G263" i="2"/>
  <c r="B40" i="10" s="1"/>
  <c r="F263" i="2"/>
  <c r="B40" i="9" s="1"/>
  <c r="E263" i="2"/>
  <c r="H262" i="2"/>
  <c r="H39" i="5" s="1"/>
  <c r="G262" i="2"/>
  <c r="H39" i="4" s="1"/>
  <c r="F262" i="2"/>
  <c r="H39" i="3" s="1"/>
  <c r="H261" i="2"/>
  <c r="G39" i="5" s="1"/>
  <c r="G261" i="2"/>
  <c r="G39" i="4" s="1"/>
  <c r="A261" i="2"/>
  <c r="H260" i="2"/>
  <c r="F39" i="5" s="1"/>
  <c r="C260" i="2"/>
  <c r="A260" i="2"/>
  <c r="C259" i="2"/>
  <c r="A259" i="2"/>
  <c r="E258" i="2"/>
  <c r="D258" i="2"/>
  <c r="F257" i="2"/>
  <c r="C39" i="3" s="1"/>
  <c r="E257" i="2"/>
  <c r="D257" i="2"/>
  <c r="F256" i="2"/>
  <c r="B39" i="9" s="1"/>
  <c r="E256" i="2"/>
  <c r="D256" i="2"/>
  <c r="H255" i="2"/>
  <c r="H38" i="5" s="1"/>
  <c r="G255" i="2"/>
  <c r="H38" i="4" s="1"/>
  <c r="F255" i="2"/>
  <c r="H38" i="3" s="1"/>
  <c r="E255" i="2"/>
  <c r="H254" i="2"/>
  <c r="G38" i="5" s="1"/>
  <c r="G254" i="2"/>
  <c r="G38" i="4" s="1"/>
  <c r="F254" i="2"/>
  <c r="G38" i="3" s="1"/>
  <c r="A254" i="2"/>
  <c r="H253" i="2"/>
  <c r="F38" i="5" s="1"/>
  <c r="G253" i="2"/>
  <c r="F38" i="4" s="1"/>
  <c r="A253" i="2"/>
  <c r="H252" i="2"/>
  <c r="E38" i="5" s="1"/>
  <c r="C252" i="2"/>
  <c r="A252" i="2"/>
  <c r="D251" i="2"/>
  <c r="C251" i="2"/>
  <c r="A251" i="2"/>
  <c r="D250" i="2"/>
  <c r="F249" i="2"/>
  <c r="B38" i="9" s="1"/>
  <c r="E249" i="2"/>
  <c r="D249" i="2"/>
  <c r="G248" i="2"/>
  <c r="F248" i="2"/>
  <c r="E248" i="2"/>
  <c r="D248" i="2"/>
  <c r="G247" i="2"/>
  <c r="F247" i="2"/>
  <c r="E247" i="2"/>
  <c r="H246" i="2"/>
  <c r="G246" i="2"/>
  <c r="F246" i="2"/>
  <c r="H245" i="2"/>
  <c r="G245" i="2"/>
  <c r="A245" i="2"/>
  <c r="H244" i="2"/>
  <c r="C244" i="2"/>
  <c r="A244" i="2"/>
  <c r="C243" i="2"/>
  <c r="A243" i="2"/>
  <c r="F242" i="2"/>
  <c r="E242" i="2"/>
  <c r="D242" i="2"/>
  <c r="E241" i="2"/>
  <c r="D241" i="2"/>
  <c r="G240" i="2"/>
  <c r="F240" i="2"/>
  <c r="E240" i="2"/>
  <c r="D240" i="2"/>
  <c r="G239" i="2"/>
  <c r="F239" i="2"/>
  <c r="E239" i="2"/>
  <c r="H238" i="2"/>
  <c r="G238" i="2"/>
  <c r="F238" i="2"/>
  <c r="H237" i="2"/>
  <c r="G237" i="2"/>
  <c r="A237" i="2"/>
  <c r="H236" i="2"/>
  <c r="C236" i="2"/>
  <c r="A236" i="2"/>
  <c r="C235" i="2"/>
  <c r="A235" i="2"/>
  <c r="D234" i="2"/>
  <c r="E233" i="2"/>
  <c r="D233" i="2"/>
  <c r="H232" i="2"/>
  <c r="F36" i="5" s="1"/>
  <c r="G232" i="2"/>
  <c r="F36" i="4" s="1"/>
  <c r="F232" i="2"/>
  <c r="F36" i="3" s="1"/>
  <c r="E232" i="2"/>
  <c r="D232" i="2"/>
  <c r="G231" i="2"/>
  <c r="E36" i="4" s="1"/>
  <c r="F231" i="2"/>
  <c r="E36" i="3" s="1"/>
  <c r="E231" i="2"/>
  <c r="C231" i="2"/>
  <c r="H230" i="2"/>
  <c r="D36" i="5" s="1"/>
  <c r="G230" i="2"/>
  <c r="D36" i="4" s="1"/>
  <c r="F230" i="2"/>
  <c r="D36" i="3" s="1"/>
  <c r="H229" i="2"/>
  <c r="C36" i="5" s="1"/>
  <c r="G229" i="2"/>
  <c r="C36" i="4" s="1"/>
  <c r="A229" i="2"/>
  <c r="H228" i="2"/>
  <c r="C228" i="2"/>
  <c r="A36" i="20" s="1"/>
  <c r="A228" i="2"/>
  <c r="C227" i="2"/>
  <c r="A227" i="2"/>
  <c r="E226" i="2"/>
  <c r="D226" i="2"/>
  <c r="E225" i="2"/>
  <c r="D225" i="2"/>
  <c r="G224" i="2"/>
  <c r="E35" i="4" s="1"/>
  <c r="F224" i="2"/>
  <c r="E35" i="3" s="1"/>
  <c r="E224" i="2"/>
  <c r="D224" i="2"/>
  <c r="G223" i="2"/>
  <c r="D35" i="4" s="1"/>
  <c r="F223" i="2"/>
  <c r="D35" i="3" s="1"/>
  <c r="E223" i="2"/>
  <c r="H222" i="2"/>
  <c r="C35" i="5" s="1"/>
  <c r="G222" i="2"/>
  <c r="C35" i="4" s="1"/>
  <c r="F222" i="2"/>
  <c r="C35" i="3" s="1"/>
  <c r="A222" i="2"/>
  <c r="H221" i="2"/>
  <c r="G221" i="2"/>
  <c r="B35" i="10" s="1"/>
  <c r="A221" i="2"/>
  <c r="H220" i="2"/>
  <c r="H34" i="5" s="1"/>
  <c r="C220" i="2"/>
  <c r="A220" i="2"/>
  <c r="D219" i="2"/>
  <c r="C219" i="2"/>
  <c r="A219" i="2"/>
  <c r="D218" i="2"/>
  <c r="F217" i="2"/>
  <c r="E34" i="3" s="1"/>
  <c r="E217" i="2"/>
  <c r="D217" i="2"/>
  <c r="F216" i="2"/>
  <c r="D34" i="3" s="1"/>
  <c r="E216" i="2"/>
  <c r="D216" i="2"/>
  <c r="G215" i="2"/>
  <c r="C34" i="4" s="1"/>
  <c r="F215" i="2"/>
  <c r="C34" i="3" s="1"/>
  <c r="E215" i="2"/>
  <c r="H214" i="2"/>
  <c r="G214" i="2"/>
  <c r="B34" i="10" s="1"/>
  <c r="F214" i="2"/>
  <c r="B34" i="9" s="1"/>
  <c r="H213" i="2"/>
  <c r="H33" i="5" s="1"/>
  <c r="G213" i="2"/>
  <c r="H33" i="4" s="1"/>
  <c r="A213" i="2"/>
  <c r="H212" i="2"/>
  <c r="G33" i="5" s="1"/>
  <c r="C212" i="2"/>
  <c r="A212" i="2"/>
  <c r="C211" i="2"/>
  <c r="A211" i="2"/>
  <c r="D210" i="2"/>
  <c r="F209" i="2"/>
  <c r="D33" i="3" s="1"/>
  <c r="E209" i="2"/>
  <c r="D209" i="2"/>
  <c r="F208" i="2"/>
  <c r="C33" i="3" s="1"/>
  <c r="E208" i="2"/>
  <c r="D208" i="2"/>
  <c r="H207" i="2"/>
  <c r="B33" i="5" s="1"/>
  <c r="G207" i="2"/>
  <c r="B33" i="4" s="1"/>
  <c r="F207" i="2"/>
  <c r="B33" i="3" s="1"/>
  <c r="E207" i="2"/>
  <c r="H206" i="2"/>
  <c r="H32" i="5" s="1"/>
  <c r="G206" i="2"/>
  <c r="H32" i="4" s="1"/>
  <c r="F206" i="2"/>
  <c r="H32" i="3" s="1"/>
  <c r="A206" i="2"/>
  <c r="H205" i="2"/>
  <c r="G32" i="5" s="1"/>
  <c r="G205" i="2"/>
  <c r="G32" i="4" s="1"/>
  <c r="A205" i="2"/>
  <c r="H204" i="2"/>
  <c r="F32" i="5" s="1"/>
  <c r="C204" i="2"/>
  <c r="A204" i="2"/>
  <c r="E203" i="2"/>
  <c r="D203" i="2"/>
  <c r="C203" i="2"/>
  <c r="A203" i="2"/>
  <c r="D202" i="2"/>
  <c r="F201" i="2"/>
  <c r="C32" i="3" s="1"/>
  <c r="E201" i="2"/>
  <c r="D201" i="2"/>
  <c r="F200" i="2"/>
  <c r="B32" i="9" s="1"/>
  <c r="E200" i="2"/>
  <c r="D200" i="2"/>
  <c r="G199" i="2"/>
  <c r="H31" i="4" s="1"/>
  <c r="F199" i="2"/>
  <c r="H31" i="3" s="1"/>
  <c r="E199" i="2"/>
  <c r="H198" i="2"/>
  <c r="G31" i="5" s="1"/>
  <c r="G198" i="2"/>
  <c r="G31" i="4" s="1"/>
  <c r="F198" i="2"/>
  <c r="G31" i="3" s="1"/>
  <c r="H197" i="2"/>
  <c r="F31" i="5" s="1"/>
  <c r="G197" i="2"/>
  <c r="F31" i="4" s="1"/>
  <c r="A197" i="2"/>
  <c r="H196" i="2"/>
  <c r="E31" i="5" s="1"/>
  <c r="C196" i="2"/>
  <c r="A196" i="2"/>
  <c r="C195" i="2"/>
  <c r="A195" i="2"/>
  <c r="E194" i="2"/>
  <c r="D194" i="2"/>
  <c r="E193" i="2"/>
  <c r="D193" i="2"/>
  <c r="F192" i="2"/>
  <c r="H30" i="3" s="1"/>
  <c r="E192" i="2"/>
  <c r="D192" i="2"/>
  <c r="G191" i="2"/>
  <c r="G30" i="4" s="1"/>
  <c r="F191" i="2"/>
  <c r="G30" i="3" s="1"/>
  <c r="E191" i="2"/>
  <c r="A191" i="2"/>
  <c r="H190" i="2"/>
  <c r="F30" i="5" s="1"/>
  <c r="G190" i="2"/>
  <c r="F30" i="4" s="1"/>
  <c r="F190" i="2"/>
  <c r="F30" i="3" s="1"/>
  <c r="H189" i="2"/>
  <c r="E30" i="5" s="1"/>
  <c r="G189" i="2"/>
  <c r="E30" i="4" s="1"/>
  <c r="A189" i="2"/>
  <c r="H188" i="2"/>
  <c r="D30" i="5" s="1"/>
  <c r="C188" i="2"/>
  <c r="A188" i="2"/>
  <c r="C187" i="2"/>
  <c r="A187" i="2"/>
  <c r="D186" i="2"/>
  <c r="E185" i="2"/>
  <c r="D185" i="2"/>
  <c r="G184" i="2"/>
  <c r="G29" i="4" s="1"/>
  <c r="F184" i="2"/>
  <c r="G29" i="3" s="1"/>
  <c r="E184" i="2"/>
  <c r="D184" i="2"/>
  <c r="G183" i="2"/>
  <c r="F29" i="4" s="1"/>
  <c r="F183" i="2"/>
  <c r="F29" i="3" s="1"/>
  <c r="E183" i="2"/>
  <c r="C183" i="2"/>
  <c r="A183" i="2"/>
  <c r="H182" i="2"/>
  <c r="E29" i="5" s="1"/>
  <c r="G182" i="2"/>
  <c r="E29" i="4" s="1"/>
  <c r="F182" i="2"/>
  <c r="E29" i="3" s="1"/>
  <c r="H181" i="2"/>
  <c r="D29" i="5" s="1"/>
  <c r="G181" i="2"/>
  <c r="D29" i="4" s="1"/>
  <c r="A181" i="2"/>
  <c r="H180" i="2"/>
  <c r="C29" i="5" s="1"/>
  <c r="C180" i="2"/>
  <c r="A180" i="2"/>
  <c r="C179" i="2"/>
  <c r="A29" i="20" s="1"/>
  <c r="A179" i="2"/>
  <c r="E178" i="2"/>
  <c r="D178" i="2"/>
  <c r="E177" i="2"/>
  <c r="D177" i="2"/>
  <c r="F176" i="2"/>
  <c r="F28" i="3" s="1"/>
  <c r="E176" i="2"/>
  <c r="D176" i="2"/>
  <c r="G175" i="2"/>
  <c r="E28" i="4" s="1"/>
  <c r="F175" i="2"/>
  <c r="E28" i="3" s="1"/>
  <c r="E175" i="2"/>
  <c r="H174" i="2"/>
  <c r="D28" i="5" s="1"/>
  <c r="G174" i="2"/>
  <c r="D28" i="4" s="1"/>
  <c r="F174" i="2"/>
  <c r="D28" i="3" s="1"/>
  <c r="H173" i="2"/>
  <c r="C28" i="5" s="1"/>
  <c r="G173" i="2"/>
  <c r="C28" i="4" s="1"/>
  <c r="A173" i="2"/>
  <c r="H172" i="2"/>
  <c r="C172" i="2"/>
  <c r="A28" i="20" s="1"/>
  <c r="A172" i="2"/>
  <c r="C171" i="2"/>
  <c r="A171" i="2"/>
  <c r="E170" i="2"/>
  <c r="D170" i="2"/>
  <c r="E169" i="2"/>
  <c r="D169" i="2"/>
  <c r="F168" i="2"/>
  <c r="E27" i="3" s="1"/>
  <c r="E168" i="2"/>
  <c r="D168" i="2"/>
  <c r="G167" i="2"/>
  <c r="D27" i="4" s="1"/>
  <c r="F167" i="2"/>
  <c r="D27" i="3" s="1"/>
  <c r="E167" i="2"/>
  <c r="H166" i="2"/>
  <c r="C27" i="5" s="1"/>
  <c r="G166" i="2"/>
  <c r="C27" i="4" s="1"/>
  <c r="F166" i="2"/>
  <c r="C27" i="3" s="1"/>
  <c r="H165" i="2"/>
  <c r="G165" i="2"/>
  <c r="B27" i="10" s="1"/>
  <c r="A165" i="2"/>
  <c r="A26" i="20" s="1"/>
  <c r="H164" i="2"/>
  <c r="C164" i="2"/>
  <c r="A164" i="2"/>
  <c r="C163" i="2"/>
  <c r="A163" i="2"/>
  <c r="E162" i="2"/>
  <c r="D162" i="2"/>
  <c r="E161" i="2"/>
  <c r="D161" i="2"/>
  <c r="G160" i="2"/>
  <c r="F160" i="2"/>
  <c r="E160" i="2"/>
  <c r="D160" i="2"/>
  <c r="G159" i="2"/>
  <c r="F159" i="2"/>
  <c r="E159" i="2"/>
  <c r="A159" i="2"/>
  <c r="H158" i="2"/>
  <c r="G158" i="2"/>
  <c r="F158" i="2"/>
  <c r="H157" i="2"/>
  <c r="G157" i="2"/>
  <c r="A157" i="2"/>
  <c r="H156" i="2"/>
  <c r="C156" i="2"/>
  <c r="A156" i="2"/>
  <c r="C155" i="2"/>
  <c r="A155" i="2"/>
  <c r="D154" i="2"/>
  <c r="E153" i="2"/>
  <c r="D153" i="2"/>
  <c r="G152" i="2"/>
  <c r="F152" i="2"/>
  <c r="E152" i="2"/>
  <c r="D152" i="2"/>
  <c r="G151" i="2"/>
  <c r="F151" i="2"/>
  <c r="E151" i="2"/>
  <c r="A151" i="2"/>
  <c r="H150" i="2"/>
  <c r="H25" i="5" s="1"/>
  <c r="G150" i="2"/>
  <c r="H25" i="4" s="1"/>
  <c r="F150" i="2"/>
  <c r="H25" i="3" s="1"/>
  <c r="H149" i="2"/>
  <c r="G25" i="5" s="1"/>
  <c r="G149" i="2"/>
  <c r="G25" i="4" s="1"/>
  <c r="A149" i="2"/>
  <c r="H148" i="2"/>
  <c r="F25" i="5" s="1"/>
  <c r="D148" i="2"/>
  <c r="C148" i="2"/>
  <c r="A148" i="2"/>
  <c r="C147" i="2"/>
  <c r="A147" i="2"/>
  <c r="E146" i="2"/>
  <c r="D146" i="2"/>
  <c r="E145" i="2"/>
  <c r="D145" i="2"/>
  <c r="F144" i="2"/>
  <c r="B25" i="9" s="1"/>
  <c r="E144" i="2"/>
  <c r="D144" i="2"/>
  <c r="G143" i="2"/>
  <c r="H24" i="4" s="1"/>
  <c r="F143" i="2"/>
  <c r="H24" i="3" s="1"/>
  <c r="E143" i="2"/>
  <c r="H142" i="2"/>
  <c r="G24" i="5" s="1"/>
  <c r="G142" i="2"/>
  <c r="G24" i="4" s="1"/>
  <c r="F142" i="2"/>
  <c r="G24" i="3" s="1"/>
  <c r="A142" i="2"/>
  <c r="H141" i="2"/>
  <c r="F24" i="5" s="1"/>
  <c r="G141" i="2"/>
  <c r="F24" i="4" s="1"/>
  <c r="A141" i="2"/>
  <c r="H140" i="2"/>
  <c r="E24" i="5" s="1"/>
  <c r="C140" i="2"/>
  <c r="A140" i="2"/>
  <c r="D139" i="2"/>
  <c r="C139" i="2"/>
  <c r="A139" i="2"/>
  <c r="D138" i="2"/>
  <c r="F137" i="2"/>
  <c r="B24" i="9" s="1"/>
  <c r="E137" i="2"/>
  <c r="D137" i="2"/>
  <c r="G136" i="2"/>
  <c r="F136" i="2"/>
  <c r="E136" i="2"/>
  <c r="D136" i="2"/>
  <c r="G135" i="2"/>
  <c r="G23" i="10" s="1"/>
  <c r="F135" i="2"/>
  <c r="G23" i="9" s="1"/>
  <c r="E135" i="2"/>
  <c r="A135" i="2"/>
  <c r="H134" i="2"/>
  <c r="G134" i="2"/>
  <c r="F23" i="10" s="1"/>
  <c r="F134" i="2"/>
  <c r="F23" i="9" s="1"/>
  <c r="H133" i="2"/>
  <c r="G133" i="2"/>
  <c r="E23" i="10" s="1"/>
  <c r="A133" i="2"/>
  <c r="H132" i="2"/>
  <c r="C132" i="2"/>
  <c r="A132" i="2"/>
  <c r="C131" i="2"/>
  <c r="A131" i="2"/>
  <c r="D130" i="2"/>
  <c r="E129" i="2"/>
  <c r="D129" i="2"/>
  <c r="G128" i="2"/>
  <c r="G22" i="10" s="1"/>
  <c r="F128" i="2"/>
  <c r="G22" i="9" s="1"/>
  <c r="E128" i="2"/>
  <c r="D128" i="2"/>
  <c r="G127" i="2"/>
  <c r="F22" i="10" s="1"/>
  <c r="F127" i="2"/>
  <c r="F22" i="9" s="1"/>
  <c r="E127" i="2"/>
  <c r="H126" i="2"/>
  <c r="G126" i="2"/>
  <c r="E22" i="10" s="1"/>
  <c r="F126" i="2"/>
  <c r="E22" i="9" s="1"/>
  <c r="H125" i="2"/>
  <c r="G125" i="2"/>
  <c r="D22" i="10" s="1"/>
  <c r="A125" i="2"/>
  <c r="H124" i="2"/>
  <c r="D124" i="2"/>
  <c r="C124" i="2"/>
  <c r="A124" i="2"/>
  <c r="C123" i="2"/>
  <c r="A123" i="2"/>
  <c r="E122" i="2"/>
  <c r="D122" i="2"/>
  <c r="E121" i="2"/>
  <c r="D121" i="2"/>
  <c r="F120" i="2"/>
  <c r="F21" i="3" s="1"/>
  <c r="E120" i="2"/>
  <c r="D120" i="2"/>
  <c r="G119" i="2"/>
  <c r="E21" i="4" s="1"/>
  <c r="F119" i="2"/>
  <c r="E21" i="3" s="1"/>
  <c r="E119" i="2"/>
  <c r="H118" i="2"/>
  <c r="D21" i="5" s="1"/>
  <c r="G118" i="2"/>
  <c r="D21" i="4" s="1"/>
  <c r="F118" i="2"/>
  <c r="D21" i="3" s="1"/>
  <c r="H117" i="2"/>
  <c r="C21" i="5" s="1"/>
  <c r="G117" i="2"/>
  <c r="C21" i="4" s="1"/>
  <c r="A117" i="2"/>
  <c r="H116" i="2"/>
  <c r="C116" i="2"/>
  <c r="A21" i="20" s="1"/>
  <c r="A116" i="2"/>
  <c r="C115" i="2"/>
  <c r="A115" i="2"/>
  <c r="E114" i="2"/>
  <c r="D114" i="2"/>
  <c r="E113" i="2"/>
  <c r="D113" i="2"/>
  <c r="F112" i="2"/>
  <c r="E20" i="3" s="1"/>
  <c r="E112" i="2"/>
  <c r="D112" i="2"/>
  <c r="G111" i="2"/>
  <c r="D20" i="4" s="1"/>
  <c r="F111" i="2"/>
  <c r="D20" i="3" s="1"/>
  <c r="E111" i="2"/>
  <c r="H110" i="2"/>
  <c r="C20" i="5" s="1"/>
  <c r="G110" i="2"/>
  <c r="C20" i="4" s="1"/>
  <c r="F110" i="2"/>
  <c r="C20" i="3" s="1"/>
  <c r="H109" i="2"/>
  <c r="G109" i="2"/>
  <c r="B20" i="10" s="1"/>
  <c r="A109" i="2"/>
  <c r="H108" i="2"/>
  <c r="H19" i="5" s="1"/>
  <c r="C108" i="2"/>
  <c r="A108" i="2"/>
  <c r="C107" i="2"/>
  <c r="A107" i="2"/>
  <c r="E106" i="2"/>
  <c r="D106" i="2"/>
  <c r="E105" i="2"/>
  <c r="D105" i="2"/>
  <c r="G104" i="2"/>
  <c r="D19" i="4" s="1"/>
  <c r="F104" i="2"/>
  <c r="D19" i="3" s="1"/>
  <c r="E104" i="2"/>
  <c r="D104" i="2"/>
  <c r="G103" i="2"/>
  <c r="C19" i="4" s="1"/>
  <c r="F103" i="2"/>
  <c r="C19" i="3" s="1"/>
  <c r="E103" i="2"/>
  <c r="H102" i="2"/>
  <c r="G102" i="2"/>
  <c r="B19" i="10" s="1"/>
  <c r="F102" i="2"/>
  <c r="B19" i="9" s="1"/>
  <c r="H101" i="2"/>
  <c r="H18" i="5" s="1"/>
  <c r="G101" i="2"/>
  <c r="H18" i="4" s="1"/>
  <c r="A101" i="2"/>
  <c r="H100" i="2"/>
  <c r="G18" i="5" s="1"/>
  <c r="C100" i="2"/>
  <c r="A100" i="2"/>
  <c r="C99" i="2"/>
  <c r="A99" i="2"/>
  <c r="D98" i="2"/>
  <c r="E97" i="2"/>
  <c r="D97" i="2"/>
  <c r="G96" i="2"/>
  <c r="C18" i="4" s="1"/>
  <c r="F96" i="2"/>
  <c r="C18" i="3" s="1"/>
  <c r="E96" i="2"/>
  <c r="D96" i="2"/>
  <c r="G95" i="2"/>
  <c r="B18" i="10" s="1"/>
  <c r="F95" i="2"/>
  <c r="B18" i="9" s="1"/>
  <c r="E95" i="2"/>
  <c r="H94" i="2"/>
  <c r="H17" i="5" s="1"/>
  <c r="G94" i="2"/>
  <c r="H17" i="4" s="1"/>
  <c r="F94" i="2"/>
  <c r="H17" i="3" s="1"/>
  <c r="H93" i="2"/>
  <c r="G17" i="5" s="1"/>
  <c r="G93" i="2"/>
  <c r="G17" i="4" s="1"/>
  <c r="A93" i="2"/>
  <c r="H92" i="2"/>
  <c r="F17" i="5" s="1"/>
  <c r="D92" i="2"/>
  <c r="C92" i="2"/>
  <c r="A92" i="2"/>
  <c r="C91" i="2"/>
  <c r="A91" i="2"/>
  <c r="E90" i="2"/>
  <c r="D90" i="2"/>
  <c r="E89" i="2"/>
  <c r="D89" i="2"/>
  <c r="F88" i="2"/>
  <c r="B17" i="9" s="1"/>
  <c r="E88" i="2"/>
  <c r="D88" i="2"/>
  <c r="G87" i="2"/>
  <c r="H16" i="4" s="1"/>
  <c r="F87" i="2"/>
  <c r="H16" i="3" s="1"/>
  <c r="E87" i="2"/>
  <c r="H86" i="2"/>
  <c r="G16" i="5" s="1"/>
  <c r="G86" i="2"/>
  <c r="G16" i="4" s="1"/>
  <c r="F86" i="2"/>
  <c r="G16" i="3" s="1"/>
  <c r="H85" i="2"/>
  <c r="F16" i="5" s="1"/>
  <c r="G85" i="2"/>
  <c r="F16" i="4" s="1"/>
  <c r="A85" i="2"/>
  <c r="H84" i="2"/>
  <c r="E16" i="5" s="1"/>
  <c r="C84" i="2"/>
  <c r="A84" i="2"/>
  <c r="C83" i="2"/>
  <c r="A83" i="2"/>
  <c r="E82" i="2"/>
  <c r="D82" i="2"/>
  <c r="E81" i="2"/>
  <c r="D81" i="2"/>
  <c r="F80" i="2"/>
  <c r="E80" i="2"/>
  <c r="D80" i="2"/>
  <c r="G79" i="2"/>
  <c r="F79" i="2"/>
  <c r="E79" i="2"/>
  <c r="H78" i="2"/>
  <c r="G78" i="2"/>
  <c r="F78" i="2"/>
  <c r="H77" i="2"/>
  <c r="G77" i="2"/>
  <c r="A77" i="2"/>
  <c r="H76" i="2"/>
  <c r="C76" i="2"/>
  <c r="A76" i="2"/>
  <c r="C75" i="2"/>
  <c r="A75" i="2"/>
  <c r="D74" i="2"/>
  <c r="E73" i="2"/>
  <c r="D73" i="2"/>
  <c r="G72" i="2"/>
  <c r="F72" i="2"/>
  <c r="E72" i="2"/>
  <c r="D72" i="2"/>
  <c r="G71" i="2"/>
  <c r="F71" i="2"/>
  <c r="E71" i="2"/>
  <c r="H70" i="2"/>
  <c r="G70" i="2"/>
  <c r="F70" i="2"/>
  <c r="H69" i="2"/>
  <c r="G69" i="2"/>
  <c r="A69" i="2"/>
  <c r="H68" i="2"/>
  <c r="D68" i="2"/>
  <c r="C68" i="2"/>
  <c r="A68" i="2"/>
  <c r="C67" i="2"/>
  <c r="A67" i="2"/>
  <c r="E66" i="2"/>
  <c r="D66" i="2"/>
  <c r="E65" i="2"/>
  <c r="D65" i="2"/>
  <c r="F64" i="2"/>
  <c r="F14" i="3" s="1"/>
  <c r="E64" i="2"/>
  <c r="D64" i="2"/>
  <c r="G63" i="2"/>
  <c r="E14" i="4" s="1"/>
  <c r="F63" i="2"/>
  <c r="E14" i="3" s="1"/>
  <c r="E63" i="2"/>
  <c r="H62" i="2"/>
  <c r="D14" i="5" s="1"/>
  <c r="G62" i="2"/>
  <c r="D14" i="4" s="1"/>
  <c r="F62" i="2"/>
  <c r="D14" i="3" s="1"/>
  <c r="H61" i="2"/>
  <c r="C14" i="5" s="1"/>
  <c r="G61" i="2"/>
  <c r="C14" i="4" s="1"/>
  <c r="A61" i="2"/>
  <c r="H60" i="2"/>
  <c r="C60" i="2"/>
  <c r="A14" i="20" s="1"/>
  <c r="A168" i="20" s="1"/>
  <c r="A60" i="2"/>
  <c r="C59" i="2"/>
  <c r="A59" i="2"/>
  <c r="F58" i="2"/>
  <c r="G13" i="3" s="1"/>
  <c r="E58" i="2"/>
  <c r="D58" i="2"/>
  <c r="E57" i="2"/>
  <c r="D57" i="2"/>
  <c r="G56" i="2"/>
  <c r="E13" i="4" s="1"/>
  <c r="F56" i="2"/>
  <c r="E13" i="3" s="1"/>
  <c r="E56" i="2"/>
  <c r="D56" i="2"/>
  <c r="G55" i="2"/>
  <c r="D13" i="4" s="1"/>
  <c r="F55" i="2"/>
  <c r="D13" i="3" s="1"/>
  <c r="E55" i="2"/>
  <c r="H54" i="2"/>
  <c r="C13" i="5" s="1"/>
  <c r="G54" i="2"/>
  <c r="C13" i="4" s="1"/>
  <c r="F54" i="2"/>
  <c r="C13" i="3" s="1"/>
  <c r="H53" i="2"/>
  <c r="G53" i="2"/>
  <c r="B13" i="10" s="1"/>
  <c r="A53" i="2"/>
  <c r="H52" i="2"/>
  <c r="H12" i="5" s="1"/>
  <c r="C52" i="2"/>
  <c r="A52" i="2"/>
  <c r="C51" i="2"/>
  <c r="A51" i="2"/>
  <c r="D50" i="2"/>
  <c r="E49" i="2"/>
  <c r="D49" i="2"/>
  <c r="H48" i="2"/>
  <c r="D12" i="5" s="1"/>
  <c r="G48" i="2"/>
  <c r="D12" i="4" s="1"/>
  <c r="F48" i="2"/>
  <c r="D12" i="3" s="1"/>
  <c r="E48" i="2"/>
  <c r="D48" i="2"/>
  <c r="G47" i="2"/>
  <c r="C12" i="4" s="1"/>
  <c r="F47" i="2"/>
  <c r="C12" i="3" s="1"/>
  <c r="E47" i="2"/>
  <c r="H46" i="2"/>
  <c r="G46" i="2"/>
  <c r="B12" i="10" s="1"/>
  <c r="F46" i="2"/>
  <c r="B12" i="9" s="1"/>
  <c r="H45" i="2"/>
  <c r="H10" i="5" s="1"/>
  <c r="G45" i="2"/>
  <c r="H10" i="4" s="1"/>
  <c r="A45" i="2"/>
  <c r="H44" i="2"/>
  <c r="G10" i="5" s="1"/>
  <c r="D44" i="2"/>
  <c r="C44" i="2"/>
  <c r="A44" i="2"/>
  <c r="C43" i="2"/>
  <c r="A43" i="2"/>
  <c r="E42" i="2"/>
  <c r="D42" i="2"/>
  <c r="E41" i="2"/>
  <c r="D41" i="2"/>
  <c r="F40" i="2"/>
  <c r="C10" i="3" s="1"/>
  <c r="E40" i="2"/>
  <c r="D40" i="2"/>
  <c r="G39" i="2"/>
  <c r="B10" i="10" s="1"/>
  <c r="F39" i="2"/>
  <c r="B10" i="9" s="1"/>
  <c r="E39" i="2"/>
  <c r="H38" i="2"/>
  <c r="H9" i="5" s="1"/>
  <c r="G38" i="2"/>
  <c r="H9" i="4" s="1"/>
  <c r="F38" i="2"/>
  <c r="H9" i="3" s="1"/>
  <c r="H37" i="2"/>
  <c r="G9" i="5" s="1"/>
  <c r="G37" i="2"/>
  <c r="G9" i="4" s="1"/>
  <c r="A37" i="2"/>
  <c r="H36" i="2"/>
  <c r="F9" i="5" s="1"/>
  <c r="C36" i="2"/>
  <c r="A36" i="2"/>
  <c r="C35" i="2"/>
  <c r="A35" i="2"/>
  <c r="F34" i="2"/>
  <c r="D9" i="3" s="1"/>
  <c r="E34" i="2"/>
  <c r="D34" i="2"/>
  <c r="E33" i="2"/>
  <c r="D33" i="2"/>
  <c r="G32" i="2"/>
  <c r="B9" i="10" s="1"/>
  <c r="F32" i="2"/>
  <c r="B9" i="9" s="1"/>
  <c r="E32" i="2"/>
  <c r="D32" i="2"/>
  <c r="G31" i="2"/>
  <c r="H8" i="4" s="1"/>
  <c r="F31" i="2"/>
  <c r="H8" i="3" s="1"/>
  <c r="E31" i="2"/>
  <c r="H30" i="2"/>
  <c r="G8" i="5" s="1"/>
  <c r="G30" i="2"/>
  <c r="G8" i="4" s="1"/>
  <c r="F30" i="2"/>
  <c r="G8" i="3" s="1"/>
  <c r="H29" i="2"/>
  <c r="F8" i="5" s="1"/>
  <c r="G29" i="2"/>
  <c r="F8" i="4" s="1"/>
  <c r="A29" i="2"/>
  <c r="H28" i="2"/>
  <c r="E8" i="5" s="1"/>
  <c r="C28" i="2"/>
  <c r="A28" i="2"/>
  <c r="C27" i="2"/>
  <c r="A27" i="2"/>
  <c r="D26" i="2"/>
  <c r="E25" i="2"/>
  <c r="D25" i="2"/>
  <c r="H24" i="2"/>
  <c r="H7" i="5" s="1"/>
  <c r="G24" i="2"/>
  <c r="H7" i="4" s="1"/>
  <c r="F24" i="2"/>
  <c r="H7" i="3" s="1"/>
  <c r="E24" i="2"/>
  <c r="D24" i="2"/>
  <c r="G23" i="2"/>
  <c r="G7" i="4" s="1"/>
  <c r="F23" i="2"/>
  <c r="G7" i="3" s="1"/>
  <c r="E23" i="2"/>
  <c r="H22" i="2"/>
  <c r="F7" i="5" s="1"/>
  <c r="G22" i="2"/>
  <c r="F7" i="4" s="1"/>
  <c r="F22" i="2"/>
  <c r="F7" i="3" s="1"/>
  <c r="H21" i="2"/>
  <c r="E7" i="5" s="1"/>
  <c r="G21" i="2"/>
  <c r="E7" i="4" s="1"/>
  <c r="A21" i="2"/>
  <c r="H20" i="2"/>
  <c r="D7" i="5" s="1"/>
  <c r="C20" i="2"/>
  <c r="A20" i="2"/>
  <c r="C19" i="2"/>
  <c r="A19" i="2"/>
  <c r="D18" i="2"/>
  <c r="F17" i="2"/>
  <c r="H6" i="3" s="1"/>
  <c r="E17" i="2"/>
  <c r="D17" i="2"/>
  <c r="F16" i="2"/>
  <c r="G6" i="3" s="1"/>
  <c r="E16" i="2"/>
  <c r="D16" i="2"/>
  <c r="H15" i="2"/>
  <c r="F6" i="5" s="1"/>
  <c r="G15" i="2"/>
  <c r="F6" i="4" s="1"/>
  <c r="F15" i="2"/>
  <c r="F6" i="3" s="1"/>
  <c r="E15" i="2"/>
  <c r="H14" i="2"/>
  <c r="E6" i="5" s="1"/>
  <c r="G14" i="2"/>
  <c r="E6" i="4" s="1"/>
  <c r="F14" i="2"/>
  <c r="E6" i="3" s="1"/>
  <c r="A14" i="2"/>
  <c r="H13" i="2"/>
  <c r="D6" i="5" s="1"/>
  <c r="G13" i="2"/>
  <c r="D6" i="4" s="1"/>
  <c r="A13" i="2"/>
  <c r="H12" i="2"/>
  <c r="C6" i="5" s="1"/>
  <c r="C12" i="2"/>
  <c r="A12" i="2"/>
  <c r="D11" i="2"/>
  <c r="C11" i="2"/>
  <c r="A6" i="20" s="1"/>
  <c r="A160" i="20" s="1"/>
  <c r="A11" i="2"/>
  <c r="D10" i="2"/>
  <c r="H3" i="3"/>
  <c r="F9" i="2"/>
  <c r="G5" i="3" s="1"/>
  <c r="E9" i="2"/>
  <c r="D9" i="2"/>
  <c r="F8" i="2"/>
  <c r="F5" i="3" s="1"/>
  <c r="E8" i="2"/>
  <c r="D8" i="2"/>
  <c r="G7" i="2"/>
  <c r="E5" i="4" s="1"/>
  <c r="F7" i="2"/>
  <c r="E5" i="3" s="1"/>
  <c r="E7" i="2"/>
  <c r="H6" i="2"/>
  <c r="D5" i="5" s="1"/>
  <c r="G6" i="2"/>
  <c r="D5" i="4" s="1"/>
  <c r="F6" i="2"/>
  <c r="D5" i="3" s="1"/>
  <c r="H5" i="2"/>
  <c r="C5" i="5" s="1"/>
  <c r="G5" i="2"/>
  <c r="C5" i="4" s="1"/>
  <c r="A5" i="2"/>
  <c r="H4" i="2"/>
  <c r="C4" i="2"/>
  <c r="A5" i="20" s="1"/>
  <c r="A159" i="20" s="1"/>
  <c r="K132" i="10" l="1"/>
  <c r="J132" i="10"/>
  <c r="I132" i="10"/>
  <c r="J132" i="11"/>
  <c r="K132" i="11"/>
  <c r="I132" i="11"/>
  <c r="I133" i="10"/>
  <c r="I133" i="16" s="1"/>
  <c r="J133" i="10"/>
  <c r="J133" i="16" s="1"/>
  <c r="K133" i="10"/>
  <c r="K133" i="16" s="1"/>
  <c r="K133" i="11"/>
  <c r="K133" i="17" s="1"/>
  <c r="J133" i="11"/>
  <c r="J133" i="17" s="1"/>
  <c r="I133" i="11"/>
  <c r="I133" i="17" s="1"/>
  <c r="J133" i="9"/>
  <c r="J133" i="18" s="1"/>
  <c r="K133" i="9"/>
  <c r="K133" i="18" s="1"/>
  <c r="K132" i="9"/>
  <c r="K132" i="18" s="1"/>
  <c r="J132" i="9"/>
  <c r="J132" i="18" s="1"/>
  <c r="H132" i="10"/>
  <c r="H22" i="9"/>
  <c r="H99" i="10"/>
  <c r="H133" i="10"/>
  <c r="H133" i="16" s="1"/>
  <c r="H23" i="9"/>
  <c r="H22" i="10"/>
  <c r="H100" i="9"/>
  <c r="H99" i="9"/>
  <c r="H23" i="10"/>
  <c r="H133" i="9"/>
  <c r="H133" i="18" s="1"/>
  <c r="I133" i="9"/>
  <c r="I133" i="18" s="1"/>
  <c r="H100" i="10"/>
  <c r="H132" i="9"/>
  <c r="H132" i="18" s="1"/>
  <c r="I132" i="9"/>
  <c r="I132" i="18" s="1"/>
  <c r="A156" i="20"/>
  <c r="A112" i="20"/>
  <c r="A145" i="20"/>
  <c r="A101" i="20"/>
  <c r="A134" i="20"/>
  <c r="A123" i="20"/>
  <c r="A88" i="20"/>
  <c r="A77" i="20"/>
  <c r="A132" i="20"/>
  <c r="A154" i="20"/>
  <c r="A143" i="20"/>
  <c r="A68" i="20"/>
  <c r="A46" i="20"/>
  <c r="A79" i="20"/>
  <c r="A35" i="20"/>
  <c r="A121" i="20"/>
  <c r="A110" i="20"/>
  <c r="A44" i="20"/>
  <c r="A66" i="20"/>
  <c r="A22" i="20"/>
  <c r="A11" i="20"/>
  <c r="A165" i="20" s="1"/>
  <c r="H188" i="10"/>
  <c r="H177" i="10" s="1"/>
  <c r="I177" i="10" s="1"/>
  <c r="A53" i="18"/>
  <c r="A53" i="17"/>
  <c r="A60" i="18"/>
  <c r="A60" i="17"/>
  <c r="A85" i="18"/>
  <c r="A85" i="17"/>
  <c r="A108" i="17"/>
  <c r="A108" i="18"/>
  <c r="A141" i="17"/>
  <c r="A141" i="18"/>
  <c r="A147" i="18"/>
  <c r="A147" i="17"/>
  <c r="A13" i="17"/>
  <c r="A13" i="18"/>
  <c r="A30" i="17"/>
  <c r="A30" i="18"/>
  <c r="A32" i="18"/>
  <c r="A32" i="17"/>
  <c r="A38" i="17"/>
  <c r="A38" i="18"/>
  <c r="A55" i="18"/>
  <c r="A55" i="17"/>
  <c r="A56" i="18"/>
  <c r="A56" i="17"/>
  <c r="A57" i="18"/>
  <c r="A57" i="17"/>
  <c r="A81" i="18"/>
  <c r="A81" i="17"/>
  <c r="A89" i="17"/>
  <c r="A89" i="18"/>
  <c r="A91" i="18"/>
  <c r="A91" i="17"/>
  <c r="A138" i="18"/>
  <c r="A138" i="17"/>
  <c r="A146" i="18"/>
  <c r="A146" i="17"/>
  <c r="A153" i="18"/>
  <c r="A153" i="17"/>
  <c r="A36" i="17"/>
  <c r="A36" i="18"/>
  <c r="A52" i="17"/>
  <c r="A52" i="18"/>
  <c r="A59" i="18"/>
  <c r="A59" i="17"/>
  <c r="A84" i="18"/>
  <c r="A84" i="17"/>
  <c r="A114" i="18"/>
  <c r="A114" i="17"/>
  <c r="A139" i="18"/>
  <c r="A139" i="17"/>
  <c r="A148" i="18"/>
  <c r="A148" i="17"/>
  <c r="A23" i="18"/>
  <c r="A23" i="17"/>
  <c r="A24" i="18"/>
  <c r="A24" i="17"/>
  <c r="A25" i="18"/>
  <c r="A25" i="17"/>
  <c r="A31" i="18"/>
  <c r="A31" i="17"/>
  <c r="A41" i="17"/>
  <c r="A41" i="18"/>
  <c r="A54" i="18"/>
  <c r="A54" i="17"/>
  <c r="A72" i="17"/>
  <c r="A72" i="18"/>
  <c r="A82" i="18"/>
  <c r="A82" i="17"/>
  <c r="A86" i="18"/>
  <c r="A86" i="17"/>
  <c r="A104" i="17"/>
  <c r="A104" i="18"/>
  <c r="A121" i="18"/>
  <c r="A110" i="18"/>
  <c r="A121" i="17"/>
  <c r="A110" i="17"/>
  <c r="A128" i="17"/>
  <c r="A128" i="18"/>
  <c r="A142" i="18"/>
  <c r="A142" i="17"/>
  <c r="A157" i="17"/>
  <c r="A157" i="18"/>
  <c r="A6" i="17"/>
  <c r="A6" i="18"/>
  <c r="A21" i="17"/>
  <c r="A21" i="18"/>
  <c r="A28" i="18"/>
  <c r="A28" i="17"/>
  <c r="A83" i="18"/>
  <c r="A83" i="17"/>
  <c r="A99" i="18"/>
  <c r="A99" i="17"/>
  <c r="A145" i="18"/>
  <c r="A156" i="17"/>
  <c r="A112" i="17"/>
  <c r="A156" i="18"/>
  <c r="A145" i="17"/>
  <c r="A101" i="18"/>
  <c r="A134" i="18"/>
  <c r="A123" i="18"/>
  <c r="A123" i="17"/>
  <c r="A101" i="17"/>
  <c r="A112" i="18"/>
  <c r="A134" i="17"/>
  <c r="A107" i="18"/>
  <c r="A107" i="17"/>
  <c r="A116" i="17"/>
  <c r="A116" i="18"/>
  <c r="A149" i="18"/>
  <c r="A149" i="17"/>
  <c r="A4" i="17"/>
  <c r="A4" i="18"/>
  <c r="A27" i="18"/>
  <c r="A27" i="17"/>
  <c r="A65" i="18"/>
  <c r="A65" i="17"/>
  <c r="A131" i="18"/>
  <c r="A131" i="17"/>
  <c r="A7" i="17"/>
  <c r="A7" i="18"/>
  <c r="A9" i="18"/>
  <c r="A9" i="17"/>
  <c r="A10" i="18"/>
  <c r="A10" i="17"/>
  <c r="A12" i="18"/>
  <c r="A12" i="17"/>
  <c r="A17" i="18"/>
  <c r="A17" i="17"/>
  <c r="A39" i="18"/>
  <c r="A39" i="17"/>
  <c r="A40" i="17"/>
  <c r="A40" i="18"/>
  <c r="A49" i="18"/>
  <c r="A49" i="17"/>
  <c r="A58" i="18"/>
  <c r="A58" i="17"/>
  <c r="A63" i="18"/>
  <c r="A63" i="17"/>
  <c r="A64" i="18"/>
  <c r="A64" i="17"/>
  <c r="A78" i="17"/>
  <c r="A78" i="18"/>
  <c r="A90" i="18"/>
  <c r="A90" i="17"/>
  <c r="A94" i="17"/>
  <c r="A94" i="18"/>
  <c r="A98" i="18"/>
  <c r="A98" i="17"/>
  <c r="A111" i="17"/>
  <c r="A111" i="18"/>
  <c r="A120" i="17"/>
  <c r="A120" i="18"/>
  <c r="A125" i="17"/>
  <c r="A125" i="18"/>
  <c r="A126" i="18"/>
  <c r="A126" i="17"/>
  <c r="A127" i="18"/>
  <c r="A127" i="17"/>
  <c r="A151" i="18"/>
  <c r="A151" i="17"/>
  <c r="A14" i="17"/>
  <c r="A14" i="18"/>
  <c r="A43" i="18"/>
  <c r="A43" i="17"/>
  <c r="A45" i="17"/>
  <c r="A45" i="18"/>
  <c r="A88" i="18"/>
  <c r="A88" i="17"/>
  <c r="A77" i="17"/>
  <c r="A77" i="18"/>
  <c r="A92" i="17"/>
  <c r="A92" i="18"/>
  <c r="A115" i="18"/>
  <c r="A115" i="17"/>
  <c r="A132" i="17"/>
  <c r="A132" i="18"/>
  <c r="A154" i="18"/>
  <c r="A154" i="17"/>
  <c r="A143" i="17"/>
  <c r="A143" i="18"/>
  <c r="A46" i="18"/>
  <c r="A35" i="18"/>
  <c r="A68" i="17"/>
  <c r="A68" i="18"/>
  <c r="A79" i="18"/>
  <c r="A46" i="17"/>
  <c r="A79" i="17"/>
  <c r="A35" i="17"/>
  <c r="A96" i="17"/>
  <c r="A96" i="18"/>
  <c r="A102" i="18"/>
  <c r="A102" i="17"/>
  <c r="A103" i="18"/>
  <c r="A103" i="17"/>
  <c r="A136" i="17"/>
  <c r="A136" i="18"/>
  <c r="A155" i="18"/>
  <c r="A155" i="17"/>
  <c r="A26" i="18"/>
  <c r="A26" i="17"/>
  <c r="A42" i="18"/>
  <c r="A42" i="17"/>
  <c r="A51" i="17"/>
  <c r="A51" i="18"/>
  <c r="A140" i="17"/>
  <c r="A140" i="18"/>
  <c r="A150" i="18"/>
  <c r="A150" i="17"/>
  <c r="A18" i="18"/>
  <c r="A18" i="17"/>
  <c r="A34" i="18"/>
  <c r="A34" i="17"/>
  <c r="A47" i="18"/>
  <c r="A47" i="17"/>
  <c r="A50" i="18"/>
  <c r="A50" i="17"/>
  <c r="A70" i="18"/>
  <c r="A70" i="17"/>
  <c r="A73" i="18"/>
  <c r="A73" i="17"/>
  <c r="A87" i="18"/>
  <c r="A87" i="17"/>
  <c r="A109" i="18"/>
  <c r="A109" i="17"/>
  <c r="A118" i="18"/>
  <c r="A118" i="17"/>
  <c r="A119" i="18"/>
  <c r="A119" i="17"/>
  <c r="A122" i="17"/>
  <c r="A122" i="18"/>
  <c r="A137" i="18"/>
  <c r="A137" i="17"/>
  <c r="A5" i="18"/>
  <c r="A5" i="17"/>
  <c r="A44" i="17"/>
  <c r="A44" i="18"/>
  <c r="A11" i="18"/>
  <c r="A22" i="17"/>
  <c r="A11" i="17"/>
  <c r="A66" i="18"/>
  <c r="A22" i="18"/>
  <c r="A66" i="17"/>
  <c r="A29" i="17"/>
  <c r="A29" i="18"/>
  <c r="A67" i="18"/>
  <c r="A67" i="17"/>
  <c r="A69" i="17"/>
  <c r="A69" i="18"/>
  <c r="A76" i="17"/>
  <c r="A76" i="18"/>
  <c r="A93" i="18"/>
  <c r="A93" i="17"/>
  <c r="A100" i="17"/>
  <c r="A100" i="18"/>
  <c r="A105" i="17"/>
  <c r="A105" i="18"/>
  <c r="A106" i="17"/>
  <c r="A106" i="18"/>
  <c r="A113" i="18"/>
  <c r="A113" i="17"/>
  <c r="A133" i="17"/>
  <c r="A133" i="18"/>
  <c r="A20" i="18"/>
  <c r="A20" i="17"/>
  <c r="A74" i="18"/>
  <c r="A74" i="17"/>
  <c r="A75" i="18"/>
  <c r="A75" i="17"/>
  <c r="A124" i="17"/>
  <c r="A124" i="18"/>
  <c r="A8" i="17"/>
  <c r="A8" i="18"/>
  <c r="A15" i="18"/>
  <c r="A15" i="17"/>
  <c r="A16" i="18"/>
  <c r="A16" i="17"/>
  <c r="A19" i="18"/>
  <c r="A19" i="17"/>
  <c r="A33" i="18"/>
  <c r="A33" i="17"/>
  <c r="A37" i="17"/>
  <c r="A37" i="18"/>
  <c r="A61" i="18"/>
  <c r="A61" i="17"/>
  <c r="A62" i="18"/>
  <c r="A62" i="17"/>
  <c r="A71" i="17"/>
  <c r="A71" i="18"/>
  <c r="A80" i="18"/>
  <c r="A80" i="17"/>
  <c r="A95" i="18"/>
  <c r="A95" i="17"/>
  <c r="A97" i="17"/>
  <c r="A97" i="18"/>
  <c r="A117" i="18"/>
  <c r="A117" i="17"/>
  <c r="A129" i="18"/>
  <c r="A129" i="17"/>
  <c r="A130" i="17"/>
  <c r="A130" i="18"/>
  <c r="A135" i="17"/>
  <c r="A135" i="18"/>
  <c r="A144" i="17"/>
  <c r="A144" i="18"/>
  <c r="A152" i="18"/>
  <c r="A152" i="17"/>
  <c r="G165" i="10"/>
  <c r="D165" i="10"/>
  <c r="B163" i="10"/>
  <c r="B167" i="10"/>
  <c r="F165" i="10"/>
  <c r="D188" i="10"/>
  <c r="D177" i="10" s="1"/>
  <c r="A14" i="16"/>
  <c r="A14" i="10"/>
  <c r="A168" i="10" s="1"/>
  <c r="A43" i="16"/>
  <c r="A43" i="10"/>
  <c r="A53" i="16"/>
  <c r="A53" i="10"/>
  <c r="A60" i="16"/>
  <c r="A60" i="10"/>
  <c r="A88" i="10"/>
  <c r="A77" i="10"/>
  <c r="A85" i="16"/>
  <c r="A85" i="10"/>
  <c r="A92" i="16"/>
  <c r="A92" i="10"/>
  <c r="A154" i="10"/>
  <c r="A143" i="10"/>
  <c r="A132" i="10"/>
  <c r="A13" i="16"/>
  <c r="A13" i="10"/>
  <c r="A167" i="10" s="1"/>
  <c r="A32" i="16"/>
  <c r="A32" i="10"/>
  <c r="A186" i="10" s="1"/>
  <c r="A56" i="16"/>
  <c r="A56" i="10"/>
  <c r="A57" i="16"/>
  <c r="A57" i="10"/>
  <c r="A81" i="16"/>
  <c r="A81" i="10"/>
  <c r="A89" i="16"/>
  <c r="A89" i="10"/>
  <c r="A91" i="16"/>
  <c r="A91" i="10"/>
  <c r="A96" i="16"/>
  <c r="A96" i="10"/>
  <c r="A102" i="16"/>
  <c r="A102" i="10"/>
  <c r="A103" i="16"/>
  <c r="A103" i="10"/>
  <c r="A136" i="16"/>
  <c r="A136" i="10"/>
  <c r="A138" i="16"/>
  <c r="A138" i="10"/>
  <c r="A146" i="16"/>
  <c r="A146" i="10"/>
  <c r="A153" i="16"/>
  <c r="A153" i="10"/>
  <c r="A155" i="16"/>
  <c r="A155" i="10"/>
  <c r="A26" i="16"/>
  <c r="A26" i="10"/>
  <c r="A36" i="16"/>
  <c r="A36" i="10"/>
  <c r="A190" i="10" s="1"/>
  <c r="A42" i="16"/>
  <c r="A42" i="10"/>
  <c r="A51" i="16"/>
  <c r="A51" i="10"/>
  <c r="A52" i="16"/>
  <c r="A52" i="10"/>
  <c r="A59" i="16"/>
  <c r="A59" i="10"/>
  <c r="A84" i="16"/>
  <c r="A84" i="10"/>
  <c r="B99" i="10"/>
  <c r="A114" i="16"/>
  <c r="A114" i="10"/>
  <c r="A139" i="16"/>
  <c r="A139" i="10"/>
  <c r="A140" i="16"/>
  <c r="A140" i="10"/>
  <c r="A150" i="16"/>
  <c r="A150" i="10"/>
  <c r="A148" i="16"/>
  <c r="A148" i="10"/>
  <c r="A18" i="16"/>
  <c r="A18" i="10"/>
  <c r="A172" i="10" s="1"/>
  <c r="A23" i="16"/>
  <c r="A23" i="10"/>
  <c r="A24" i="16"/>
  <c r="A24" i="10"/>
  <c r="A178" i="10" s="1"/>
  <c r="A25" i="16"/>
  <c r="A25" i="10"/>
  <c r="A179" i="10" s="1"/>
  <c r="A31" i="16"/>
  <c r="A31" i="10"/>
  <c r="A185" i="10" s="1"/>
  <c r="A34" i="16"/>
  <c r="A34" i="10"/>
  <c r="A41" i="16"/>
  <c r="A41" i="10"/>
  <c r="A47" i="16"/>
  <c r="A47" i="10"/>
  <c r="A50" i="16"/>
  <c r="A50" i="10"/>
  <c r="A54" i="16"/>
  <c r="A54" i="10"/>
  <c r="A70" i="16"/>
  <c r="A70" i="10"/>
  <c r="A72" i="16"/>
  <c r="A72" i="10"/>
  <c r="A73" i="16"/>
  <c r="A73" i="10"/>
  <c r="A82" i="16"/>
  <c r="A82" i="10"/>
  <c r="A86" i="16"/>
  <c r="A86" i="10"/>
  <c r="A87" i="16"/>
  <c r="A87" i="10"/>
  <c r="B100" i="10"/>
  <c r="A104" i="16"/>
  <c r="A104" i="10"/>
  <c r="A109" i="16"/>
  <c r="A109" i="10"/>
  <c r="A121" i="10"/>
  <c r="A110" i="10"/>
  <c r="A118" i="16"/>
  <c r="A118" i="10"/>
  <c r="A119" i="16"/>
  <c r="A119" i="10"/>
  <c r="A122" i="16"/>
  <c r="A122" i="10"/>
  <c r="A128" i="16"/>
  <c r="A128" i="10"/>
  <c r="A137" i="16"/>
  <c r="A137" i="10"/>
  <c r="A142" i="16"/>
  <c r="A142" i="10"/>
  <c r="A157" i="16"/>
  <c r="A157" i="10"/>
  <c r="B161" i="10"/>
  <c r="B164" i="10"/>
  <c r="B162" i="10"/>
  <c r="B168" i="10"/>
  <c r="A115" i="16"/>
  <c r="A115" i="10"/>
  <c r="A141" i="16"/>
  <c r="A141" i="10"/>
  <c r="A147" i="16"/>
  <c r="A147" i="10"/>
  <c r="A55" i="16"/>
  <c r="A55" i="10"/>
  <c r="A5" i="16"/>
  <c r="A5" i="10"/>
  <c r="A159" i="10" s="1"/>
  <c r="A6" i="16"/>
  <c r="A6" i="10"/>
  <c r="A160" i="10" s="1"/>
  <c r="A21" i="16"/>
  <c r="A21" i="10"/>
  <c r="A175" i="10" s="1"/>
  <c r="A28" i="16"/>
  <c r="A28" i="10"/>
  <c r="A182" i="10" s="1"/>
  <c r="A83" i="16"/>
  <c r="A83" i="10"/>
  <c r="A99" i="16"/>
  <c r="A99" i="10"/>
  <c r="A112" i="10"/>
  <c r="A101" i="10"/>
  <c r="A156" i="10"/>
  <c r="A145" i="10"/>
  <c r="A134" i="10"/>
  <c r="A123" i="10"/>
  <c r="A107" i="16"/>
  <c r="A107" i="10"/>
  <c r="A116" i="16"/>
  <c r="A116" i="10"/>
  <c r="A149" i="16"/>
  <c r="A149" i="10"/>
  <c r="A4" i="16"/>
  <c r="A4" i="10"/>
  <c r="A27" i="16"/>
  <c r="A27" i="10"/>
  <c r="A181" i="10" s="1"/>
  <c r="A65" i="16"/>
  <c r="A65" i="10"/>
  <c r="A131" i="16"/>
  <c r="A131" i="10"/>
  <c r="A7" i="16"/>
  <c r="A7" i="10"/>
  <c r="A161" i="10" s="1"/>
  <c r="A9" i="16"/>
  <c r="A9" i="10"/>
  <c r="A163" i="10" s="1"/>
  <c r="A10" i="16"/>
  <c r="A10" i="10"/>
  <c r="A164" i="10" s="1"/>
  <c r="A12" i="16"/>
  <c r="A12" i="10"/>
  <c r="A17" i="16"/>
  <c r="A17" i="10"/>
  <c r="A171" i="10" s="1"/>
  <c r="B22" i="10"/>
  <c r="A39" i="16"/>
  <c r="A39" i="10"/>
  <c r="A40" i="16"/>
  <c r="A40" i="10"/>
  <c r="A49" i="16"/>
  <c r="A49" i="10"/>
  <c r="A58" i="16"/>
  <c r="A58" i="10"/>
  <c r="A63" i="16"/>
  <c r="A63" i="10"/>
  <c r="A64" i="16"/>
  <c r="A64" i="10"/>
  <c r="A78" i="16"/>
  <c r="A78" i="10"/>
  <c r="A90" i="16"/>
  <c r="A90" i="10"/>
  <c r="A94" i="16"/>
  <c r="A94" i="10"/>
  <c r="A98" i="16"/>
  <c r="A98" i="10"/>
  <c r="A111" i="16"/>
  <c r="A111" i="10"/>
  <c r="A120" i="16"/>
  <c r="A120" i="10"/>
  <c r="A125" i="16"/>
  <c r="A125" i="10"/>
  <c r="A126" i="16"/>
  <c r="A126" i="10"/>
  <c r="A127" i="16"/>
  <c r="A127" i="10"/>
  <c r="B133" i="10"/>
  <c r="A151" i="16"/>
  <c r="A151" i="10"/>
  <c r="B159" i="10"/>
  <c r="B160" i="10"/>
  <c r="C165" i="10"/>
  <c r="A45" i="16"/>
  <c r="A45" i="10"/>
  <c r="A108" i="16"/>
  <c r="A108" i="10"/>
  <c r="A79" i="10"/>
  <c r="A68" i="10"/>
  <c r="A46" i="10"/>
  <c r="A35" i="10"/>
  <c r="A189" i="10" s="1"/>
  <c r="A30" i="16"/>
  <c r="A30" i="10"/>
  <c r="A184" i="10" s="1"/>
  <c r="A38" i="16"/>
  <c r="A38" i="10"/>
  <c r="A66" i="10"/>
  <c r="A22" i="10"/>
  <c r="A176" i="10" s="1"/>
  <c r="A11" i="10"/>
  <c r="A165" i="10" s="1"/>
  <c r="A44" i="10"/>
  <c r="A29" i="16"/>
  <c r="A29" i="10"/>
  <c r="A183" i="10" s="1"/>
  <c r="A67" i="16"/>
  <c r="A67" i="10"/>
  <c r="A69" i="16"/>
  <c r="A69" i="10"/>
  <c r="A76" i="16"/>
  <c r="A76" i="10"/>
  <c r="A93" i="16"/>
  <c r="A93" i="10"/>
  <c r="A100" i="16"/>
  <c r="A100" i="10"/>
  <c r="A105" i="16"/>
  <c r="A105" i="10"/>
  <c r="A106" i="16"/>
  <c r="A106" i="10"/>
  <c r="A113" i="16"/>
  <c r="A113" i="10"/>
  <c r="A133" i="16"/>
  <c r="A133" i="10"/>
  <c r="A20" i="16"/>
  <c r="A20" i="10"/>
  <c r="A174" i="10" s="1"/>
  <c r="A74" i="16"/>
  <c r="A74" i="10"/>
  <c r="A75" i="16"/>
  <c r="A75" i="10"/>
  <c r="A124" i="16"/>
  <c r="A124" i="10"/>
  <c r="A8" i="16"/>
  <c r="A8" i="10"/>
  <c r="A162" i="10" s="1"/>
  <c r="A15" i="16"/>
  <c r="A15" i="10"/>
  <c r="A16" i="16"/>
  <c r="A16" i="10"/>
  <c r="A170" i="10" s="1"/>
  <c r="A19" i="16"/>
  <c r="A19" i="10"/>
  <c r="A173" i="10" s="1"/>
  <c r="B23" i="10"/>
  <c r="A33" i="16"/>
  <c r="A33" i="10"/>
  <c r="A187" i="10" s="1"/>
  <c r="A37" i="16"/>
  <c r="A37" i="10"/>
  <c r="A61" i="16"/>
  <c r="A61" i="10"/>
  <c r="A62" i="16"/>
  <c r="A62" i="10"/>
  <c r="A71" i="16"/>
  <c r="A71" i="10"/>
  <c r="A80" i="16"/>
  <c r="A80" i="10"/>
  <c r="A95" i="16"/>
  <c r="A95" i="10"/>
  <c r="A97" i="16"/>
  <c r="A97" i="10"/>
  <c r="A117" i="16"/>
  <c r="A117" i="10"/>
  <c r="A129" i="16"/>
  <c r="A129" i="10"/>
  <c r="A130" i="16"/>
  <c r="A130" i="10"/>
  <c r="A135" i="16"/>
  <c r="A135" i="10"/>
  <c r="A144" i="16"/>
  <c r="A144" i="10"/>
  <c r="A152" i="16"/>
  <c r="A152" i="10"/>
  <c r="B166" i="10"/>
  <c r="E165" i="10"/>
  <c r="E188" i="10"/>
  <c r="E177" i="10" s="1"/>
  <c r="G188" i="10"/>
  <c r="G177" i="10" s="1"/>
  <c r="C188" i="10"/>
  <c r="C177" i="10" s="1"/>
  <c r="F188" i="10"/>
  <c r="F177" i="10" s="1"/>
  <c r="A88" i="16"/>
  <c r="A77" i="16"/>
  <c r="A154" i="16"/>
  <c r="A143" i="16"/>
  <c r="A132" i="16"/>
  <c r="A46" i="16"/>
  <c r="A79" i="16"/>
  <c r="A35" i="16"/>
  <c r="A68" i="16"/>
  <c r="A110" i="16"/>
  <c r="A121" i="16"/>
  <c r="A134" i="16"/>
  <c r="A123" i="16"/>
  <c r="A156" i="16"/>
  <c r="A112" i="16"/>
  <c r="A145" i="16"/>
  <c r="A101" i="16"/>
  <c r="A66" i="16"/>
  <c r="A22" i="16"/>
  <c r="A11" i="16"/>
  <c r="A44" i="16"/>
  <c r="G165" i="9"/>
  <c r="B13" i="4"/>
  <c r="B18" i="4"/>
  <c r="E23" i="4"/>
  <c r="H23" i="4"/>
  <c r="A43" i="9"/>
  <c r="A43" i="13"/>
  <c r="A43" i="11"/>
  <c r="A43" i="12"/>
  <c r="B51" i="4"/>
  <c r="A53" i="9"/>
  <c r="A53" i="13"/>
  <c r="A53" i="12"/>
  <c r="A53" i="11"/>
  <c r="A60" i="9"/>
  <c r="A60" i="12"/>
  <c r="A60" i="11"/>
  <c r="A60" i="13"/>
  <c r="B71" i="4"/>
  <c r="A77" i="13"/>
  <c r="A88" i="12"/>
  <c r="A88" i="11"/>
  <c r="A77" i="12"/>
  <c r="A77" i="11"/>
  <c r="A88" i="13"/>
  <c r="A85" i="9"/>
  <c r="A85" i="13"/>
  <c r="A85" i="12"/>
  <c r="A85" i="11"/>
  <c r="A92" i="9"/>
  <c r="A92" i="12"/>
  <c r="A92" i="11"/>
  <c r="A92" i="13"/>
  <c r="C99" i="5"/>
  <c r="C99" i="11"/>
  <c r="D99" i="5"/>
  <c r="D99" i="11"/>
  <c r="C100" i="4"/>
  <c r="B113" i="4"/>
  <c r="C133" i="5"/>
  <c r="C133" i="11"/>
  <c r="C133" i="17" s="1"/>
  <c r="B98" i="5"/>
  <c r="B98" i="11"/>
  <c r="E132" i="4"/>
  <c r="E133" i="5"/>
  <c r="E133" i="11"/>
  <c r="E133" i="17" s="1"/>
  <c r="B8" i="5"/>
  <c r="B8" i="11"/>
  <c r="B17" i="4"/>
  <c r="F22" i="5"/>
  <c r="F22" i="11"/>
  <c r="H22" i="5"/>
  <c r="H22" i="11"/>
  <c r="D23" i="4"/>
  <c r="A30" i="9"/>
  <c r="A184" i="9" s="1"/>
  <c r="A30" i="13"/>
  <c r="A30" i="11"/>
  <c r="A184" i="11" s="1"/>
  <c r="A30" i="12"/>
  <c r="A56" i="9"/>
  <c r="A56" i="12"/>
  <c r="A56" i="11"/>
  <c r="A56" i="13"/>
  <c r="A57" i="9"/>
  <c r="A57" i="13"/>
  <c r="A57" i="12"/>
  <c r="A57" i="11"/>
  <c r="B60" i="5"/>
  <c r="B60" i="11"/>
  <c r="B61" i="5"/>
  <c r="B61" i="11"/>
  <c r="B62" i="5"/>
  <c r="B62" i="11"/>
  <c r="B63" i="4"/>
  <c r="B71" i="5"/>
  <c r="B71" i="11"/>
  <c r="B78" i="4"/>
  <c r="B80" i="5"/>
  <c r="B80" i="11"/>
  <c r="A81" i="9"/>
  <c r="A81" i="13"/>
  <c r="A81" i="12"/>
  <c r="A81" i="11"/>
  <c r="B84" i="4"/>
  <c r="A89" i="9"/>
  <c r="A89" i="13"/>
  <c r="A89" i="12"/>
  <c r="A89" i="11"/>
  <c r="A91" i="9"/>
  <c r="A91" i="13"/>
  <c r="A91" i="11"/>
  <c r="A91" i="12"/>
  <c r="B93" i="5"/>
  <c r="B93" i="11"/>
  <c r="B94" i="4"/>
  <c r="B95" i="5"/>
  <c r="B95" i="11"/>
  <c r="A96" i="9"/>
  <c r="A96" i="12"/>
  <c r="A96" i="11"/>
  <c r="A96" i="13"/>
  <c r="B97" i="5"/>
  <c r="B97" i="11"/>
  <c r="F100" i="5"/>
  <c r="F100" i="11"/>
  <c r="G100" i="5"/>
  <c r="G100" i="11"/>
  <c r="H100" i="4"/>
  <c r="A102" i="9"/>
  <c r="A102" i="12"/>
  <c r="A102" i="11"/>
  <c r="A102" i="13"/>
  <c r="A103" i="9"/>
  <c r="A103" i="13"/>
  <c r="A103" i="12"/>
  <c r="A103" i="11"/>
  <c r="B107" i="4"/>
  <c r="B108" i="4"/>
  <c r="B116" i="4"/>
  <c r="B117" i="5"/>
  <c r="B117" i="11"/>
  <c r="B126" i="4"/>
  <c r="B127" i="4"/>
  <c r="B129" i="5"/>
  <c r="B129" i="11"/>
  <c r="B132" i="4"/>
  <c r="G132" i="5"/>
  <c r="G132" i="11"/>
  <c r="F133" i="5"/>
  <c r="F133" i="11"/>
  <c r="F133" i="17" s="1"/>
  <c r="B135" i="5"/>
  <c r="B135" i="11"/>
  <c r="A136" i="9"/>
  <c r="A136" i="12"/>
  <c r="A136" i="11"/>
  <c r="A136" i="13"/>
  <c r="A138" i="9"/>
  <c r="A138" i="13"/>
  <c r="A138" i="12"/>
  <c r="A138" i="11"/>
  <c r="B144" i="5"/>
  <c r="B144" i="11"/>
  <c r="A146" i="9"/>
  <c r="A146" i="13"/>
  <c r="A146" i="12"/>
  <c r="A146" i="11"/>
  <c r="B151" i="4"/>
  <c r="B152" i="5"/>
  <c r="B152" i="11"/>
  <c r="A153" i="9"/>
  <c r="A153" i="13"/>
  <c r="A153" i="12"/>
  <c r="A153" i="11"/>
  <c r="A155" i="9"/>
  <c r="A155" i="11"/>
  <c r="A155" i="13"/>
  <c r="A155" i="12"/>
  <c r="B5" i="5"/>
  <c r="B5" i="11"/>
  <c r="B10" i="4"/>
  <c r="B21" i="5"/>
  <c r="B21" i="11"/>
  <c r="D22" i="4"/>
  <c r="E22" i="5"/>
  <c r="E22" i="11"/>
  <c r="F23" i="4"/>
  <c r="A26" i="9"/>
  <c r="A26" i="13"/>
  <c r="A26" i="12"/>
  <c r="A26" i="11"/>
  <c r="B28" i="5"/>
  <c r="B28" i="11"/>
  <c r="B35" i="4"/>
  <c r="A36" i="9"/>
  <c r="A190" i="9" s="1"/>
  <c r="A36" i="12"/>
  <c r="A36" i="11"/>
  <c r="A190" i="11" s="1"/>
  <c r="A36" i="13"/>
  <c r="A42" i="9"/>
  <c r="A42" i="13"/>
  <c r="A42" i="12"/>
  <c r="A42" i="11"/>
  <c r="B49" i="4"/>
  <c r="B50" i="5"/>
  <c r="B50" i="11"/>
  <c r="A51" i="9"/>
  <c r="A51" i="13"/>
  <c r="A51" i="12"/>
  <c r="A51" i="11"/>
  <c r="A52" i="9"/>
  <c r="A52" i="12"/>
  <c r="A52" i="11"/>
  <c r="A52" i="13"/>
  <c r="A59" i="9"/>
  <c r="A59" i="13"/>
  <c r="A59" i="12"/>
  <c r="A59" i="11"/>
  <c r="B67" i="5"/>
  <c r="B67" i="11"/>
  <c r="B69" i="5"/>
  <c r="B69" i="11"/>
  <c r="B73" i="5"/>
  <c r="B73" i="11"/>
  <c r="B74" i="4"/>
  <c r="B83" i="4"/>
  <c r="A84" i="9"/>
  <c r="A84" i="12"/>
  <c r="A84" i="11"/>
  <c r="A84" i="13"/>
  <c r="B99" i="4"/>
  <c r="C99" i="4"/>
  <c r="D99" i="4"/>
  <c r="D100" i="4"/>
  <c r="B105" i="4"/>
  <c r="B106" i="5"/>
  <c r="B106" i="11"/>
  <c r="B107" i="5"/>
  <c r="B107" i="11"/>
  <c r="A114" i="9"/>
  <c r="A114" i="12"/>
  <c r="A114" i="13"/>
  <c r="A114" i="11"/>
  <c r="B124" i="5"/>
  <c r="B124" i="11"/>
  <c r="B131" i="4"/>
  <c r="C132" i="5"/>
  <c r="C132" i="11"/>
  <c r="D133" i="5"/>
  <c r="D133" i="11"/>
  <c r="D133" i="17" s="1"/>
  <c r="A139" i="9"/>
  <c r="A139" i="12"/>
  <c r="A139" i="13"/>
  <c r="A139" i="11"/>
  <c r="A140" i="9"/>
  <c r="A140" i="12"/>
  <c r="A140" i="11"/>
  <c r="A140" i="13"/>
  <c r="B149" i="5"/>
  <c r="B149" i="11"/>
  <c r="A150" i="9"/>
  <c r="A150" i="13"/>
  <c r="A150" i="12"/>
  <c r="A150" i="11"/>
  <c r="B58" i="5"/>
  <c r="B58" i="11"/>
  <c r="B64" i="4"/>
  <c r="B72" i="4"/>
  <c r="B111" i="4"/>
  <c r="B129" i="4"/>
  <c r="F132" i="4"/>
  <c r="G133" i="4"/>
  <c r="A148" i="9"/>
  <c r="A148" i="12"/>
  <c r="A148" i="11"/>
  <c r="A148" i="13"/>
  <c r="B6" i="5"/>
  <c r="B6" i="11"/>
  <c r="B8" i="4"/>
  <c r="B14" i="4"/>
  <c r="B16" i="4"/>
  <c r="A18" i="9"/>
  <c r="A172" i="9" s="1"/>
  <c r="A18" i="12"/>
  <c r="A161" i="16" s="1"/>
  <c r="A18" i="11"/>
  <c r="A172" i="11" s="1"/>
  <c r="A18" i="13"/>
  <c r="A161" i="17" s="1"/>
  <c r="B22" i="5"/>
  <c r="B22" i="11"/>
  <c r="G22" i="5"/>
  <c r="G22" i="11"/>
  <c r="H22" i="4"/>
  <c r="A23" i="9"/>
  <c r="A23" i="13"/>
  <c r="A166" i="17" s="1"/>
  <c r="A23" i="11"/>
  <c r="A23" i="12"/>
  <c r="A166" i="16" s="1"/>
  <c r="C23" i="4"/>
  <c r="G23" i="5"/>
  <c r="G23" i="11"/>
  <c r="A24" i="9"/>
  <c r="A178" i="9" s="1"/>
  <c r="A24" i="12"/>
  <c r="A167" i="16" s="1"/>
  <c r="A24" i="11"/>
  <c r="A178" i="11" s="1"/>
  <c r="A24" i="13"/>
  <c r="A167" i="17" s="1"/>
  <c r="A25" i="9"/>
  <c r="A179" i="9" s="1"/>
  <c r="A25" i="13"/>
  <c r="A168" i="17" s="1"/>
  <c r="A25" i="12"/>
  <c r="A168" i="16" s="1"/>
  <c r="A25" i="11"/>
  <c r="A179" i="11" s="1"/>
  <c r="B28" i="4"/>
  <c r="B30" i="5"/>
  <c r="B30" i="11"/>
  <c r="A31" i="9"/>
  <c r="A185" i="9" s="1"/>
  <c r="A31" i="12"/>
  <c r="A31" i="11"/>
  <c r="A185" i="11" s="1"/>
  <c r="A31" i="13"/>
  <c r="B32" i="5"/>
  <c r="B32" i="11"/>
  <c r="A34" i="9"/>
  <c r="A34" i="13"/>
  <c r="A34" i="12"/>
  <c r="A34" i="11"/>
  <c r="B36" i="4"/>
  <c r="B38" i="5"/>
  <c r="B38" i="11"/>
  <c r="A41" i="9"/>
  <c r="A41" i="13"/>
  <c r="A41" i="12"/>
  <c r="A41" i="11"/>
  <c r="A47" i="9"/>
  <c r="A47" i="11"/>
  <c r="A47" i="12"/>
  <c r="A47" i="13"/>
  <c r="A50" i="9"/>
  <c r="A50" i="13"/>
  <c r="A50" i="12"/>
  <c r="A50" i="11"/>
  <c r="B52" i="4"/>
  <c r="B53" i="5"/>
  <c r="B53" i="11"/>
  <c r="A54" i="9"/>
  <c r="A54" i="13"/>
  <c r="A54" i="11"/>
  <c r="A54" i="12"/>
  <c r="B56" i="5"/>
  <c r="B56" i="11"/>
  <c r="B57" i="5"/>
  <c r="B57" i="11"/>
  <c r="B60" i="4"/>
  <c r="B61" i="4"/>
  <c r="B62" i="4"/>
  <c r="A70" i="9"/>
  <c r="A70" i="13"/>
  <c r="A70" i="11"/>
  <c r="A70" i="12"/>
  <c r="A72" i="9"/>
  <c r="A72" i="12"/>
  <c r="A72" i="11"/>
  <c r="A72" i="13"/>
  <c r="A73" i="9"/>
  <c r="A73" i="13"/>
  <c r="A73" i="12"/>
  <c r="A73" i="11"/>
  <c r="B80" i="4"/>
  <c r="A82" i="9"/>
  <c r="A82" i="13"/>
  <c r="A82" i="12"/>
  <c r="A82" i="11"/>
  <c r="B85" i="5"/>
  <c r="B85" i="11"/>
  <c r="A86" i="9"/>
  <c r="A86" i="13"/>
  <c r="A86" i="11"/>
  <c r="A86" i="12"/>
  <c r="A87" i="9"/>
  <c r="A87" i="12"/>
  <c r="A87" i="11"/>
  <c r="A87" i="13"/>
  <c r="B89" i="5"/>
  <c r="B89" i="11"/>
  <c r="B93" i="4"/>
  <c r="B95" i="4"/>
  <c r="B96" i="5"/>
  <c r="B96" i="11"/>
  <c r="G99" i="5"/>
  <c r="G99" i="11"/>
  <c r="H99" i="5"/>
  <c r="H99" i="11"/>
  <c r="B100" i="4"/>
  <c r="G100" i="4"/>
  <c r="B101" i="5"/>
  <c r="B101" i="11"/>
  <c r="B102" i="5"/>
  <c r="B102" i="11"/>
  <c r="A104" i="9"/>
  <c r="A104" i="11"/>
  <c r="A104" i="13"/>
  <c r="A104" i="12"/>
  <c r="A109" i="9"/>
  <c r="A109" i="11"/>
  <c r="A109" i="13"/>
  <c r="A109" i="12"/>
  <c r="A110" i="12"/>
  <c r="A121" i="11"/>
  <c r="A121" i="13"/>
  <c r="A110" i="11"/>
  <c r="A121" i="12"/>
  <c r="A110" i="13"/>
  <c r="B117" i="4"/>
  <c r="A118" i="9"/>
  <c r="A118" i="12"/>
  <c r="A118" i="11"/>
  <c r="A118" i="13"/>
  <c r="A119" i="9"/>
  <c r="A119" i="13"/>
  <c r="A119" i="12"/>
  <c r="A119" i="11"/>
  <c r="A122" i="9"/>
  <c r="A122" i="12"/>
  <c r="A122" i="13"/>
  <c r="A122" i="11"/>
  <c r="A128" i="9"/>
  <c r="A128" i="11"/>
  <c r="A128" i="13"/>
  <c r="A128" i="12"/>
  <c r="F132" i="5"/>
  <c r="F132" i="11"/>
  <c r="G132" i="4"/>
  <c r="B133" i="5"/>
  <c r="B133" i="11"/>
  <c r="B133" i="17" s="1"/>
  <c r="C133" i="4"/>
  <c r="G133" i="5"/>
  <c r="G133" i="11"/>
  <c r="G133" i="17" s="1"/>
  <c r="H133" i="5"/>
  <c r="H133" i="11"/>
  <c r="H133" i="17" s="1"/>
  <c r="B135" i="4"/>
  <c r="A137" i="9"/>
  <c r="A137" i="13"/>
  <c r="A137" i="12"/>
  <c r="A137" i="11"/>
  <c r="B141" i="5"/>
  <c r="B141" i="11"/>
  <c r="A142" i="9"/>
  <c r="A142" i="13"/>
  <c r="A142" i="12"/>
  <c r="A142" i="11"/>
  <c r="B144" i="4"/>
  <c r="B146" i="5"/>
  <c r="B146" i="11"/>
  <c r="B152" i="4"/>
  <c r="B153" i="5"/>
  <c r="B153" i="11"/>
  <c r="A157" i="9"/>
  <c r="A157" i="13"/>
  <c r="A157" i="12"/>
  <c r="A157" i="11"/>
  <c r="A14" i="9"/>
  <c r="A168" i="9" s="1"/>
  <c r="A14" i="12"/>
  <c r="A168" i="12" s="1"/>
  <c r="A14" i="11"/>
  <c r="A168" i="11" s="1"/>
  <c r="A14" i="13"/>
  <c r="A168" i="13" s="1"/>
  <c r="B20" i="4"/>
  <c r="G23" i="4"/>
  <c r="B34" i="4"/>
  <c r="B35" i="5"/>
  <c r="B35" i="11"/>
  <c r="B36" i="5"/>
  <c r="B36" i="11"/>
  <c r="B42" i="4"/>
  <c r="A45" i="9"/>
  <c r="A45" i="13"/>
  <c r="A45" i="12"/>
  <c r="A45" i="11"/>
  <c r="B52" i="5"/>
  <c r="B52" i="11"/>
  <c r="B65" i="4"/>
  <c r="B84" i="5"/>
  <c r="B84" i="11"/>
  <c r="B99" i="5"/>
  <c r="B99" i="11"/>
  <c r="B105" i="5"/>
  <c r="B105" i="11"/>
  <c r="A108" i="9"/>
  <c r="A108" i="11"/>
  <c r="A108" i="13"/>
  <c r="A108" i="12"/>
  <c r="B139" i="4"/>
  <c r="B140" i="5"/>
  <c r="B140" i="11"/>
  <c r="A141" i="9"/>
  <c r="A141" i="13"/>
  <c r="A141" i="12"/>
  <c r="A141" i="11"/>
  <c r="A147" i="9"/>
  <c r="A147" i="11"/>
  <c r="A147" i="13"/>
  <c r="A147" i="12"/>
  <c r="A13" i="9"/>
  <c r="A167" i="9" s="1"/>
  <c r="A13" i="11"/>
  <c r="A167" i="11" s="1"/>
  <c r="A13" i="13"/>
  <c r="A167" i="13" s="1"/>
  <c r="A13" i="12"/>
  <c r="A167" i="12" s="1"/>
  <c r="B74" i="5"/>
  <c r="B74" i="11"/>
  <c r="B146" i="4"/>
  <c r="B7" i="4"/>
  <c r="B16" i="5"/>
  <c r="B16" i="11"/>
  <c r="C23" i="5"/>
  <c r="C23" i="11"/>
  <c r="A38" i="9"/>
  <c r="A38" i="13"/>
  <c r="A38" i="11"/>
  <c r="A38" i="12"/>
  <c r="B43" i="4"/>
  <c r="A5" i="9"/>
  <c r="A159" i="9" s="1"/>
  <c r="A5" i="11"/>
  <c r="A159" i="11" s="1"/>
  <c r="A5" i="13"/>
  <c r="A159" i="13" s="1"/>
  <c r="A5" i="12"/>
  <c r="A159" i="12" s="1"/>
  <c r="A6" i="9"/>
  <c r="A160" i="9" s="1"/>
  <c r="A6" i="12"/>
  <c r="A160" i="12" s="1"/>
  <c r="A6" i="11"/>
  <c r="A160" i="11" s="1"/>
  <c r="A6" i="13"/>
  <c r="A160" i="13" s="1"/>
  <c r="B12" i="5"/>
  <c r="B12" i="11"/>
  <c r="B19" i="5"/>
  <c r="B19" i="11"/>
  <c r="A21" i="9"/>
  <c r="A175" i="9" s="1"/>
  <c r="A21" i="11"/>
  <c r="A175" i="11" s="1"/>
  <c r="A21" i="13"/>
  <c r="A164" i="17" s="1"/>
  <c r="A21" i="12"/>
  <c r="A164" i="16" s="1"/>
  <c r="E22" i="4"/>
  <c r="F22" i="4"/>
  <c r="G22" i="4"/>
  <c r="D23" i="5"/>
  <c r="D23" i="11"/>
  <c r="A28" i="9"/>
  <c r="A182" i="9" s="1"/>
  <c r="A28" i="12"/>
  <c r="A28" i="11"/>
  <c r="A182" i="11" s="1"/>
  <c r="A28" i="13"/>
  <c r="B40" i="4"/>
  <c r="B50" i="4"/>
  <c r="B57" i="4"/>
  <c r="B58" i="4"/>
  <c r="B67" i="4"/>
  <c r="B75" i="5"/>
  <c r="B75" i="11"/>
  <c r="B76" i="5"/>
  <c r="B76" i="11"/>
  <c r="A83" i="9"/>
  <c r="A83" i="13"/>
  <c r="A83" i="12"/>
  <c r="A83" i="11"/>
  <c r="B90" i="5"/>
  <c r="B90" i="11"/>
  <c r="A99" i="9"/>
  <c r="A99" i="13"/>
  <c r="A99" i="12"/>
  <c r="A99" i="11"/>
  <c r="B100" i="5"/>
  <c r="B100" i="11"/>
  <c r="F100" i="4"/>
  <c r="A145" i="13"/>
  <c r="A134" i="13"/>
  <c r="A123" i="13"/>
  <c r="A156" i="12"/>
  <c r="A156" i="11"/>
  <c r="A112" i="11"/>
  <c r="A112" i="13"/>
  <c r="A145" i="12"/>
  <c r="A134" i="12"/>
  <c r="A123" i="12"/>
  <c r="A145" i="11"/>
  <c r="A101" i="11"/>
  <c r="A112" i="12"/>
  <c r="A134" i="11"/>
  <c r="A101" i="12"/>
  <c r="A123" i="11"/>
  <c r="A101" i="13"/>
  <c r="A156" i="13"/>
  <c r="B106" i="4"/>
  <c r="A107" i="9"/>
  <c r="A107" i="13"/>
  <c r="A107" i="12"/>
  <c r="A107" i="11"/>
  <c r="A116" i="9"/>
  <c r="A116" i="11"/>
  <c r="A116" i="13"/>
  <c r="A116" i="12"/>
  <c r="B124" i="4"/>
  <c r="C132" i="4"/>
  <c r="D132" i="5"/>
  <c r="D132" i="11"/>
  <c r="D133" i="4"/>
  <c r="E133" i="4"/>
  <c r="B138" i="4"/>
  <c r="B148" i="5"/>
  <c r="B148" i="11"/>
  <c r="A149" i="9"/>
  <c r="A149" i="13"/>
  <c r="A149" i="12"/>
  <c r="A149" i="11"/>
  <c r="B157" i="5"/>
  <c r="B157" i="11"/>
  <c r="A4" i="9"/>
  <c r="A4" i="11"/>
  <c r="A4" i="13"/>
  <c r="A4" i="12"/>
  <c r="A27" i="9"/>
  <c r="A181" i="9" s="1"/>
  <c r="A27" i="13"/>
  <c r="A27" i="12"/>
  <c r="A27" i="11"/>
  <c r="A181" i="11" s="1"/>
  <c r="A65" i="9"/>
  <c r="A65" i="13"/>
  <c r="A65" i="12"/>
  <c r="A65" i="11"/>
  <c r="B90" i="4"/>
  <c r="B91" i="5"/>
  <c r="B91" i="11"/>
  <c r="B97" i="4"/>
  <c r="E100" i="4"/>
  <c r="B119" i="4"/>
  <c r="A131" i="9"/>
  <c r="A131" i="13"/>
  <c r="A131" i="12"/>
  <c r="A131" i="11"/>
  <c r="B137" i="4"/>
  <c r="B153" i="4"/>
  <c r="B155" i="5"/>
  <c r="B155" i="11"/>
  <c r="B5" i="4"/>
  <c r="B6" i="4"/>
  <c r="A7" i="9"/>
  <c r="A161" i="9" s="1"/>
  <c r="A7" i="13"/>
  <c r="A161" i="13" s="1"/>
  <c r="A7" i="12"/>
  <c r="A161" i="12" s="1"/>
  <c r="A7" i="11"/>
  <c r="A161" i="11" s="1"/>
  <c r="A9" i="9"/>
  <c r="A163" i="9" s="1"/>
  <c r="A9" i="11"/>
  <c r="A163" i="11" s="1"/>
  <c r="A9" i="13"/>
  <c r="A163" i="13" s="1"/>
  <c r="A9" i="12"/>
  <c r="A163" i="12" s="1"/>
  <c r="A10" i="9"/>
  <c r="A164" i="9" s="1"/>
  <c r="A10" i="12"/>
  <c r="A164" i="12" s="1"/>
  <c r="A10" i="13"/>
  <c r="A164" i="13" s="1"/>
  <c r="A10" i="11"/>
  <c r="A164" i="11" s="1"/>
  <c r="A12" i="9"/>
  <c r="A12" i="11"/>
  <c r="A12" i="13"/>
  <c r="A12" i="12"/>
  <c r="A17" i="9"/>
  <c r="A171" i="9" s="1"/>
  <c r="A17" i="11"/>
  <c r="A171" i="11" s="1"/>
  <c r="A17" i="13"/>
  <c r="A160" i="17" s="1"/>
  <c r="A17" i="12"/>
  <c r="A160" i="16" s="1"/>
  <c r="B18" i="5"/>
  <c r="B18" i="11"/>
  <c r="B22" i="4"/>
  <c r="C22" i="4"/>
  <c r="B23" i="5"/>
  <c r="B23" i="11"/>
  <c r="H23" i="5"/>
  <c r="H23" i="11"/>
  <c r="B24" i="5"/>
  <c r="B24" i="11"/>
  <c r="B25" i="5"/>
  <c r="B25" i="11"/>
  <c r="B30" i="4"/>
  <c r="B31" i="5"/>
  <c r="B31" i="11"/>
  <c r="B32" i="4"/>
  <c r="B38" i="4"/>
  <c r="A39" i="9"/>
  <c r="A39" i="11"/>
  <c r="A39" i="13"/>
  <c r="A39" i="12"/>
  <c r="A40" i="9"/>
  <c r="A40" i="12"/>
  <c r="A40" i="11"/>
  <c r="A40" i="13"/>
  <c r="B45" i="5"/>
  <c r="B45" i="11"/>
  <c r="B47" i="5"/>
  <c r="B47" i="11"/>
  <c r="A49" i="9"/>
  <c r="A49" i="13"/>
  <c r="A49" i="12"/>
  <c r="A49" i="11"/>
  <c r="B53" i="4"/>
  <c r="B54" i="5"/>
  <c r="B54" i="11"/>
  <c r="B56" i="4"/>
  <c r="A58" i="9"/>
  <c r="A58" i="13"/>
  <c r="A58" i="12"/>
  <c r="A58" i="11"/>
  <c r="A63" i="9"/>
  <c r="A63" i="12"/>
  <c r="A63" i="11"/>
  <c r="A63" i="13"/>
  <c r="A64" i="9"/>
  <c r="A64" i="12"/>
  <c r="A64" i="11"/>
  <c r="A64" i="13"/>
  <c r="B72" i="5"/>
  <c r="B72" i="11"/>
  <c r="A78" i="9"/>
  <c r="A78" i="13"/>
  <c r="A78" i="11"/>
  <c r="A78" i="12"/>
  <c r="B85" i="4"/>
  <c r="B86" i="5"/>
  <c r="B86" i="11"/>
  <c r="B87" i="5"/>
  <c r="B87" i="11"/>
  <c r="B89" i="4"/>
  <c r="A90" i="9"/>
  <c r="A90" i="13"/>
  <c r="A90" i="12"/>
  <c r="A90" i="11"/>
  <c r="A94" i="9"/>
  <c r="A94" i="13"/>
  <c r="A94" i="11"/>
  <c r="A94" i="12"/>
  <c r="B96" i="4"/>
  <c r="A98" i="9"/>
  <c r="A98" i="13"/>
  <c r="A98" i="12"/>
  <c r="A98" i="11"/>
  <c r="F99" i="5"/>
  <c r="F99" i="11"/>
  <c r="G99" i="4"/>
  <c r="H99" i="4"/>
  <c r="B100" i="9"/>
  <c r="B101" i="4"/>
  <c r="B102" i="4"/>
  <c r="B104" i="5"/>
  <c r="B104" i="11"/>
  <c r="B109" i="5"/>
  <c r="B109" i="11"/>
  <c r="A111" i="9"/>
  <c r="A111" i="13"/>
  <c r="A111" i="12"/>
  <c r="A111" i="11"/>
  <c r="B118" i="5"/>
  <c r="B118" i="11"/>
  <c r="B119" i="5"/>
  <c r="B119" i="11"/>
  <c r="A120" i="9"/>
  <c r="A120" i="11"/>
  <c r="A120" i="13"/>
  <c r="A120" i="12"/>
  <c r="A125" i="9"/>
  <c r="A125" i="11"/>
  <c r="A125" i="13"/>
  <c r="A125" i="12"/>
  <c r="A126" i="9"/>
  <c r="A126" i="12"/>
  <c r="A126" i="11"/>
  <c r="A126" i="13"/>
  <c r="A127" i="9"/>
  <c r="A127" i="13"/>
  <c r="A127" i="12"/>
  <c r="A127" i="11"/>
  <c r="B128" i="5"/>
  <c r="B128" i="11"/>
  <c r="H132" i="5"/>
  <c r="H132" i="11"/>
  <c r="B133" i="4"/>
  <c r="H133" i="4"/>
  <c r="B137" i="5"/>
  <c r="B137" i="11"/>
  <c r="B140" i="4"/>
  <c r="B141" i="4"/>
  <c r="B142" i="5"/>
  <c r="B142" i="11"/>
  <c r="B149" i="4"/>
  <c r="B150" i="5"/>
  <c r="B150" i="11"/>
  <c r="A151" i="9"/>
  <c r="A151" i="13"/>
  <c r="A151" i="12"/>
  <c r="A151" i="11"/>
  <c r="B9" i="4"/>
  <c r="D22" i="5"/>
  <c r="D22" i="11"/>
  <c r="F23" i="5"/>
  <c r="F23" i="11"/>
  <c r="B27" i="4"/>
  <c r="B41" i="4"/>
  <c r="B82" i="4"/>
  <c r="B83" i="5"/>
  <c r="B83" i="11"/>
  <c r="D100" i="5"/>
  <c r="D100" i="11"/>
  <c r="A115" i="9"/>
  <c r="A115" i="13"/>
  <c r="A115" i="12"/>
  <c r="A115" i="11"/>
  <c r="B122" i="4"/>
  <c r="B131" i="5"/>
  <c r="B131" i="11"/>
  <c r="A132" i="11"/>
  <c r="A154" i="13"/>
  <c r="A132" i="13"/>
  <c r="A143" i="13"/>
  <c r="A143" i="12"/>
  <c r="A143" i="11"/>
  <c r="A154" i="12"/>
  <c r="A132" i="12"/>
  <c r="A154" i="11"/>
  <c r="A68" i="12"/>
  <c r="A68" i="11"/>
  <c r="A46" i="13"/>
  <c r="A35" i="13"/>
  <c r="A46" i="11"/>
  <c r="A68" i="13"/>
  <c r="A35" i="12"/>
  <c r="A79" i="11"/>
  <c r="A79" i="12"/>
  <c r="A35" i="11"/>
  <c r="A189" i="11" s="1"/>
  <c r="A79" i="13"/>
  <c r="A46" i="12"/>
  <c r="B73" i="4"/>
  <c r="B23" i="9"/>
  <c r="B29" i="4"/>
  <c r="A32" i="9"/>
  <c r="A186" i="9" s="1"/>
  <c r="A32" i="12"/>
  <c r="A32" i="11"/>
  <c r="A186" i="11" s="1"/>
  <c r="A32" i="13"/>
  <c r="B39" i="4"/>
  <c r="A55" i="9"/>
  <c r="A55" i="11"/>
  <c r="A55" i="13"/>
  <c r="A55" i="12"/>
  <c r="B12" i="4"/>
  <c r="B13" i="5"/>
  <c r="B13" i="11"/>
  <c r="B14" i="5"/>
  <c r="B14" i="11"/>
  <c r="B19" i="4"/>
  <c r="B20" i="5"/>
  <c r="B20" i="11"/>
  <c r="A11" i="13"/>
  <c r="A165" i="13" s="1"/>
  <c r="A44" i="12"/>
  <c r="A22" i="12"/>
  <c r="A165" i="16" s="1"/>
  <c r="A44" i="11"/>
  <c r="A66" i="13"/>
  <c r="A11" i="12"/>
  <c r="A165" i="12" s="1"/>
  <c r="A66" i="12"/>
  <c r="A22" i="11"/>
  <c r="A176" i="11" s="1"/>
  <c r="A44" i="13"/>
  <c r="A22" i="13"/>
  <c r="A165" i="17" s="1"/>
  <c r="A11" i="11"/>
  <c r="A165" i="11" s="1"/>
  <c r="A66" i="11"/>
  <c r="C22" i="5"/>
  <c r="C22" i="11"/>
  <c r="E23" i="5"/>
  <c r="E23" i="11"/>
  <c r="B27" i="5"/>
  <c r="B27" i="11"/>
  <c r="A29" i="9"/>
  <c r="A183" i="9" s="1"/>
  <c r="A29" i="13"/>
  <c r="A29" i="12"/>
  <c r="A29" i="11"/>
  <c r="A183" i="11" s="1"/>
  <c r="B34" i="5"/>
  <c r="B34" i="11"/>
  <c r="B41" i="5"/>
  <c r="B41" i="11"/>
  <c r="B42" i="5"/>
  <c r="B42" i="11"/>
  <c r="B43" i="5"/>
  <c r="B43" i="11"/>
  <c r="B51" i="5"/>
  <c r="B51" i="11"/>
  <c r="B65" i="5"/>
  <c r="B65" i="11"/>
  <c r="A67" i="9"/>
  <c r="A67" i="13"/>
  <c r="A67" i="11"/>
  <c r="A67" i="12"/>
  <c r="A69" i="9"/>
  <c r="A69" i="13"/>
  <c r="A69" i="12"/>
  <c r="A69" i="11"/>
  <c r="B75" i="4"/>
  <c r="A76" i="9"/>
  <c r="A76" i="12"/>
  <c r="A76" i="11"/>
  <c r="A76" i="13"/>
  <c r="B82" i="5"/>
  <c r="B82" i="11"/>
  <c r="B91" i="4"/>
  <c r="A93" i="9"/>
  <c r="A93" i="13"/>
  <c r="A93" i="12"/>
  <c r="A93" i="11"/>
  <c r="B98" i="4"/>
  <c r="A100" i="9"/>
  <c r="A100" i="13"/>
  <c r="A100" i="11"/>
  <c r="A100" i="12"/>
  <c r="C100" i="5"/>
  <c r="C100" i="11"/>
  <c r="A105" i="9"/>
  <c r="A105" i="11"/>
  <c r="A105" i="13"/>
  <c r="A105" i="12"/>
  <c r="A106" i="9"/>
  <c r="A106" i="12"/>
  <c r="A106" i="13"/>
  <c r="A106" i="11"/>
  <c r="A113" i="9"/>
  <c r="A113" i="11"/>
  <c r="A113" i="13"/>
  <c r="A113" i="12"/>
  <c r="B115" i="5"/>
  <c r="B115" i="11"/>
  <c r="B122" i="5"/>
  <c r="B122" i="11"/>
  <c r="B130" i="4"/>
  <c r="B132" i="5"/>
  <c r="B132" i="11"/>
  <c r="D132" i="4"/>
  <c r="A133" i="9"/>
  <c r="A133" i="11"/>
  <c r="A133" i="12"/>
  <c r="A133" i="13"/>
  <c r="B135" i="9"/>
  <c r="B139" i="5"/>
  <c r="B139" i="11"/>
  <c r="B148" i="4"/>
  <c r="B157" i="4"/>
  <c r="A20" i="9"/>
  <c r="A174" i="9" s="1"/>
  <c r="A20" i="11"/>
  <c r="A174" i="11" s="1"/>
  <c r="A20" i="13"/>
  <c r="A163" i="17" s="1"/>
  <c r="A20" i="12"/>
  <c r="A163" i="16" s="1"/>
  <c r="A74" i="9"/>
  <c r="A74" i="13"/>
  <c r="A74" i="12"/>
  <c r="A74" i="11"/>
  <c r="A75" i="9"/>
  <c r="A75" i="13"/>
  <c r="A75" i="12"/>
  <c r="A75" i="11"/>
  <c r="E99" i="4"/>
  <c r="B104" i="4"/>
  <c r="B113" i="5"/>
  <c r="B113" i="11"/>
  <c r="B120" i="4"/>
  <c r="A124" i="9"/>
  <c r="A124" i="11"/>
  <c r="A124" i="13"/>
  <c r="A124" i="12"/>
  <c r="B130" i="5"/>
  <c r="B130" i="11"/>
  <c r="E132" i="5"/>
  <c r="E132" i="11"/>
  <c r="F133" i="4"/>
  <c r="B138" i="5"/>
  <c r="B138" i="11"/>
  <c r="B155" i="4"/>
  <c r="B7" i="5"/>
  <c r="B7" i="11"/>
  <c r="A8" i="9"/>
  <c r="A162" i="9" s="1"/>
  <c r="A8" i="11"/>
  <c r="A162" i="11" s="1"/>
  <c r="A8" i="13"/>
  <c r="A162" i="13" s="1"/>
  <c r="A8" i="12"/>
  <c r="A162" i="12" s="1"/>
  <c r="B9" i="5"/>
  <c r="B9" i="11"/>
  <c r="B10" i="5"/>
  <c r="B10" i="11"/>
  <c r="A15" i="9"/>
  <c r="A15" i="13"/>
  <c r="A15" i="12"/>
  <c r="A15" i="11"/>
  <c r="A16" i="9"/>
  <c r="A170" i="9" s="1"/>
  <c r="A16" i="11"/>
  <c r="A170" i="11" s="1"/>
  <c r="A16" i="13"/>
  <c r="A159" i="17" s="1"/>
  <c r="A16" i="12"/>
  <c r="A159" i="16" s="1"/>
  <c r="B17" i="5"/>
  <c r="B17" i="11"/>
  <c r="A19" i="9"/>
  <c r="A173" i="9" s="1"/>
  <c r="A19" i="13"/>
  <c r="A162" i="17" s="1"/>
  <c r="A19" i="12"/>
  <c r="A162" i="16" s="1"/>
  <c r="A19" i="11"/>
  <c r="A173" i="11" s="1"/>
  <c r="B21" i="4"/>
  <c r="B22" i="9"/>
  <c r="B23" i="4"/>
  <c r="B24" i="4"/>
  <c r="B25" i="4"/>
  <c r="B29" i="5"/>
  <c r="B29" i="11"/>
  <c r="B31" i="4"/>
  <c r="A33" i="9"/>
  <c r="A187" i="9" s="1"/>
  <c r="A33" i="13"/>
  <c r="A33" i="12"/>
  <c r="A33" i="11"/>
  <c r="A187" i="11" s="1"/>
  <c r="A37" i="9"/>
  <c r="A37" i="13"/>
  <c r="A37" i="12"/>
  <c r="A37" i="11"/>
  <c r="B39" i="5"/>
  <c r="B39" i="11"/>
  <c r="B40" i="5"/>
  <c r="B40" i="11"/>
  <c r="B45" i="4"/>
  <c r="B47" i="4"/>
  <c r="B49" i="5"/>
  <c r="B49" i="11"/>
  <c r="B54" i="4"/>
  <c r="A61" i="9"/>
  <c r="A61" i="13"/>
  <c r="A61" i="12"/>
  <c r="A61" i="11"/>
  <c r="A62" i="9"/>
  <c r="A62" i="13"/>
  <c r="A62" i="11"/>
  <c r="A62" i="12"/>
  <c r="B63" i="5"/>
  <c r="B63" i="11"/>
  <c r="B64" i="5"/>
  <c r="B64" i="11"/>
  <c r="B69" i="4"/>
  <c r="A71" i="9"/>
  <c r="A71" i="11"/>
  <c r="A71" i="13"/>
  <c r="A71" i="12"/>
  <c r="B76" i="4"/>
  <c r="B78" i="5"/>
  <c r="B78" i="11"/>
  <c r="A80" i="9"/>
  <c r="A80" i="12"/>
  <c r="A80" i="11"/>
  <c r="A80" i="13"/>
  <c r="B86" i="4"/>
  <c r="B87" i="4"/>
  <c r="B94" i="5"/>
  <c r="B94" i="11"/>
  <c r="A95" i="9"/>
  <c r="A95" i="11"/>
  <c r="A95" i="13"/>
  <c r="A95" i="12"/>
  <c r="A97" i="9"/>
  <c r="A97" i="13"/>
  <c r="A97" i="12"/>
  <c r="A97" i="11"/>
  <c r="B99" i="9"/>
  <c r="E99" i="5"/>
  <c r="E99" i="11"/>
  <c r="F99" i="4"/>
  <c r="E100" i="5"/>
  <c r="E100" i="11"/>
  <c r="H100" i="5"/>
  <c r="H100" i="11"/>
  <c r="B108" i="5"/>
  <c r="B108" i="11"/>
  <c r="B109" i="4"/>
  <c r="B111" i="5"/>
  <c r="B111" i="11"/>
  <c r="B115" i="4"/>
  <c r="B116" i="5"/>
  <c r="B116" i="11"/>
  <c r="A117" i="9"/>
  <c r="A117" i="11"/>
  <c r="A117" i="12"/>
  <c r="A117" i="13"/>
  <c r="B118" i="4"/>
  <c r="B120" i="5"/>
  <c r="B120" i="11"/>
  <c r="B126" i="5"/>
  <c r="B126" i="11"/>
  <c r="B127" i="5"/>
  <c r="B127" i="11"/>
  <c r="B128" i="4"/>
  <c r="A129" i="9"/>
  <c r="A129" i="11"/>
  <c r="A129" i="13"/>
  <c r="A129" i="12"/>
  <c r="A130" i="9"/>
  <c r="A130" i="12"/>
  <c r="A130" i="13"/>
  <c r="A130" i="11"/>
  <c r="H132" i="4"/>
  <c r="B133" i="9"/>
  <c r="B133" i="18" s="1"/>
  <c r="B133" i="6" s="1"/>
  <c r="A135" i="9"/>
  <c r="A135" i="13"/>
  <c r="A135" i="12"/>
  <c r="A135" i="11"/>
  <c r="B142" i="4"/>
  <c r="A144" i="9"/>
  <c r="A144" i="12"/>
  <c r="A144" i="11"/>
  <c r="A144" i="13"/>
  <c r="B150" i="4"/>
  <c r="B151" i="5"/>
  <c r="B151" i="11"/>
  <c r="A152" i="9"/>
  <c r="A152" i="12"/>
  <c r="A152" i="11"/>
  <c r="A152" i="13"/>
  <c r="E188" i="11"/>
  <c r="E177" i="11" s="1"/>
  <c r="G188" i="11"/>
  <c r="G177" i="11" s="1"/>
  <c r="D188" i="11"/>
  <c r="D177" i="11" s="1"/>
  <c r="H188" i="11"/>
  <c r="H177" i="11" s="1"/>
  <c r="I177" i="11" s="1"/>
  <c r="F188" i="11"/>
  <c r="F177" i="11" s="1"/>
  <c r="C188" i="11"/>
  <c r="C177" i="11" s="1"/>
  <c r="B166" i="9"/>
  <c r="B163" i="9"/>
  <c r="B164" i="9"/>
  <c r="E165" i="9"/>
  <c r="F165" i="9"/>
  <c r="A88" i="9"/>
  <c r="A77" i="9"/>
  <c r="A154" i="9"/>
  <c r="A143" i="9"/>
  <c r="A132" i="9"/>
  <c r="A79" i="9"/>
  <c r="A68" i="9"/>
  <c r="A46" i="9"/>
  <c r="A35" i="9"/>
  <c r="A189" i="9" s="1"/>
  <c r="A121" i="9"/>
  <c r="A110" i="9"/>
  <c r="B161" i="9"/>
  <c r="B167" i="9"/>
  <c r="A112" i="9"/>
  <c r="A101" i="9"/>
  <c r="A156" i="9"/>
  <c r="A145" i="9"/>
  <c r="A134" i="9"/>
  <c r="A123" i="9"/>
  <c r="B162" i="9"/>
  <c r="A66" i="9"/>
  <c r="A22" i="9"/>
  <c r="A176" i="9" s="1"/>
  <c r="A11" i="9"/>
  <c r="A165" i="9" s="1"/>
  <c r="A44" i="9"/>
  <c r="B159" i="9"/>
  <c r="B160" i="9"/>
  <c r="C165" i="9"/>
  <c r="D165" i="9"/>
  <c r="C188" i="9"/>
  <c r="C177" i="9" s="1"/>
  <c r="D188" i="9"/>
  <c r="D177" i="9" s="1"/>
  <c r="E188" i="9"/>
  <c r="E177" i="9" s="1"/>
  <c r="G188" i="9"/>
  <c r="G177" i="9" s="1"/>
  <c r="F188" i="9"/>
  <c r="F177" i="9" s="1"/>
  <c r="H188" i="9"/>
  <c r="H177" i="9" s="1"/>
  <c r="I177" i="9" s="1"/>
  <c r="B9" i="3"/>
  <c r="H23" i="3"/>
  <c r="B41" i="3"/>
  <c r="A42" i="3"/>
  <c r="A42" i="6"/>
  <c r="A42" i="7"/>
  <c r="A84" i="3"/>
  <c r="A84" i="6"/>
  <c r="A84" i="7"/>
  <c r="B113" i="3"/>
  <c r="A114" i="6"/>
  <c r="A114" i="7"/>
  <c r="A140" i="3"/>
  <c r="A140" i="6"/>
  <c r="A140" i="7"/>
  <c r="B96" i="3"/>
  <c r="B13" i="3"/>
  <c r="D23" i="3"/>
  <c r="B29" i="3"/>
  <c r="A34" i="3"/>
  <c r="A34" i="6"/>
  <c r="A34" i="7"/>
  <c r="B43" i="3"/>
  <c r="B12" i="3"/>
  <c r="A14" i="4"/>
  <c r="A168" i="4" s="1"/>
  <c r="A14" i="6"/>
  <c r="A168" i="6" s="1"/>
  <c r="A14" i="7"/>
  <c r="A168" i="7" s="1"/>
  <c r="B19" i="3"/>
  <c r="A43" i="3"/>
  <c r="A43" i="6"/>
  <c r="A43" i="7"/>
  <c r="A45" i="6"/>
  <c r="A45" i="7"/>
  <c r="A53" i="6"/>
  <c r="A53" i="7"/>
  <c r="A60" i="3"/>
  <c r="A60" i="6"/>
  <c r="A60" i="7"/>
  <c r="A88" i="4"/>
  <c r="A77" i="6"/>
  <c r="A88" i="6"/>
  <c r="A88" i="7"/>
  <c r="A77" i="7"/>
  <c r="A85" i="6"/>
  <c r="A85" i="7"/>
  <c r="B91" i="3"/>
  <c r="A92" i="3"/>
  <c r="A92" i="6"/>
  <c r="A92" i="7"/>
  <c r="B98" i="3"/>
  <c r="A108" i="3"/>
  <c r="A108" i="6"/>
  <c r="A108" i="7"/>
  <c r="B111" i="3"/>
  <c r="A115" i="5"/>
  <c r="A115" i="6"/>
  <c r="A115" i="7"/>
  <c r="B130" i="3"/>
  <c r="A132" i="5"/>
  <c r="A143" i="6"/>
  <c r="A154" i="6"/>
  <c r="A132" i="6"/>
  <c r="A154" i="7"/>
  <c r="A143" i="7"/>
  <c r="A132" i="7"/>
  <c r="D132" i="3"/>
  <c r="E132" i="3"/>
  <c r="F133" i="3"/>
  <c r="A141" i="6"/>
  <c r="A141" i="7"/>
  <c r="A147" i="6"/>
  <c r="A147" i="7"/>
  <c r="B155" i="3"/>
  <c r="B157" i="3"/>
  <c r="A13" i="6"/>
  <c r="A167" i="6" s="1"/>
  <c r="A13" i="7"/>
  <c r="A167" i="7" s="1"/>
  <c r="A35" i="5"/>
  <c r="A79" i="6"/>
  <c r="A35" i="6"/>
  <c r="A46" i="6"/>
  <c r="A68" i="6"/>
  <c r="A46" i="7"/>
  <c r="A79" i="7"/>
  <c r="A35" i="7"/>
  <c r="A68" i="7"/>
  <c r="E99" i="3"/>
  <c r="G100" i="3"/>
  <c r="H133" i="3"/>
  <c r="B21" i="3"/>
  <c r="B23" i="3"/>
  <c r="A30" i="6"/>
  <c r="A30" i="7"/>
  <c r="B31" i="3"/>
  <c r="A32" i="4"/>
  <c r="A32" i="6"/>
  <c r="A32" i="7"/>
  <c r="B35" i="3"/>
  <c r="A38" i="6"/>
  <c r="A38" i="7"/>
  <c r="B42" i="3"/>
  <c r="B45" i="3"/>
  <c r="B47" i="3"/>
  <c r="B51" i="3"/>
  <c r="B54" i="3"/>
  <c r="A55" i="3"/>
  <c r="A55" i="6"/>
  <c r="A55" i="7"/>
  <c r="A56" i="5"/>
  <c r="A56" i="6"/>
  <c r="A56" i="7"/>
  <c r="A57" i="5"/>
  <c r="A57" i="6"/>
  <c r="A57" i="7"/>
  <c r="B69" i="3"/>
  <c r="B76" i="3"/>
  <c r="A81" i="4"/>
  <c r="A81" i="6"/>
  <c r="A81" i="7"/>
  <c r="B83" i="3"/>
  <c r="B86" i="3"/>
  <c r="A89" i="5"/>
  <c r="A89" i="6"/>
  <c r="A89" i="7"/>
  <c r="A91" i="6"/>
  <c r="A91" i="7"/>
  <c r="A96" i="5"/>
  <c r="A96" i="6"/>
  <c r="A96" i="7"/>
  <c r="F99" i="3"/>
  <c r="A102" i="6"/>
  <c r="A102" i="7"/>
  <c r="A103" i="3"/>
  <c r="A103" i="6"/>
  <c r="A103" i="7"/>
  <c r="B106" i="3"/>
  <c r="B109" i="3"/>
  <c r="B115" i="3"/>
  <c r="B118" i="3"/>
  <c r="B124" i="3"/>
  <c r="H132" i="3"/>
  <c r="A136" i="4"/>
  <c r="A136" i="6"/>
  <c r="A136" i="7"/>
  <c r="A138" i="6"/>
  <c r="A138" i="7"/>
  <c r="B142" i="3"/>
  <c r="A146" i="5"/>
  <c r="A146" i="6"/>
  <c r="A146" i="7"/>
  <c r="B150" i="3"/>
  <c r="A153" i="5"/>
  <c r="A153" i="6"/>
  <c r="A153" i="7"/>
  <c r="A155" i="6"/>
  <c r="A155" i="7"/>
  <c r="B18" i="3"/>
  <c r="G23" i="3"/>
  <c r="A26" i="6"/>
  <c r="A26" i="7"/>
  <c r="A36" i="3"/>
  <c r="A36" i="6"/>
  <c r="A36" i="7"/>
  <c r="B39" i="3"/>
  <c r="A51" i="4"/>
  <c r="A51" i="6"/>
  <c r="A51" i="7"/>
  <c r="B71" i="3"/>
  <c r="B82" i="3"/>
  <c r="B97" i="3"/>
  <c r="B120" i="3"/>
  <c r="B122" i="3"/>
  <c r="B87" i="3"/>
  <c r="B128" i="3"/>
  <c r="B146" i="3"/>
  <c r="A148" i="3"/>
  <c r="A148" i="6"/>
  <c r="A148" i="7"/>
  <c r="B7" i="3"/>
  <c r="A18" i="3"/>
  <c r="A18" i="6"/>
  <c r="A161" i="18" s="1"/>
  <c r="A18" i="7"/>
  <c r="A23" i="3"/>
  <c r="A23" i="6"/>
  <c r="A166" i="18" s="1"/>
  <c r="A23" i="7"/>
  <c r="A24" i="6"/>
  <c r="A167" i="18" s="1"/>
  <c r="A24" i="7"/>
  <c r="A25" i="5"/>
  <c r="A25" i="6"/>
  <c r="A168" i="18" s="1"/>
  <c r="A25" i="7"/>
  <c r="A70" i="6"/>
  <c r="A70" i="7"/>
  <c r="A82" i="5"/>
  <c r="A82" i="6"/>
  <c r="A82" i="7"/>
  <c r="A87" i="3"/>
  <c r="A87" i="6"/>
  <c r="A87" i="7"/>
  <c r="A104" i="4"/>
  <c r="A104" i="6"/>
  <c r="A104" i="7"/>
  <c r="B116" i="3"/>
  <c r="A119" i="3"/>
  <c r="A119" i="6"/>
  <c r="A119" i="7"/>
  <c r="B126" i="3"/>
  <c r="B127" i="3"/>
  <c r="A128" i="4"/>
  <c r="A128" i="6"/>
  <c r="A128" i="7"/>
  <c r="B139" i="3"/>
  <c r="A142" i="6"/>
  <c r="A142" i="7"/>
  <c r="A157" i="6"/>
  <c r="A157" i="7"/>
  <c r="A5" i="4"/>
  <c r="A159" i="4" s="1"/>
  <c r="A5" i="6"/>
  <c r="A159" i="6" s="1"/>
  <c r="A5" i="7"/>
  <c r="A159" i="7" s="1"/>
  <c r="A6" i="6"/>
  <c r="A160" i="6" s="1"/>
  <c r="A6" i="7"/>
  <c r="A160" i="7" s="1"/>
  <c r="B10" i="3"/>
  <c r="A21" i="6"/>
  <c r="A164" i="18" s="1"/>
  <c r="A21" i="7"/>
  <c r="F23" i="3"/>
  <c r="A28" i="3"/>
  <c r="A28" i="6"/>
  <c r="A28" i="7"/>
  <c r="B38" i="3"/>
  <c r="B49" i="3"/>
  <c r="B73" i="3"/>
  <c r="B74" i="3"/>
  <c r="A83" i="4"/>
  <c r="A83" i="6"/>
  <c r="A83" i="7"/>
  <c r="A99" i="4"/>
  <c r="A99" i="6"/>
  <c r="A99" i="7"/>
  <c r="C99" i="3"/>
  <c r="D99" i="3"/>
  <c r="D100" i="3"/>
  <c r="E100" i="3"/>
  <c r="A145" i="6"/>
  <c r="A101" i="6"/>
  <c r="A134" i="6"/>
  <c r="A156" i="6"/>
  <c r="A112" i="6"/>
  <c r="A123" i="6"/>
  <c r="A134" i="7"/>
  <c r="A112" i="7"/>
  <c r="A123" i="7"/>
  <c r="A156" i="7"/>
  <c r="A145" i="7"/>
  <c r="A101" i="7"/>
  <c r="B104" i="3"/>
  <c r="B105" i="3"/>
  <c r="A107" i="6"/>
  <c r="A107" i="7"/>
  <c r="A116" i="3"/>
  <c r="A116" i="6"/>
  <c r="A116" i="7"/>
  <c r="B129" i="3"/>
  <c r="A149" i="6"/>
  <c r="A149" i="7"/>
  <c r="A4" i="3"/>
  <c r="A4" i="6"/>
  <c r="A4" i="7"/>
  <c r="A27" i="3"/>
  <c r="A27" i="6"/>
  <c r="A27" i="7"/>
  <c r="A65" i="4"/>
  <c r="A65" i="6"/>
  <c r="A65" i="7"/>
  <c r="B72" i="3"/>
  <c r="B89" i="3"/>
  <c r="A131" i="5"/>
  <c r="A131" i="6"/>
  <c r="A131" i="7"/>
  <c r="F132" i="3"/>
  <c r="G133" i="3"/>
  <c r="A7" i="3"/>
  <c r="A161" i="3" s="1"/>
  <c r="A7" i="6"/>
  <c r="A161" i="6" s="1"/>
  <c r="A7" i="7"/>
  <c r="A161" i="7" s="1"/>
  <c r="B8" i="3"/>
  <c r="A9" i="4"/>
  <c r="A163" i="4" s="1"/>
  <c r="A9" i="6"/>
  <c r="A163" i="6" s="1"/>
  <c r="A9" i="7"/>
  <c r="A163" i="7" s="1"/>
  <c r="A10" i="4"/>
  <c r="A164" i="4" s="1"/>
  <c r="A10" i="6"/>
  <c r="A164" i="6" s="1"/>
  <c r="A10" i="7"/>
  <c r="A164" i="7" s="1"/>
  <c r="A12" i="3"/>
  <c r="A166" i="3" s="1"/>
  <c r="A12" i="6"/>
  <c r="A12" i="7"/>
  <c r="A166" i="7" s="1"/>
  <c r="B14" i="3"/>
  <c r="B16" i="3"/>
  <c r="A17" i="5"/>
  <c r="A17" i="6"/>
  <c r="A160" i="18" s="1"/>
  <c r="A17" i="7"/>
  <c r="B20" i="3"/>
  <c r="H22" i="3"/>
  <c r="C23" i="3"/>
  <c r="B28" i="3"/>
  <c r="B36" i="3"/>
  <c r="A39" i="3"/>
  <c r="A39" i="6"/>
  <c r="A39" i="7"/>
  <c r="A40" i="6"/>
  <c r="A40" i="7"/>
  <c r="A49" i="5"/>
  <c r="A49" i="6"/>
  <c r="A49" i="7"/>
  <c r="B52" i="3"/>
  <c r="A58" i="5"/>
  <c r="A58" i="6"/>
  <c r="A58" i="7"/>
  <c r="B60" i="3"/>
  <c r="B61" i="3"/>
  <c r="A63" i="3"/>
  <c r="A63" i="6"/>
  <c r="A63" i="7"/>
  <c r="A64" i="4"/>
  <c r="A64" i="6"/>
  <c r="A64" i="7"/>
  <c r="A78" i="6"/>
  <c r="A78" i="7"/>
  <c r="B80" i="3"/>
  <c r="A90" i="4"/>
  <c r="A90" i="6"/>
  <c r="A90" i="7"/>
  <c r="B93" i="3"/>
  <c r="A94" i="6"/>
  <c r="A94" i="7"/>
  <c r="B95" i="3"/>
  <c r="A98" i="4"/>
  <c r="A98" i="6"/>
  <c r="A98" i="7"/>
  <c r="B100" i="3"/>
  <c r="C100" i="3"/>
  <c r="A111" i="3"/>
  <c r="A111" i="6"/>
  <c r="A111" i="7"/>
  <c r="B117" i="3"/>
  <c r="A120" i="6"/>
  <c r="A120" i="7"/>
  <c r="A125" i="6"/>
  <c r="A125" i="7"/>
  <c r="A126" i="6"/>
  <c r="A126" i="7"/>
  <c r="A127" i="3"/>
  <c r="A127" i="6"/>
  <c r="A127" i="7"/>
  <c r="B131" i="3"/>
  <c r="G132" i="3"/>
  <c r="C133" i="3"/>
  <c r="D133" i="3"/>
  <c r="B144" i="3"/>
  <c r="A151" i="3"/>
  <c r="A151" i="6"/>
  <c r="A151" i="7"/>
  <c r="B152" i="3"/>
  <c r="B24" i="3"/>
  <c r="B25" i="3"/>
  <c r="B34" i="3"/>
  <c r="A52" i="5"/>
  <c r="A52" i="6"/>
  <c r="A52" i="7"/>
  <c r="B56" i="3"/>
  <c r="A59" i="3"/>
  <c r="A59" i="6"/>
  <c r="A59" i="7"/>
  <c r="B63" i="3"/>
  <c r="B65" i="3"/>
  <c r="A139" i="6"/>
  <c r="A139" i="7"/>
  <c r="A150" i="6"/>
  <c r="A150" i="7"/>
  <c r="B62" i="3"/>
  <c r="A31" i="3"/>
  <c r="A31" i="6"/>
  <c r="A31" i="7"/>
  <c r="A41" i="6"/>
  <c r="A41" i="7"/>
  <c r="A47" i="3"/>
  <c r="A47" i="6"/>
  <c r="A47" i="7"/>
  <c r="A50" i="3"/>
  <c r="A50" i="6"/>
  <c r="A50" i="7"/>
  <c r="A54" i="3"/>
  <c r="A54" i="6"/>
  <c r="A54" i="7"/>
  <c r="A72" i="5"/>
  <c r="A72" i="6"/>
  <c r="A72" i="7"/>
  <c r="A73" i="5"/>
  <c r="A73" i="6"/>
  <c r="A73" i="7"/>
  <c r="B78" i="3"/>
  <c r="B84" i="3"/>
  <c r="A86" i="6"/>
  <c r="A86" i="7"/>
  <c r="B94" i="3"/>
  <c r="H100" i="3"/>
  <c r="B107" i="3"/>
  <c r="B108" i="3"/>
  <c r="A109" i="6"/>
  <c r="A109" i="7"/>
  <c r="A121" i="3"/>
  <c r="A121" i="6"/>
  <c r="A110" i="6"/>
  <c r="A110" i="7"/>
  <c r="A121" i="7"/>
  <c r="A118" i="6"/>
  <c r="A118" i="7"/>
  <c r="A122" i="5"/>
  <c r="A122" i="6"/>
  <c r="A122" i="7"/>
  <c r="B132" i="3"/>
  <c r="C132" i="3"/>
  <c r="A137" i="6"/>
  <c r="A137" i="7"/>
  <c r="B148" i="3"/>
  <c r="B151" i="3"/>
  <c r="B17" i="3"/>
  <c r="A66" i="5"/>
  <c r="A11" i="6"/>
  <c r="A165" i="6" s="1"/>
  <c r="A66" i="6"/>
  <c r="A44" i="6"/>
  <c r="A22" i="6"/>
  <c r="A165" i="18" s="1"/>
  <c r="A66" i="7"/>
  <c r="A22" i="7"/>
  <c r="A11" i="7"/>
  <c r="A165" i="7" s="1"/>
  <c r="A44" i="7"/>
  <c r="E22" i="3"/>
  <c r="F22" i="3"/>
  <c r="G22" i="3"/>
  <c r="A29" i="6"/>
  <c r="A29" i="7"/>
  <c r="B32" i="3"/>
  <c r="B40" i="3"/>
  <c r="B50" i="3"/>
  <c r="B57" i="3"/>
  <c r="B58" i="3"/>
  <c r="B64" i="3"/>
  <c r="A67" i="6"/>
  <c r="A67" i="7"/>
  <c r="A69" i="6"/>
  <c r="A69" i="7"/>
  <c r="A76" i="5"/>
  <c r="A76" i="6"/>
  <c r="A76" i="7"/>
  <c r="B90" i="3"/>
  <c r="A93" i="6"/>
  <c r="A93" i="7"/>
  <c r="A100" i="3"/>
  <c r="A100" i="6"/>
  <c r="A100" i="7"/>
  <c r="F100" i="3"/>
  <c r="A105" i="6"/>
  <c r="A105" i="7"/>
  <c r="A106" i="6"/>
  <c r="A106" i="7"/>
  <c r="A113" i="4"/>
  <c r="A113" i="6"/>
  <c r="A113" i="7"/>
  <c r="A133" i="6"/>
  <c r="A133" i="7"/>
  <c r="E133" i="3"/>
  <c r="B135" i="3"/>
  <c r="B137" i="3"/>
  <c r="B138" i="3"/>
  <c r="A20" i="3"/>
  <c r="A20" i="6"/>
  <c r="A163" i="18" s="1"/>
  <c r="A20" i="7"/>
  <c r="A74" i="4"/>
  <c r="A74" i="6"/>
  <c r="A74" i="7"/>
  <c r="A75" i="4"/>
  <c r="A75" i="6"/>
  <c r="A75" i="7"/>
  <c r="B119" i="3"/>
  <c r="A124" i="3"/>
  <c r="A124" i="6"/>
  <c r="A124" i="7"/>
  <c r="B153" i="3"/>
  <c r="B5" i="3"/>
  <c r="B6" i="3"/>
  <c r="A8" i="6"/>
  <c r="A162" i="6" s="1"/>
  <c r="A8" i="7"/>
  <c r="A162" i="7" s="1"/>
  <c r="A15" i="6"/>
  <c r="A15" i="7"/>
  <c r="A16" i="6"/>
  <c r="A159" i="18" s="1"/>
  <c r="A16" i="7"/>
  <c r="A19" i="4"/>
  <c r="A19" i="6"/>
  <c r="A162" i="18" s="1"/>
  <c r="A19" i="7"/>
  <c r="B22" i="3"/>
  <c r="C22" i="3"/>
  <c r="D22" i="3"/>
  <c r="E23" i="3"/>
  <c r="B27" i="3"/>
  <c r="B30" i="3"/>
  <c r="A33" i="6"/>
  <c r="A33" i="7"/>
  <c r="A37" i="6"/>
  <c r="A37" i="7"/>
  <c r="B53" i="3"/>
  <c r="A61" i="6"/>
  <c r="A61" i="7"/>
  <c r="A62" i="6"/>
  <c r="A62" i="7"/>
  <c r="B67" i="3"/>
  <c r="A71" i="5"/>
  <c r="A71" i="6"/>
  <c r="A71" i="7"/>
  <c r="B75" i="3"/>
  <c r="A80" i="5"/>
  <c r="A80" i="6"/>
  <c r="A80" i="7"/>
  <c r="B85" i="3"/>
  <c r="A95" i="3"/>
  <c r="A95" i="6"/>
  <c r="A95" i="7"/>
  <c r="A97" i="6"/>
  <c r="A97" i="7"/>
  <c r="B99" i="3"/>
  <c r="G99" i="3"/>
  <c r="H99" i="3"/>
  <c r="B101" i="3"/>
  <c r="B102" i="3"/>
  <c r="A117" i="6"/>
  <c r="A117" i="7"/>
  <c r="A129" i="4"/>
  <c r="A129" i="6"/>
  <c r="A129" i="7"/>
  <c r="A130" i="5"/>
  <c r="A130" i="6"/>
  <c r="A130" i="7"/>
  <c r="B133" i="3"/>
  <c r="A135" i="3"/>
  <c r="A135" i="6"/>
  <c r="A135" i="7"/>
  <c r="B140" i="3"/>
  <c r="B141" i="3"/>
  <c r="A144" i="4"/>
  <c r="A144" i="6"/>
  <c r="A144" i="7"/>
  <c r="B149" i="3"/>
  <c r="A152" i="4"/>
  <c r="A152" i="6"/>
  <c r="A152" i="7"/>
  <c r="A103" i="5"/>
  <c r="A103" i="4"/>
  <c r="A15" i="3"/>
  <c r="A15" i="4"/>
  <c r="A26" i="3"/>
  <c r="A26" i="4"/>
  <c r="A26" i="5"/>
  <c r="A6" i="3"/>
  <c r="A160" i="3" s="1"/>
  <c r="A6" i="5"/>
  <c r="A160" i="5" s="1"/>
  <c r="A13" i="3"/>
  <c r="A167" i="3" s="1"/>
  <c r="A13" i="5"/>
  <c r="A167" i="5" s="1"/>
  <c r="A13" i="4"/>
  <c r="A167" i="4" s="1"/>
  <c r="A21" i="3"/>
  <c r="A21" i="5"/>
  <c r="A21" i="4"/>
  <c r="A24" i="3"/>
  <c r="A24" i="5"/>
  <c r="A29" i="3"/>
  <c r="A29" i="5"/>
  <c r="A29" i="4"/>
  <c r="A33" i="3"/>
  <c r="A33" i="5"/>
  <c r="A40" i="3"/>
  <c r="A40" i="5"/>
  <c r="A45" i="3"/>
  <c r="A45" i="5"/>
  <c r="A45" i="4"/>
  <c r="A53" i="5"/>
  <c r="A53" i="4"/>
  <c r="A61" i="3"/>
  <c r="A61" i="5"/>
  <c r="A61" i="4"/>
  <c r="A62" i="3"/>
  <c r="A62" i="5"/>
  <c r="A62" i="4"/>
  <c r="A67" i="3"/>
  <c r="A67" i="4"/>
  <c r="A78" i="5"/>
  <c r="A78" i="4"/>
  <c r="A85" i="3"/>
  <c r="A85" i="5"/>
  <c r="A85" i="4"/>
  <c r="A94" i="5"/>
  <c r="A94" i="4"/>
  <c r="A97" i="3"/>
  <c r="A97" i="5"/>
  <c r="A123" i="3"/>
  <c r="A101" i="5"/>
  <c r="A134" i="5"/>
  <c r="A123" i="4"/>
  <c r="A112" i="5"/>
  <c r="A101" i="4"/>
  <c r="A145" i="5"/>
  <c r="A134" i="4"/>
  <c r="A107" i="3"/>
  <c r="A107" i="4"/>
  <c r="A109" i="3"/>
  <c r="A109" i="5"/>
  <c r="A109" i="4"/>
  <c r="A120" i="3"/>
  <c r="A120" i="5"/>
  <c r="A133" i="3"/>
  <c r="A133" i="5"/>
  <c r="A133" i="4"/>
  <c r="A138" i="3"/>
  <c r="A138" i="4"/>
  <c r="A149" i="5"/>
  <c r="A149" i="4"/>
  <c r="A155" i="3"/>
  <c r="A155" i="4"/>
  <c r="A37" i="3"/>
  <c r="A37" i="5"/>
  <c r="A37" i="4"/>
  <c r="A70" i="3"/>
  <c r="A70" i="5"/>
  <c r="A70" i="4"/>
  <c r="A114" i="3"/>
  <c r="A114" i="4"/>
  <c r="A147" i="3"/>
  <c r="A147" i="4"/>
  <c r="A10" i="3"/>
  <c r="A164" i="3" s="1"/>
  <c r="A58" i="4"/>
  <c r="A42" i="5"/>
  <c r="A90" i="5"/>
  <c r="A154" i="5"/>
  <c r="A75" i="3"/>
  <c r="A98" i="3"/>
  <c r="A6" i="4"/>
  <c r="A160" i="4" s="1"/>
  <c r="A35" i="4"/>
  <c r="A151" i="4"/>
  <c r="A7" i="5"/>
  <c r="A161" i="5" s="1"/>
  <c r="A39" i="5"/>
  <c r="A87" i="5"/>
  <c r="A119" i="5"/>
  <c r="A151" i="5"/>
  <c r="A49" i="3"/>
  <c r="A52" i="3"/>
  <c r="A56" i="3"/>
  <c r="A34" i="4"/>
  <c r="A84" i="4"/>
  <c r="A36" i="5"/>
  <c r="A84" i="5"/>
  <c r="A71" i="3"/>
  <c r="A78" i="3"/>
  <c r="A90" i="3"/>
  <c r="A134" i="3"/>
  <c r="A48" i="3"/>
  <c r="A57" i="3"/>
  <c r="A58" i="3"/>
  <c r="A4" i="4"/>
  <c r="A12" i="4"/>
  <c r="A166" i="4" s="1"/>
  <c r="A23" i="4"/>
  <c r="A33" i="4"/>
  <c r="A43" i="4"/>
  <c r="A55" i="4"/>
  <c r="A97" i="4"/>
  <c r="A145" i="4"/>
  <c r="E3" i="5"/>
  <c r="A19" i="5"/>
  <c r="A51" i="5"/>
  <c r="A67" i="5"/>
  <c r="A83" i="5"/>
  <c r="A99" i="5"/>
  <c r="A147" i="5"/>
  <c r="A77" i="3"/>
  <c r="A17" i="3"/>
  <c r="A96" i="3"/>
  <c r="A101" i="3"/>
  <c r="A149" i="3"/>
  <c r="A153" i="3"/>
  <c r="A11" i="4"/>
  <c r="A165" i="4" s="1"/>
  <c r="A20" i="4"/>
  <c r="A42" i="4"/>
  <c r="A52" i="4"/>
  <c r="A80" i="4"/>
  <c r="A96" i="4"/>
  <c r="A112" i="4"/>
  <c r="A18" i="5"/>
  <c r="A34" i="5"/>
  <c r="A50" i="5"/>
  <c r="A98" i="5"/>
  <c r="A114" i="5"/>
  <c r="A44" i="3"/>
  <c r="A66" i="4"/>
  <c r="A22" i="5"/>
  <c r="A22" i="4"/>
  <c r="A79" i="3"/>
  <c r="A46" i="5"/>
  <c r="A46" i="4"/>
  <c r="A41" i="3"/>
  <c r="A41" i="5"/>
  <c r="A65" i="3"/>
  <c r="A65" i="5"/>
  <c r="A93" i="5"/>
  <c r="A93" i="4"/>
  <c r="A105" i="3"/>
  <c r="A105" i="5"/>
  <c r="A113" i="3"/>
  <c r="A113" i="5"/>
  <c r="A117" i="3"/>
  <c r="A117" i="5"/>
  <c r="A117" i="4"/>
  <c r="A118" i="3"/>
  <c r="A118" i="5"/>
  <c r="A118" i="4"/>
  <c r="A128" i="3"/>
  <c r="A128" i="5"/>
  <c r="A129" i="3"/>
  <c r="A129" i="5"/>
  <c r="A143" i="3"/>
  <c r="A154" i="4"/>
  <c r="A139" i="3"/>
  <c r="A139" i="4"/>
  <c r="A141" i="3"/>
  <c r="A141" i="5"/>
  <c r="A141" i="4"/>
  <c r="A144" i="3"/>
  <c r="A144" i="5"/>
  <c r="A146" i="3"/>
  <c r="A146" i="4"/>
  <c r="A150" i="3"/>
  <c r="A150" i="5"/>
  <c r="A150" i="4"/>
  <c r="A152" i="3"/>
  <c r="A152" i="5"/>
  <c r="A81" i="3"/>
  <c r="A81" i="5"/>
  <c r="A136" i="3"/>
  <c r="A136" i="5"/>
  <c r="A76" i="3"/>
  <c r="A25" i="3"/>
  <c r="A7" i="4"/>
  <c r="A161" i="4" s="1"/>
  <c r="A10" i="5"/>
  <c r="A164" i="5" s="1"/>
  <c r="A74" i="5"/>
  <c r="A93" i="3"/>
  <c r="A47" i="4"/>
  <c r="A71" i="4"/>
  <c r="A119" i="4"/>
  <c r="A55" i="5"/>
  <c r="A72" i="3"/>
  <c r="A19" i="3"/>
  <c r="A51" i="3"/>
  <c r="A44" i="4"/>
  <c r="A68" i="4"/>
  <c r="A116" i="4"/>
  <c r="A148" i="4"/>
  <c r="A4" i="5"/>
  <c r="A100" i="5"/>
  <c r="A148" i="5"/>
  <c r="A74" i="3"/>
  <c r="A31" i="4"/>
  <c r="A79" i="4"/>
  <c r="A111" i="4"/>
  <c r="A143" i="4"/>
  <c r="A31" i="5"/>
  <c r="A63" i="5"/>
  <c r="A111" i="5"/>
  <c r="A143" i="5"/>
  <c r="A73" i="3"/>
  <c r="A83" i="3"/>
  <c r="A89" i="3"/>
  <c r="A94" i="3"/>
  <c r="A99" i="3"/>
  <c r="A18" i="4"/>
  <c r="A28" i="4"/>
  <c r="A40" i="4"/>
  <c r="A50" i="4"/>
  <c r="A60" i="4"/>
  <c r="A76" i="4"/>
  <c r="A92" i="4"/>
  <c r="A108" i="4"/>
  <c r="A124" i="4"/>
  <c r="A140" i="4"/>
  <c r="A156" i="4"/>
  <c r="A12" i="5"/>
  <c r="A166" i="5" s="1"/>
  <c r="A28" i="5"/>
  <c r="A44" i="5"/>
  <c r="A60" i="5"/>
  <c r="A92" i="5"/>
  <c r="A108" i="5"/>
  <c r="A124" i="5"/>
  <c r="A140" i="5"/>
  <c r="A156" i="5"/>
  <c r="A5" i="3"/>
  <c r="A159" i="3" s="1"/>
  <c r="A5" i="5"/>
  <c r="A159" i="5" s="1"/>
  <c r="A8" i="3"/>
  <c r="A162" i="3" s="1"/>
  <c r="A8" i="5"/>
  <c r="A162" i="5" s="1"/>
  <c r="A9" i="3"/>
  <c r="A163" i="3" s="1"/>
  <c r="A9" i="5"/>
  <c r="A163" i="5" s="1"/>
  <c r="A14" i="3"/>
  <c r="A168" i="3" s="1"/>
  <c r="A14" i="5"/>
  <c r="A168" i="5" s="1"/>
  <c r="A16" i="3"/>
  <c r="A16" i="5"/>
  <c r="A30" i="3"/>
  <c r="A30" i="5"/>
  <c r="A30" i="4"/>
  <c r="A32" i="3"/>
  <c r="A32" i="5"/>
  <c r="A38" i="3"/>
  <c r="A38" i="5"/>
  <c r="A38" i="4"/>
  <c r="A54" i="5"/>
  <c r="A54" i="4"/>
  <c r="A64" i="3"/>
  <c r="A64" i="5"/>
  <c r="A69" i="3"/>
  <c r="A69" i="5"/>
  <c r="A69" i="4"/>
  <c r="A88" i="3"/>
  <c r="A77" i="5"/>
  <c r="A88" i="5"/>
  <c r="A77" i="4"/>
  <c r="A82" i="3"/>
  <c r="A82" i="4"/>
  <c r="A86" i="5"/>
  <c r="A86" i="4"/>
  <c r="A91" i="3"/>
  <c r="A91" i="4"/>
  <c r="A102" i="5"/>
  <c r="A102" i="4"/>
  <c r="A104" i="3"/>
  <c r="A104" i="5"/>
  <c r="A106" i="3"/>
  <c r="A106" i="4"/>
  <c r="A110" i="3"/>
  <c r="A110" i="5"/>
  <c r="A121" i="5"/>
  <c r="A110" i="4"/>
  <c r="A115" i="3"/>
  <c r="A115" i="4"/>
  <c r="A122" i="3"/>
  <c r="A122" i="4"/>
  <c r="A126" i="3"/>
  <c r="A126" i="5"/>
  <c r="A126" i="4"/>
  <c r="A130" i="3"/>
  <c r="A130" i="4"/>
  <c r="A131" i="3"/>
  <c r="A131" i="4"/>
  <c r="A137" i="3"/>
  <c r="A137" i="5"/>
  <c r="A142" i="3"/>
  <c r="A142" i="5"/>
  <c r="A142" i="4"/>
  <c r="A157" i="5"/>
  <c r="A157" i="4"/>
  <c r="A125" i="3"/>
  <c r="A125" i="5"/>
  <c r="A125" i="4"/>
  <c r="A157" i="3"/>
  <c r="A16" i="4"/>
  <c r="A36" i="4"/>
  <c r="A72" i="4"/>
  <c r="A120" i="4"/>
  <c r="A106" i="5"/>
  <c r="A138" i="5"/>
  <c r="A86" i="3"/>
  <c r="A102" i="3"/>
  <c r="A156" i="3"/>
  <c r="A25" i="4"/>
  <c r="A57" i="4"/>
  <c r="A87" i="4"/>
  <c r="A135" i="4"/>
  <c r="A23" i="5"/>
  <c r="A135" i="5"/>
  <c r="A145" i="3"/>
  <c r="A53" i="3"/>
  <c r="A24" i="4"/>
  <c r="A56" i="4"/>
  <c r="A100" i="4"/>
  <c r="A132" i="4"/>
  <c r="A20" i="5"/>
  <c r="A68" i="5"/>
  <c r="A116" i="5"/>
  <c r="A22" i="3"/>
  <c r="A41" i="4"/>
  <c r="A63" i="4"/>
  <c r="A95" i="4"/>
  <c r="A127" i="4"/>
  <c r="A15" i="5"/>
  <c r="A47" i="5"/>
  <c r="A79" i="5"/>
  <c r="A95" i="5"/>
  <c r="A127" i="5"/>
  <c r="A80" i="3"/>
  <c r="A8" i="4"/>
  <c r="A162" i="4" s="1"/>
  <c r="A17" i="4"/>
  <c r="A27" i="4"/>
  <c r="A39" i="4"/>
  <c r="A49" i="4"/>
  <c r="A59" i="4"/>
  <c r="A73" i="4"/>
  <c r="A89" i="4"/>
  <c r="A105" i="4"/>
  <c r="A121" i="4"/>
  <c r="A137" i="4"/>
  <c r="A153" i="4"/>
  <c r="A11" i="5"/>
  <c r="A165" i="5" s="1"/>
  <c r="A27" i="5"/>
  <c r="A43" i="5"/>
  <c r="A59" i="5"/>
  <c r="A75" i="5"/>
  <c r="A91" i="5"/>
  <c r="A107" i="5"/>
  <c r="A123" i="5"/>
  <c r="A139" i="5"/>
  <c r="A155" i="5"/>
  <c r="D3" i="5"/>
  <c r="D3" i="4"/>
  <c r="E3" i="4"/>
  <c r="F3" i="4"/>
  <c r="H3" i="4"/>
  <c r="H3" i="5"/>
  <c r="G3" i="4"/>
  <c r="G3" i="5"/>
  <c r="F3" i="5"/>
  <c r="C3" i="4"/>
  <c r="C3" i="5"/>
  <c r="B3" i="5"/>
  <c r="B3" i="4"/>
  <c r="H167" i="5"/>
  <c r="G167" i="5"/>
  <c r="H167" i="4"/>
  <c r="H189" i="10" s="1"/>
  <c r="H178" i="10" s="1"/>
  <c r="I178" i="10" s="1"/>
  <c r="D167" i="5"/>
  <c r="D168" i="5"/>
  <c r="D159" i="5"/>
  <c r="D181" i="11" s="1"/>
  <c r="D170" i="11" s="1"/>
  <c r="D162" i="5"/>
  <c r="D184" i="11" s="1"/>
  <c r="D173" i="11" s="1"/>
  <c r="H159" i="5"/>
  <c r="H163" i="5"/>
  <c r="F168" i="5"/>
  <c r="H168" i="5"/>
  <c r="C159" i="5"/>
  <c r="C181" i="11" s="1"/>
  <c r="C170" i="11" s="1"/>
  <c r="C160" i="5"/>
  <c r="C182" i="11" s="1"/>
  <c r="C171" i="11" s="1"/>
  <c r="C161" i="5"/>
  <c r="C183" i="11" s="1"/>
  <c r="C172" i="11" s="1"/>
  <c r="C162" i="5"/>
  <c r="C184" i="11" s="1"/>
  <c r="C173" i="11" s="1"/>
  <c r="C163" i="5"/>
  <c r="C164" i="5"/>
  <c r="G159" i="5"/>
  <c r="G181" i="11" s="1"/>
  <c r="G170" i="11" s="1"/>
  <c r="G160" i="5"/>
  <c r="G182" i="11" s="1"/>
  <c r="G171" i="11" s="1"/>
  <c r="G161" i="5"/>
  <c r="G183" i="11" s="1"/>
  <c r="G172" i="11" s="1"/>
  <c r="G162" i="5"/>
  <c r="G184" i="11" s="1"/>
  <c r="G173" i="11" s="1"/>
  <c r="G163" i="5"/>
  <c r="G164" i="5"/>
  <c r="E168" i="5"/>
  <c r="G168" i="5"/>
  <c r="D160" i="5"/>
  <c r="D182" i="11" s="1"/>
  <c r="D171" i="11" s="1"/>
  <c r="D163" i="5"/>
  <c r="C167" i="5"/>
  <c r="H160" i="5"/>
  <c r="H162" i="5"/>
  <c r="F167" i="5"/>
  <c r="F159" i="5"/>
  <c r="F181" i="11" s="1"/>
  <c r="F170" i="11" s="1"/>
  <c r="F160" i="5"/>
  <c r="F182" i="11" s="1"/>
  <c r="F171" i="11" s="1"/>
  <c r="F161" i="5"/>
  <c r="F183" i="11" s="1"/>
  <c r="F172" i="11" s="1"/>
  <c r="F162" i="5"/>
  <c r="F184" i="11" s="1"/>
  <c r="F173" i="11" s="1"/>
  <c r="F163" i="5"/>
  <c r="F164" i="5"/>
  <c r="D161" i="5"/>
  <c r="D183" i="11" s="1"/>
  <c r="D172" i="11" s="1"/>
  <c r="D164" i="5"/>
  <c r="C168" i="5"/>
  <c r="H161" i="5"/>
  <c r="H164" i="5"/>
  <c r="E167" i="5"/>
  <c r="E159" i="5"/>
  <c r="E181" i="11" s="1"/>
  <c r="E170" i="11" s="1"/>
  <c r="E160" i="5"/>
  <c r="E182" i="11" s="1"/>
  <c r="E171" i="11" s="1"/>
  <c r="E161" i="5"/>
  <c r="E183" i="11" s="1"/>
  <c r="E172" i="11" s="1"/>
  <c r="E162" i="5"/>
  <c r="E184" i="11" s="1"/>
  <c r="E173" i="11" s="1"/>
  <c r="E163" i="5"/>
  <c r="E164" i="5"/>
  <c r="G167" i="4"/>
  <c r="G189" i="10" s="1"/>
  <c r="G178" i="10" s="1"/>
  <c r="D159" i="4"/>
  <c r="D181" i="10" s="1"/>
  <c r="D170" i="10" s="1"/>
  <c r="D160" i="4"/>
  <c r="D182" i="10" s="1"/>
  <c r="D171" i="10" s="1"/>
  <c r="D161" i="4"/>
  <c r="D183" i="10" s="1"/>
  <c r="D172" i="10" s="1"/>
  <c r="D162" i="4"/>
  <c r="D184" i="10" s="1"/>
  <c r="D173" i="10" s="1"/>
  <c r="D163" i="4"/>
  <c r="D185" i="10" s="1"/>
  <c r="D174" i="10" s="1"/>
  <c r="D164" i="4"/>
  <c r="D186" i="10" s="1"/>
  <c r="D175" i="10" s="1"/>
  <c r="C167" i="4"/>
  <c r="C189" i="10" s="1"/>
  <c r="C178" i="10" s="1"/>
  <c r="C168" i="4"/>
  <c r="C190" i="10" s="1"/>
  <c r="C179" i="10" s="1"/>
  <c r="H159" i="4"/>
  <c r="H181" i="10" s="1"/>
  <c r="H170" i="10" s="1"/>
  <c r="H160" i="4"/>
  <c r="H182" i="10" s="1"/>
  <c r="H171" i="10" s="1"/>
  <c r="I171" i="10" s="1"/>
  <c r="H161" i="4"/>
  <c r="H183" i="10" s="1"/>
  <c r="H172" i="10" s="1"/>
  <c r="I172" i="10" s="1"/>
  <c r="H162" i="4"/>
  <c r="H184" i="10" s="1"/>
  <c r="H173" i="10" s="1"/>
  <c r="I173" i="10" s="1"/>
  <c r="H163" i="4"/>
  <c r="H185" i="10" s="1"/>
  <c r="H174" i="10" s="1"/>
  <c r="I174" i="10" s="1"/>
  <c r="H164" i="4"/>
  <c r="H186" i="10" s="1"/>
  <c r="H175" i="10" s="1"/>
  <c r="I175" i="10" s="1"/>
  <c r="F168" i="4"/>
  <c r="F190" i="10" s="1"/>
  <c r="F179" i="10" s="1"/>
  <c r="E167" i="4"/>
  <c r="E189" i="10" s="1"/>
  <c r="E178" i="10" s="1"/>
  <c r="H168" i="4"/>
  <c r="H190" i="10" s="1"/>
  <c r="H179" i="10" s="1"/>
  <c r="I179" i="10" s="1"/>
  <c r="F167" i="4"/>
  <c r="F189" i="10" s="1"/>
  <c r="F178" i="10" s="1"/>
  <c r="D167" i="4"/>
  <c r="D189" i="10" s="1"/>
  <c r="D178" i="10" s="1"/>
  <c r="C159" i="4"/>
  <c r="C181" i="10" s="1"/>
  <c r="C170" i="10" s="1"/>
  <c r="C160" i="4"/>
  <c r="C182" i="10" s="1"/>
  <c r="C171" i="10" s="1"/>
  <c r="C161" i="4"/>
  <c r="C183" i="10" s="1"/>
  <c r="C172" i="10" s="1"/>
  <c r="C162" i="4"/>
  <c r="C184" i="10" s="1"/>
  <c r="C173" i="10" s="1"/>
  <c r="C163" i="4"/>
  <c r="C185" i="10" s="1"/>
  <c r="C174" i="10" s="1"/>
  <c r="C164" i="4"/>
  <c r="C186" i="10" s="1"/>
  <c r="C175" i="10" s="1"/>
  <c r="G159" i="4"/>
  <c r="G181" i="10" s="1"/>
  <c r="G170" i="10" s="1"/>
  <c r="G160" i="4"/>
  <c r="G182" i="10" s="1"/>
  <c r="G171" i="10" s="1"/>
  <c r="G161" i="4"/>
  <c r="G183" i="10" s="1"/>
  <c r="G172" i="10" s="1"/>
  <c r="G162" i="4"/>
  <c r="G184" i="10" s="1"/>
  <c r="G173" i="10" s="1"/>
  <c r="G163" i="4"/>
  <c r="G185" i="10" s="1"/>
  <c r="G174" i="10" s="1"/>
  <c r="G164" i="4"/>
  <c r="G186" i="10" s="1"/>
  <c r="G175" i="10" s="1"/>
  <c r="E168" i="4"/>
  <c r="E190" i="10" s="1"/>
  <c r="E179" i="10" s="1"/>
  <c r="G168" i="4"/>
  <c r="G190" i="10" s="1"/>
  <c r="G179" i="10" s="1"/>
  <c r="D168" i="4"/>
  <c r="D190" i="10" s="1"/>
  <c r="D179" i="10" s="1"/>
  <c r="F159" i="4"/>
  <c r="F181" i="10" s="1"/>
  <c r="F170" i="10" s="1"/>
  <c r="F160" i="4"/>
  <c r="F182" i="10" s="1"/>
  <c r="F171" i="10" s="1"/>
  <c r="F161" i="4"/>
  <c r="F183" i="10" s="1"/>
  <c r="F172" i="10" s="1"/>
  <c r="F162" i="4"/>
  <c r="F184" i="10" s="1"/>
  <c r="F173" i="10" s="1"/>
  <c r="F163" i="4"/>
  <c r="F185" i="10" s="1"/>
  <c r="F174" i="10" s="1"/>
  <c r="F164" i="4"/>
  <c r="F186" i="10" s="1"/>
  <c r="F175" i="10" s="1"/>
  <c r="G161" i="3"/>
  <c r="G183" i="9" s="1"/>
  <c r="G172" i="9" s="1"/>
  <c r="H163" i="3"/>
  <c r="H164" i="3"/>
  <c r="G160" i="3"/>
  <c r="G182" i="9" s="1"/>
  <c r="G171" i="9" s="1"/>
  <c r="E159" i="4"/>
  <c r="E181" i="10" s="1"/>
  <c r="E170" i="10" s="1"/>
  <c r="E160" i="4"/>
  <c r="E182" i="10" s="1"/>
  <c r="E171" i="10" s="1"/>
  <c r="E161" i="4"/>
  <c r="E183" i="10" s="1"/>
  <c r="E172" i="10" s="1"/>
  <c r="E162" i="4"/>
  <c r="E184" i="10" s="1"/>
  <c r="E173" i="10" s="1"/>
  <c r="E163" i="4"/>
  <c r="E185" i="10" s="1"/>
  <c r="E174" i="10" s="1"/>
  <c r="E164" i="4"/>
  <c r="E186" i="10" s="1"/>
  <c r="E175" i="10" s="1"/>
  <c r="G159" i="3"/>
  <c r="G181" i="9" s="1"/>
  <c r="G170" i="9" s="1"/>
  <c r="H168" i="3"/>
  <c r="G168" i="3"/>
  <c r="G167" i="3"/>
  <c r="C163" i="3"/>
  <c r="C168" i="3"/>
  <c r="C159" i="3"/>
  <c r="C181" i="9" s="1"/>
  <c r="C170" i="9" s="1"/>
  <c r="H160" i="3"/>
  <c r="H182" i="9" s="1"/>
  <c r="H171" i="9" s="1"/>
  <c r="I171" i="9" s="1"/>
  <c r="H161" i="3"/>
  <c r="H183" i="9" s="1"/>
  <c r="H172" i="9" s="1"/>
  <c r="I172" i="9" s="1"/>
  <c r="H159" i="3"/>
  <c r="H181" i="9" s="1"/>
  <c r="H170" i="9" s="1"/>
  <c r="D164" i="3"/>
  <c r="C161" i="3"/>
  <c r="C183" i="9" s="1"/>
  <c r="C172" i="9" s="1"/>
  <c r="G163" i="3"/>
  <c r="F163" i="3"/>
  <c r="D167" i="3"/>
  <c r="E159" i="3"/>
  <c r="E181" i="9" s="1"/>
  <c r="E170" i="9" s="1"/>
  <c r="C160" i="3"/>
  <c r="C182" i="9" s="1"/>
  <c r="C171" i="9" s="1"/>
  <c r="E160" i="3"/>
  <c r="E182" i="9" s="1"/>
  <c r="E171" i="9" s="1"/>
  <c r="E161" i="3"/>
  <c r="E183" i="9" s="1"/>
  <c r="E172" i="9" s="1"/>
  <c r="E162" i="3"/>
  <c r="E184" i="9" s="1"/>
  <c r="E173" i="9" s="1"/>
  <c r="D163" i="3"/>
  <c r="F168" i="3"/>
  <c r="C167" i="3"/>
  <c r="G162" i="3"/>
  <c r="G184" i="9" s="1"/>
  <c r="G173" i="9" s="1"/>
  <c r="D159" i="3"/>
  <c r="D181" i="9" s="1"/>
  <c r="D170" i="9" s="1"/>
  <c r="D160" i="3"/>
  <c r="D182" i="9" s="1"/>
  <c r="D171" i="9" s="1"/>
  <c r="C162" i="3"/>
  <c r="C184" i="9" s="1"/>
  <c r="C173" i="9" s="1"/>
  <c r="F162" i="3"/>
  <c r="F184" i="9" s="1"/>
  <c r="F173" i="9" s="1"/>
  <c r="E164" i="3"/>
  <c r="G164" i="3"/>
  <c r="E167" i="3"/>
  <c r="H167" i="3"/>
  <c r="D168" i="3"/>
  <c r="E168" i="3"/>
  <c r="F159" i="3"/>
  <c r="F181" i="9" s="1"/>
  <c r="F170" i="9" s="1"/>
  <c r="D161" i="3"/>
  <c r="D183" i="9" s="1"/>
  <c r="D172" i="9" s="1"/>
  <c r="F161" i="3"/>
  <c r="F183" i="9" s="1"/>
  <c r="F172" i="9" s="1"/>
  <c r="D162" i="3"/>
  <c r="D184" i="9" s="1"/>
  <c r="D173" i="9" s="1"/>
  <c r="E163" i="3"/>
  <c r="C164" i="3"/>
  <c r="F164" i="3"/>
  <c r="F167" i="3"/>
  <c r="F160" i="3"/>
  <c r="F182" i="9" s="1"/>
  <c r="F171" i="9" s="1"/>
  <c r="H162" i="3"/>
  <c r="H184" i="9" s="1"/>
  <c r="H173" i="9" s="1"/>
  <c r="I173" i="9" s="1"/>
  <c r="A68" i="3"/>
  <c r="A66" i="3"/>
  <c r="A46" i="3"/>
  <c r="A11" i="3"/>
  <c r="A165" i="3" s="1"/>
  <c r="A112" i="3"/>
  <c r="A132" i="3"/>
  <c r="A35" i="3"/>
  <c r="A154" i="3"/>
  <c r="I170" i="10" l="1"/>
  <c r="I170" i="9"/>
  <c r="J172" i="9"/>
  <c r="J177" i="9"/>
  <c r="J173" i="9"/>
  <c r="J171" i="9"/>
  <c r="J172" i="10"/>
  <c r="J177" i="10"/>
  <c r="J175" i="10"/>
  <c r="J171" i="10"/>
  <c r="J179" i="10"/>
  <c r="J174" i="10"/>
  <c r="J170" i="10"/>
  <c r="J178" i="10"/>
  <c r="J173" i="10"/>
  <c r="J177" i="11"/>
  <c r="H181" i="11"/>
  <c r="H170" i="11" s="1"/>
  <c r="I170" i="11" s="1"/>
  <c r="H184" i="11"/>
  <c r="H173" i="11" s="1"/>
  <c r="I173" i="11" s="1"/>
  <c r="H183" i="11"/>
  <c r="H172" i="11" s="1"/>
  <c r="H182" i="11"/>
  <c r="H171" i="11" s="1"/>
  <c r="H165" i="9"/>
  <c r="H165" i="10"/>
  <c r="B133" i="16"/>
  <c r="B165" i="10"/>
  <c r="C187" i="10"/>
  <c r="C176" i="10" s="1"/>
  <c r="B187" i="10"/>
  <c r="B176" i="10" s="1"/>
  <c r="D187" i="10"/>
  <c r="D176" i="10" s="1"/>
  <c r="E187" i="10"/>
  <c r="E176" i="10" s="1"/>
  <c r="H187" i="10"/>
  <c r="H176" i="10" s="1"/>
  <c r="I176" i="10" s="1"/>
  <c r="B188" i="10"/>
  <c r="B177" i="10" s="1"/>
  <c r="I45" i="10" s="1"/>
  <c r="F187" i="10"/>
  <c r="F176" i="10" s="1"/>
  <c r="G187" i="10"/>
  <c r="G176" i="10" s="1"/>
  <c r="B168" i="9"/>
  <c r="H187" i="11"/>
  <c r="H176" i="11" s="1"/>
  <c r="I176" i="11" s="1"/>
  <c r="D187" i="11"/>
  <c r="D176" i="11" s="1"/>
  <c r="E187" i="11"/>
  <c r="E176" i="11" s="1"/>
  <c r="C165" i="11"/>
  <c r="H166" i="4"/>
  <c r="H165" i="5"/>
  <c r="G165" i="5"/>
  <c r="G166" i="4"/>
  <c r="B165" i="4"/>
  <c r="G166" i="5"/>
  <c r="E166" i="4"/>
  <c r="F165" i="4"/>
  <c r="F187" i="11"/>
  <c r="F176" i="11" s="1"/>
  <c r="C166" i="4"/>
  <c r="C166" i="5"/>
  <c r="B167" i="5"/>
  <c r="F166" i="5"/>
  <c r="H166" i="5"/>
  <c r="D166" i="4"/>
  <c r="B160" i="5"/>
  <c r="B182" i="11" s="1"/>
  <c r="B171" i="11" s="1"/>
  <c r="E166" i="5"/>
  <c r="F165" i="5"/>
  <c r="E165" i="5"/>
  <c r="B165" i="5"/>
  <c r="B160" i="4"/>
  <c r="B182" i="10" s="1"/>
  <c r="D165" i="4"/>
  <c r="B161" i="4"/>
  <c r="B183" i="10" s="1"/>
  <c r="B168" i="5"/>
  <c r="G165" i="4"/>
  <c r="E165" i="4"/>
  <c r="F166" i="4"/>
  <c r="B187" i="11"/>
  <c r="B176" i="11" s="1"/>
  <c r="B166" i="5"/>
  <c r="B164" i="4"/>
  <c r="B186" i="10" s="1"/>
  <c r="B164" i="5"/>
  <c r="B186" i="11" s="1"/>
  <c r="B175" i="11" s="1"/>
  <c r="D166" i="5"/>
  <c r="B167" i="4"/>
  <c r="B189" i="10" s="1"/>
  <c r="B162" i="5"/>
  <c r="B184" i="11" s="1"/>
  <c r="B173" i="11" s="1"/>
  <c r="E165" i="11"/>
  <c r="C165" i="4"/>
  <c r="H165" i="4"/>
  <c r="B163" i="5"/>
  <c r="B163" i="4"/>
  <c r="B185" i="10" s="1"/>
  <c r="B168" i="4"/>
  <c r="B190" i="10" s="1"/>
  <c r="B166" i="4"/>
  <c r="B188" i="11"/>
  <c r="B177" i="11" s="1"/>
  <c r="I78" i="11" s="1"/>
  <c r="G187" i="11"/>
  <c r="G176" i="11" s="1"/>
  <c r="B159" i="4"/>
  <c r="B181" i="10" s="1"/>
  <c r="B161" i="5"/>
  <c r="B183" i="11" s="1"/>
  <c r="B172" i="11" s="1"/>
  <c r="B161" i="11"/>
  <c r="B159" i="5"/>
  <c r="B181" i="11" s="1"/>
  <c r="B170" i="11" s="1"/>
  <c r="C165" i="5"/>
  <c r="B162" i="4"/>
  <c r="B184" i="10" s="1"/>
  <c r="B166" i="11"/>
  <c r="B160" i="11"/>
  <c r="B159" i="11"/>
  <c r="H165" i="11"/>
  <c r="C187" i="11"/>
  <c r="C176" i="11" s="1"/>
  <c r="B165" i="9"/>
  <c r="B164" i="11"/>
  <c r="B167" i="11"/>
  <c r="D165" i="11"/>
  <c r="B165" i="11"/>
  <c r="D165" i="5"/>
  <c r="F165" i="11"/>
  <c r="B162" i="11"/>
  <c r="B163" i="11"/>
  <c r="B168" i="11"/>
  <c r="G165" i="11"/>
  <c r="E189" i="11"/>
  <c r="E178" i="11" s="1"/>
  <c r="C190" i="11"/>
  <c r="C179" i="11" s="1"/>
  <c r="F189" i="11"/>
  <c r="F178" i="11" s="1"/>
  <c r="G190" i="11"/>
  <c r="G179" i="11" s="1"/>
  <c r="E185" i="11"/>
  <c r="E174" i="11" s="1"/>
  <c r="G186" i="11"/>
  <c r="G175" i="11" s="1"/>
  <c r="H190" i="11"/>
  <c r="H179" i="11" s="1"/>
  <c r="I179" i="11" s="1"/>
  <c r="F186" i="11"/>
  <c r="F175" i="11" s="1"/>
  <c r="C189" i="11"/>
  <c r="C178" i="11" s="1"/>
  <c r="G185" i="11"/>
  <c r="G174" i="11" s="1"/>
  <c r="C186" i="11"/>
  <c r="C175" i="11" s="1"/>
  <c r="D190" i="11"/>
  <c r="D179" i="11" s="1"/>
  <c r="H189" i="11"/>
  <c r="H178" i="11" s="1"/>
  <c r="I178" i="11" s="1"/>
  <c r="E186" i="11"/>
  <c r="E175" i="11" s="1"/>
  <c r="H185" i="11"/>
  <c r="H174" i="11" s="1"/>
  <c r="I174" i="11" s="1"/>
  <c r="G189" i="11"/>
  <c r="G178" i="11" s="1"/>
  <c r="H186" i="11"/>
  <c r="H175" i="11" s="1"/>
  <c r="I175" i="11" s="1"/>
  <c r="D186" i="11"/>
  <c r="D175" i="11" s="1"/>
  <c r="F185" i="11"/>
  <c r="F174" i="11" s="1"/>
  <c r="D185" i="11"/>
  <c r="D174" i="11" s="1"/>
  <c r="E190" i="11"/>
  <c r="E179" i="11" s="1"/>
  <c r="C185" i="11"/>
  <c r="C174" i="11" s="1"/>
  <c r="F190" i="11"/>
  <c r="F179" i="11" s="1"/>
  <c r="D189" i="11"/>
  <c r="D178" i="11" s="1"/>
  <c r="C189" i="9"/>
  <c r="C178" i="9" s="1"/>
  <c r="D186" i="9"/>
  <c r="D175" i="9" s="1"/>
  <c r="G190" i="9"/>
  <c r="G179" i="9" s="1"/>
  <c r="C186" i="9"/>
  <c r="C175" i="9" s="1"/>
  <c r="H189" i="9"/>
  <c r="H178" i="9" s="1"/>
  <c r="I178" i="9" s="1"/>
  <c r="G189" i="9"/>
  <c r="G178" i="9" s="1"/>
  <c r="F186" i="9"/>
  <c r="F175" i="9" s="1"/>
  <c r="D190" i="9"/>
  <c r="D179" i="9" s="1"/>
  <c r="E186" i="9"/>
  <c r="E175" i="9" s="1"/>
  <c r="D185" i="9"/>
  <c r="D174" i="9" s="1"/>
  <c r="G185" i="9"/>
  <c r="G174" i="9" s="1"/>
  <c r="C185" i="9"/>
  <c r="C174" i="9" s="1"/>
  <c r="H186" i="9"/>
  <c r="H175" i="9" s="1"/>
  <c r="I175" i="9" s="1"/>
  <c r="E185" i="9"/>
  <c r="E174" i="9" s="1"/>
  <c r="E189" i="9"/>
  <c r="E178" i="9" s="1"/>
  <c r="D189" i="9"/>
  <c r="D178" i="9" s="1"/>
  <c r="H185" i="9"/>
  <c r="H174" i="9" s="1"/>
  <c r="I174" i="9" s="1"/>
  <c r="F189" i="9"/>
  <c r="F178" i="9" s="1"/>
  <c r="E190" i="9"/>
  <c r="E179" i="9" s="1"/>
  <c r="G186" i="9"/>
  <c r="G175" i="9" s="1"/>
  <c r="F190" i="9"/>
  <c r="F179" i="9" s="1"/>
  <c r="F185" i="9"/>
  <c r="F174" i="9" s="1"/>
  <c r="C190" i="9"/>
  <c r="C179" i="9" s="1"/>
  <c r="H190" i="9"/>
  <c r="H179" i="9" s="1"/>
  <c r="I179" i="9" s="1"/>
  <c r="F187" i="9"/>
  <c r="F176" i="9" s="1"/>
  <c r="D187" i="9"/>
  <c r="D176" i="9" s="1"/>
  <c r="B187" i="9"/>
  <c r="B176" i="9" s="1"/>
  <c r="E187" i="9"/>
  <c r="E176" i="9" s="1"/>
  <c r="C187" i="9"/>
  <c r="C176" i="9" s="1"/>
  <c r="H187" i="9"/>
  <c r="H176" i="9" s="1"/>
  <c r="I176" i="9" s="1"/>
  <c r="G187" i="9"/>
  <c r="G176" i="9" s="1"/>
  <c r="B188" i="9"/>
  <c r="B177" i="9" s="1"/>
  <c r="E166" i="3"/>
  <c r="G165" i="3"/>
  <c r="C165" i="3"/>
  <c r="G166" i="3"/>
  <c r="B167" i="3"/>
  <c r="D166" i="3"/>
  <c r="B165" i="3"/>
  <c r="B159" i="3"/>
  <c r="B160" i="3"/>
  <c r="F166" i="3"/>
  <c r="C166" i="3"/>
  <c r="H166" i="3"/>
  <c r="B163" i="3"/>
  <c r="B164" i="3"/>
  <c r="B162" i="3"/>
  <c r="E165" i="3"/>
  <c r="B161" i="3"/>
  <c r="B168" i="3"/>
  <c r="D165" i="3"/>
  <c r="H165" i="3"/>
  <c r="B166" i="3"/>
  <c r="F165" i="3"/>
  <c r="J170" i="9" l="1"/>
  <c r="K170" i="9" s="1"/>
  <c r="J56" i="9"/>
  <c r="J89" i="9"/>
  <c r="J34" i="9"/>
  <c r="J122" i="9"/>
  <c r="J12" i="9"/>
  <c r="J111" i="9"/>
  <c r="J45" i="9"/>
  <c r="J67" i="9"/>
  <c r="J155" i="9"/>
  <c r="J144" i="9"/>
  <c r="J78" i="9"/>
  <c r="K177" i="9"/>
  <c r="J176" i="9"/>
  <c r="K173" i="9"/>
  <c r="K172" i="9"/>
  <c r="J179" i="9"/>
  <c r="K171" i="9"/>
  <c r="J174" i="9"/>
  <c r="J175" i="9"/>
  <c r="J178" i="9"/>
  <c r="I142" i="11"/>
  <c r="J45" i="11"/>
  <c r="I85" i="11"/>
  <c r="I45" i="11"/>
  <c r="J122" i="11"/>
  <c r="I49" i="11"/>
  <c r="I111" i="11"/>
  <c r="J144" i="11"/>
  <c r="J56" i="11"/>
  <c r="J67" i="11"/>
  <c r="I76" i="11"/>
  <c r="I89" i="11"/>
  <c r="I131" i="11"/>
  <c r="I109" i="11"/>
  <c r="J111" i="11"/>
  <c r="I148" i="11"/>
  <c r="I98" i="11"/>
  <c r="I54" i="11"/>
  <c r="I43" i="11"/>
  <c r="J12" i="11"/>
  <c r="J89" i="11"/>
  <c r="J78" i="11"/>
  <c r="I122" i="10"/>
  <c r="I87" i="11"/>
  <c r="J34" i="11"/>
  <c r="I10" i="11"/>
  <c r="I21" i="11"/>
  <c r="I153" i="11"/>
  <c r="J155" i="11"/>
  <c r="I154" i="11"/>
  <c r="I110" i="11"/>
  <c r="I88" i="11"/>
  <c r="I66" i="11"/>
  <c r="I44" i="11"/>
  <c r="I143" i="11"/>
  <c r="I121" i="11"/>
  <c r="I33" i="11"/>
  <c r="I11" i="11"/>
  <c r="I55" i="11"/>
  <c r="I77" i="11"/>
  <c r="I63" i="11"/>
  <c r="I140" i="11"/>
  <c r="I8" i="11"/>
  <c r="I41" i="11"/>
  <c r="I96" i="11"/>
  <c r="I129" i="11"/>
  <c r="I52" i="11"/>
  <c r="I118" i="11"/>
  <c r="I19" i="11"/>
  <c r="I12" i="10"/>
  <c r="I107" i="11"/>
  <c r="I30" i="11"/>
  <c r="I93" i="11"/>
  <c r="I126" i="11"/>
  <c r="I16" i="11"/>
  <c r="I27" i="11"/>
  <c r="I82" i="11"/>
  <c r="I137" i="11"/>
  <c r="I60" i="11"/>
  <c r="I38" i="11"/>
  <c r="I104" i="11"/>
  <c r="I115" i="11"/>
  <c r="I155" i="11"/>
  <c r="I67" i="11"/>
  <c r="I144" i="11"/>
  <c r="I122" i="11"/>
  <c r="I34" i="11"/>
  <c r="I12" i="11"/>
  <c r="I56" i="11"/>
  <c r="I78" i="10"/>
  <c r="I5" i="11"/>
  <c r="I120" i="11"/>
  <c r="I71" i="11"/>
  <c r="I32" i="11"/>
  <c r="I74" i="11"/>
  <c r="I65" i="11"/>
  <c r="I151" i="11"/>
  <c r="K174" i="10"/>
  <c r="K171" i="10"/>
  <c r="K175" i="10"/>
  <c r="I144" i="10"/>
  <c r="I34" i="10"/>
  <c r="I89" i="10"/>
  <c r="K179" i="10"/>
  <c r="I154" i="10"/>
  <c r="I110" i="10"/>
  <c r="I88" i="10"/>
  <c r="I66" i="10"/>
  <c r="I44" i="10"/>
  <c r="I11" i="10"/>
  <c r="I143" i="10"/>
  <c r="I77" i="10"/>
  <c r="I121" i="10"/>
  <c r="I55" i="10"/>
  <c r="I33" i="10"/>
  <c r="I67" i="10"/>
  <c r="I111" i="10"/>
  <c r="I56" i="10"/>
  <c r="K173" i="10"/>
  <c r="K178" i="10"/>
  <c r="K170" i="10"/>
  <c r="I155" i="10"/>
  <c r="K177" i="10"/>
  <c r="J12" i="10"/>
  <c r="J45" i="10"/>
  <c r="J111" i="10"/>
  <c r="J34" i="10"/>
  <c r="J144" i="10"/>
  <c r="J67" i="10"/>
  <c r="J122" i="10"/>
  <c r="J155" i="10"/>
  <c r="J56" i="10"/>
  <c r="J78" i="10"/>
  <c r="J89" i="10"/>
  <c r="K172" i="10"/>
  <c r="J176" i="10"/>
  <c r="J179" i="11"/>
  <c r="J175" i="11"/>
  <c r="J173" i="11"/>
  <c r="K177" i="11"/>
  <c r="J174" i="11"/>
  <c r="J178" i="11"/>
  <c r="J170" i="11"/>
  <c r="J176" i="11"/>
  <c r="I171" i="11"/>
  <c r="I172" i="11"/>
  <c r="I154" i="9"/>
  <c r="I110" i="9"/>
  <c r="I88" i="9"/>
  <c r="I66" i="9"/>
  <c r="I44" i="9"/>
  <c r="I121" i="9"/>
  <c r="I55" i="9"/>
  <c r="I33" i="9"/>
  <c r="I143" i="9"/>
  <c r="I11" i="9"/>
  <c r="I77" i="9"/>
  <c r="I12" i="9"/>
  <c r="I67" i="9"/>
  <c r="I34" i="9"/>
  <c r="I144" i="9"/>
  <c r="I89" i="9"/>
  <c r="I56" i="9"/>
  <c r="I122" i="9"/>
  <c r="I155" i="9"/>
  <c r="I111" i="9"/>
  <c r="I45" i="9"/>
  <c r="I78" i="9"/>
  <c r="B175" i="10"/>
  <c r="J109" i="10" s="1"/>
  <c r="B173" i="10"/>
  <c r="J85" i="10" s="1"/>
  <c r="B178" i="10"/>
  <c r="J145" i="10" s="1"/>
  <c r="B171" i="10"/>
  <c r="J94" i="10" s="1"/>
  <c r="B170" i="10"/>
  <c r="J104" i="10" s="1"/>
  <c r="B179" i="10"/>
  <c r="J47" i="10" s="1"/>
  <c r="B174" i="10"/>
  <c r="J86" i="10" s="1"/>
  <c r="B172" i="10"/>
  <c r="J150" i="10" s="1"/>
  <c r="B161" i="17"/>
  <c r="M172" i="11" s="1"/>
  <c r="B165" i="17"/>
  <c r="M176" i="11" s="1"/>
  <c r="B160" i="17"/>
  <c r="B149" i="17" s="1"/>
  <c r="B166" i="17"/>
  <c r="M177" i="11" s="1"/>
  <c r="B162" i="17"/>
  <c r="M173" i="11" s="1"/>
  <c r="B159" i="17"/>
  <c r="B148" i="17" s="1"/>
  <c r="B164" i="17"/>
  <c r="M175" i="11" s="1"/>
  <c r="B166" i="16"/>
  <c r="B165" i="16"/>
  <c r="M176" i="10" s="1"/>
  <c r="B166" i="18"/>
  <c r="M177" i="9" s="1"/>
  <c r="B165" i="18"/>
  <c r="M176" i="9" s="1"/>
  <c r="B133" i="12"/>
  <c r="B189" i="11"/>
  <c r="B178" i="11" s="1"/>
  <c r="I101" i="11" s="1"/>
  <c r="B190" i="11"/>
  <c r="B179" i="11" s="1"/>
  <c r="I80" i="11" s="1"/>
  <c r="B185" i="11"/>
  <c r="B174" i="11" s="1"/>
  <c r="I42" i="11" s="1"/>
  <c r="B183" i="9"/>
  <c r="B182" i="9"/>
  <c r="B186" i="9"/>
  <c r="B184" i="9"/>
  <c r="B185" i="9"/>
  <c r="B189" i="9"/>
  <c r="B190" i="9"/>
  <c r="B181" i="9"/>
  <c r="K56" i="9" l="1"/>
  <c r="K89" i="9"/>
  <c r="K34" i="9"/>
  <c r="K122" i="9"/>
  <c r="K67" i="9"/>
  <c r="K12" i="9"/>
  <c r="K111" i="9"/>
  <c r="K155" i="9"/>
  <c r="K144" i="9"/>
  <c r="K78" i="9"/>
  <c r="K45" i="9"/>
  <c r="J154" i="9"/>
  <c r="J143" i="9"/>
  <c r="J110" i="9"/>
  <c r="J121" i="9"/>
  <c r="J88" i="9"/>
  <c r="J44" i="9"/>
  <c r="J77" i="9"/>
  <c r="J33" i="9"/>
  <c r="J66" i="9"/>
  <c r="J11" i="9"/>
  <c r="J55" i="9"/>
  <c r="J166" i="9"/>
  <c r="K178" i="9"/>
  <c r="K174" i="9"/>
  <c r="K179" i="9"/>
  <c r="K176" i="9"/>
  <c r="K175" i="9"/>
  <c r="J46" i="10"/>
  <c r="J53" i="10"/>
  <c r="J124" i="10"/>
  <c r="I141" i="11"/>
  <c r="J130" i="10"/>
  <c r="I14" i="11"/>
  <c r="I64" i="11"/>
  <c r="I91" i="11"/>
  <c r="I53" i="11"/>
  <c r="I25" i="11"/>
  <c r="J74" i="10"/>
  <c r="J116" i="10"/>
  <c r="I159" i="11"/>
  <c r="I159" i="17" s="1"/>
  <c r="I60" i="17" s="1"/>
  <c r="I60" i="13" s="1"/>
  <c r="I119" i="11"/>
  <c r="I102" i="11"/>
  <c r="I31" i="11"/>
  <c r="J101" i="10"/>
  <c r="J41" i="10"/>
  <c r="J14" i="10"/>
  <c r="I97" i="11"/>
  <c r="I47" i="11"/>
  <c r="J154" i="11"/>
  <c r="J110" i="11"/>
  <c r="J88" i="11"/>
  <c r="J66" i="11"/>
  <c r="J44" i="11"/>
  <c r="J143" i="11"/>
  <c r="J121" i="11"/>
  <c r="J77" i="11"/>
  <c r="J55" i="11"/>
  <c r="J33" i="11"/>
  <c r="J11" i="11"/>
  <c r="I112" i="11"/>
  <c r="I156" i="11"/>
  <c r="I162" i="11"/>
  <c r="I162" i="17" s="1"/>
  <c r="J27" i="11"/>
  <c r="J82" i="11"/>
  <c r="J137" i="11"/>
  <c r="J60" i="11"/>
  <c r="J71" i="11"/>
  <c r="J49" i="11"/>
  <c r="J115" i="11"/>
  <c r="J104" i="11"/>
  <c r="J38" i="11"/>
  <c r="J93" i="11"/>
  <c r="J16" i="11"/>
  <c r="J5" i="11"/>
  <c r="J126" i="11"/>
  <c r="J148" i="11"/>
  <c r="J7" i="10"/>
  <c r="I166" i="10"/>
  <c r="I166" i="16" s="1"/>
  <c r="I134" i="11"/>
  <c r="I35" i="11"/>
  <c r="I149" i="11"/>
  <c r="I17" i="11"/>
  <c r="I72" i="11"/>
  <c r="I39" i="11"/>
  <c r="I94" i="11"/>
  <c r="I127" i="11"/>
  <c r="I138" i="11"/>
  <c r="I83" i="11"/>
  <c r="I61" i="11"/>
  <c r="I116" i="11"/>
  <c r="I28" i="11"/>
  <c r="I105" i="11"/>
  <c r="I6" i="11"/>
  <c r="I50" i="11"/>
  <c r="J145" i="11"/>
  <c r="J123" i="11"/>
  <c r="J79" i="11"/>
  <c r="J156" i="11"/>
  <c r="J134" i="11"/>
  <c r="J112" i="11"/>
  <c r="J68" i="11"/>
  <c r="J46" i="11"/>
  <c r="J24" i="11"/>
  <c r="J13" i="11"/>
  <c r="J35" i="11"/>
  <c r="J101" i="11"/>
  <c r="J57" i="11"/>
  <c r="J90" i="11"/>
  <c r="J65" i="11"/>
  <c r="J109" i="11"/>
  <c r="J153" i="11"/>
  <c r="J10" i="11"/>
  <c r="J76" i="11"/>
  <c r="J87" i="11"/>
  <c r="J98" i="11"/>
  <c r="J131" i="11"/>
  <c r="J21" i="11"/>
  <c r="J43" i="11"/>
  <c r="J54" i="11"/>
  <c r="J120" i="11"/>
  <c r="J32" i="11"/>
  <c r="J142" i="11"/>
  <c r="J117" i="10"/>
  <c r="J123" i="10"/>
  <c r="J107" i="10"/>
  <c r="I36" i="11"/>
  <c r="I24" i="11"/>
  <c r="I68" i="11"/>
  <c r="I123" i="11"/>
  <c r="I58" i="11"/>
  <c r="I124" i="11"/>
  <c r="I157" i="11"/>
  <c r="I164" i="11"/>
  <c r="I164" i="17" s="1"/>
  <c r="I10" i="17" s="1"/>
  <c r="I10" i="13" s="1"/>
  <c r="I135" i="11"/>
  <c r="J166" i="11"/>
  <c r="J166" i="17" s="1"/>
  <c r="I13" i="11"/>
  <c r="K89" i="11"/>
  <c r="K78" i="11"/>
  <c r="K144" i="11"/>
  <c r="K111" i="11"/>
  <c r="K122" i="11"/>
  <c r="K155" i="11"/>
  <c r="K34" i="11"/>
  <c r="K67" i="11"/>
  <c r="K56" i="11"/>
  <c r="K12" i="11"/>
  <c r="K45" i="11"/>
  <c r="I117" i="11"/>
  <c r="I18" i="11"/>
  <c r="I73" i="11"/>
  <c r="I62" i="11"/>
  <c r="I150" i="11"/>
  <c r="I29" i="11"/>
  <c r="I40" i="11"/>
  <c r="I84" i="11"/>
  <c r="I7" i="11"/>
  <c r="I95" i="11"/>
  <c r="I139" i="11"/>
  <c r="I128" i="11"/>
  <c r="I106" i="11"/>
  <c r="I51" i="11"/>
  <c r="J129" i="11"/>
  <c r="J74" i="11"/>
  <c r="J151" i="11"/>
  <c r="J41" i="11"/>
  <c r="J140" i="11"/>
  <c r="J85" i="11"/>
  <c r="J118" i="11"/>
  <c r="J30" i="11"/>
  <c r="J52" i="11"/>
  <c r="J96" i="11"/>
  <c r="J8" i="11"/>
  <c r="J107" i="11"/>
  <c r="J19" i="11"/>
  <c r="J63" i="11"/>
  <c r="J105" i="10"/>
  <c r="I90" i="11"/>
  <c r="I79" i="11"/>
  <c r="I20" i="11"/>
  <c r="I75" i="11"/>
  <c r="I113" i="11"/>
  <c r="I146" i="11"/>
  <c r="J108" i="11"/>
  <c r="J42" i="11"/>
  <c r="J141" i="11"/>
  <c r="J152" i="11"/>
  <c r="J20" i="11"/>
  <c r="J86" i="11"/>
  <c r="J53" i="11"/>
  <c r="J130" i="11"/>
  <c r="J9" i="11"/>
  <c r="J31" i="11"/>
  <c r="J75" i="11"/>
  <c r="J64" i="11"/>
  <c r="J119" i="11"/>
  <c r="J97" i="11"/>
  <c r="J14" i="11"/>
  <c r="J36" i="11"/>
  <c r="J113" i="11"/>
  <c r="J25" i="11"/>
  <c r="J69" i="11"/>
  <c r="J80" i="11"/>
  <c r="J157" i="11"/>
  <c r="J135" i="11"/>
  <c r="J91" i="11"/>
  <c r="J124" i="11"/>
  <c r="J47" i="11"/>
  <c r="J58" i="11"/>
  <c r="J102" i="11"/>
  <c r="J146" i="11"/>
  <c r="J84" i="10"/>
  <c r="J35" i="10"/>
  <c r="J19" i="10"/>
  <c r="J135" i="10"/>
  <c r="J50" i="10"/>
  <c r="J141" i="10"/>
  <c r="I152" i="11"/>
  <c r="I166" i="11"/>
  <c r="I166" i="17" s="1"/>
  <c r="I57" i="11"/>
  <c r="I46" i="11"/>
  <c r="I145" i="11"/>
  <c r="I108" i="11"/>
  <c r="I69" i="11"/>
  <c r="I130" i="11"/>
  <c r="I9" i="11"/>
  <c r="I86" i="11"/>
  <c r="J18" i="10"/>
  <c r="J139" i="10"/>
  <c r="J29" i="10"/>
  <c r="J71" i="10"/>
  <c r="J82" i="10"/>
  <c r="J126" i="10"/>
  <c r="J137" i="10"/>
  <c r="J24" i="10"/>
  <c r="J57" i="10"/>
  <c r="J112" i="10"/>
  <c r="J118" i="10"/>
  <c r="J129" i="10"/>
  <c r="J140" i="10"/>
  <c r="K140" i="10"/>
  <c r="K8" i="10"/>
  <c r="K52" i="10"/>
  <c r="K30" i="10"/>
  <c r="K96" i="10"/>
  <c r="K129" i="10"/>
  <c r="K41" i="10"/>
  <c r="K19" i="10"/>
  <c r="K85" i="10"/>
  <c r="K118" i="10"/>
  <c r="K74" i="10"/>
  <c r="K63" i="10"/>
  <c r="K107" i="10"/>
  <c r="K151" i="10"/>
  <c r="J91" i="10"/>
  <c r="J36" i="10"/>
  <c r="J146" i="10"/>
  <c r="J157" i="10"/>
  <c r="J87" i="10"/>
  <c r="J43" i="10"/>
  <c r="J98" i="10"/>
  <c r="K21" i="10"/>
  <c r="K98" i="10"/>
  <c r="K65" i="10"/>
  <c r="K43" i="10"/>
  <c r="K54" i="10"/>
  <c r="K142" i="10"/>
  <c r="K153" i="10"/>
  <c r="K109" i="10"/>
  <c r="K120" i="10"/>
  <c r="K87" i="10"/>
  <c r="K32" i="10"/>
  <c r="K10" i="10"/>
  <c r="K131" i="10"/>
  <c r="K76" i="10"/>
  <c r="J28" i="10"/>
  <c r="J83" i="10"/>
  <c r="J149" i="10"/>
  <c r="J108" i="10"/>
  <c r="J64" i="10"/>
  <c r="J97" i="10"/>
  <c r="J154" i="10"/>
  <c r="J110" i="10"/>
  <c r="J88" i="10"/>
  <c r="J66" i="10"/>
  <c r="J44" i="10"/>
  <c r="J121" i="10"/>
  <c r="J55" i="10"/>
  <c r="J33" i="10"/>
  <c r="J11" i="10"/>
  <c r="J143" i="10"/>
  <c r="J77" i="10"/>
  <c r="J16" i="10"/>
  <c r="J5" i="10"/>
  <c r="J32" i="10"/>
  <c r="J65" i="10"/>
  <c r="K149" i="10"/>
  <c r="K105" i="10"/>
  <c r="K72" i="10"/>
  <c r="K28" i="10"/>
  <c r="K6" i="10"/>
  <c r="K39" i="10"/>
  <c r="K116" i="10"/>
  <c r="K83" i="10"/>
  <c r="K61" i="10"/>
  <c r="K94" i="10"/>
  <c r="K127" i="10"/>
  <c r="K138" i="10"/>
  <c r="K50" i="10"/>
  <c r="K17" i="10"/>
  <c r="I139" i="10"/>
  <c r="I40" i="10"/>
  <c r="I62" i="10"/>
  <c r="I18" i="10"/>
  <c r="I106" i="10"/>
  <c r="I7" i="10"/>
  <c r="I51" i="10"/>
  <c r="I73" i="10"/>
  <c r="I150" i="10"/>
  <c r="I84" i="10"/>
  <c r="I95" i="10"/>
  <c r="I128" i="10"/>
  <c r="I29" i="10"/>
  <c r="I117" i="10"/>
  <c r="I42" i="10"/>
  <c r="I108" i="10"/>
  <c r="I152" i="10"/>
  <c r="I119" i="10"/>
  <c r="I130" i="10"/>
  <c r="I64" i="10"/>
  <c r="I53" i="10"/>
  <c r="I31" i="10"/>
  <c r="I20" i="10"/>
  <c r="I75" i="10"/>
  <c r="I97" i="10"/>
  <c r="I86" i="10"/>
  <c r="I9" i="10"/>
  <c r="I141" i="10"/>
  <c r="I134" i="10"/>
  <c r="I68" i="10"/>
  <c r="I57" i="10"/>
  <c r="I90" i="10"/>
  <c r="I145" i="10"/>
  <c r="I156" i="10"/>
  <c r="I24" i="10"/>
  <c r="I101" i="10"/>
  <c r="I79" i="10"/>
  <c r="I123" i="10"/>
  <c r="I112" i="10"/>
  <c r="I35" i="10"/>
  <c r="I13" i="10"/>
  <c r="I46" i="10"/>
  <c r="K176" i="10"/>
  <c r="J95" i="10"/>
  <c r="J40" i="10"/>
  <c r="J51" i="10"/>
  <c r="J128" i="10"/>
  <c r="J166" i="10"/>
  <c r="J166" i="16" s="1"/>
  <c r="J38" i="10"/>
  <c r="J49" i="10"/>
  <c r="J27" i="10"/>
  <c r="J90" i="10"/>
  <c r="J68" i="10"/>
  <c r="J156" i="10"/>
  <c r="K156" i="10"/>
  <c r="K134" i="10"/>
  <c r="K112" i="10"/>
  <c r="K68" i="10"/>
  <c r="K46" i="10"/>
  <c r="K123" i="10"/>
  <c r="K145" i="10"/>
  <c r="K79" i="10"/>
  <c r="K35" i="10"/>
  <c r="K57" i="10"/>
  <c r="K90" i="10"/>
  <c r="K13" i="10"/>
  <c r="K101" i="10"/>
  <c r="K24" i="10"/>
  <c r="J52" i="10"/>
  <c r="J96" i="10"/>
  <c r="J113" i="10"/>
  <c r="J25" i="10"/>
  <c r="J80" i="10"/>
  <c r="J120" i="10"/>
  <c r="J153" i="10"/>
  <c r="J39" i="10"/>
  <c r="J138" i="10"/>
  <c r="J6" i="10"/>
  <c r="J42" i="10"/>
  <c r="J20" i="10"/>
  <c r="J119" i="10"/>
  <c r="J31" i="10"/>
  <c r="I71" i="10"/>
  <c r="I126" i="10"/>
  <c r="I104" i="10"/>
  <c r="I27" i="10"/>
  <c r="I16" i="10"/>
  <c r="I137" i="10"/>
  <c r="I82" i="10"/>
  <c r="I49" i="10"/>
  <c r="I38" i="10"/>
  <c r="I115" i="10"/>
  <c r="I148" i="10"/>
  <c r="I93" i="10"/>
  <c r="I5" i="10"/>
  <c r="I60" i="10"/>
  <c r="I142" i="10"/>
  <c r="I120" i="10"/>
  <c r="I32" i="10"/>
  <c r="I109" i="10"/>
  <c r="I153" i="10"/>
  <c r="I76" i="10"/>
  <c r="I98" i="10"/>
  <c r="I87" i="10"/>
  <c r="I43" i="10"/>
  <c r="I21" i="10"/>
  <c r="I10" i="10"/>
  <c r="I131" i="10"/>
  <c r="I65" i="10"/>
  <c r="I54" i="10"/>
  <c r="J148" i="10"/>
  <c r="J21" i="10"/>
  <c r="J131" i="10"/>
  <c r="I138" i="10"/>
  <c r="I94" i="10"/>
  <c r="I28" i="10"/>
  <c r="I116" i="10"/>
  <c r="I6" i="10"/>
  <c r="I105" i="10"/>
  <c r="I83" i="10"/>
  <c r="I39" i="10"/>
  <c r="I72" i="10"/>
  <c r="I50" i="10"/>
  <c r="I149" i="10"/>
  <c r="I127" i="10"/>
  <c r="I17" i="10"/>
  <c r="I61" i="10"/>
  <c r="I102" i="10"/>
  <c r="I14" i="10"/>
  <c r="I36" i="10"/>
  <c r="I146" i="10"/>
  <c r="I157" i="10"/>
  <c r="I135" i="10"/>
  <c r="I91" i="10"/>
  <c r="I58" i="10"/>
  <c r="I47" i="10"/>
  <c r="I113" i="10"/>
  <c r="I69" i="10"/>
  <c r="I124" i="10"/>
  <c r="I80" i="10"/>
  <c r="I25" i="10"/>
  <c r="I8" i="10"/>
  <c r="I140" i="10"/>
  <c r="I63" i="10"/>
  <c r="I96" i="10"/>
  <c r="I19" i="10"/>
  <c r="I41" i="10"/>
  <c r="I129" i="10"/>
  <c r="I107" i="10"/>
  <c r="I74" i="10"/>
  <c r="I151" i="10"/>
  <c r="I30" i="10"/>
  <c r="I52" i="10"/>
  <c r="I118" i="10"/>
  <c r="I85" i="10"/>
  <c r="J73" i="10"/>
  <c r="J106" i="10"/>
  <c r="J62" i="10"/>
  <c r="K40" i="10"/>
  <c r="K51" i="10"/>
  <c r="K106" i="10"/>
  <c r="K117" i="10"/>
  <c r="K73" i="10"/>
  <c r="K7" i="10"/>
  <c r="K128" i="10"/>
  <c r="K150" i="10"/>
  <c r="K139" i="10"/>
  <c r="K84" i="10"/>
  <c r="K29" i="10"/>
  <c r="K95" i="10"/>
  <c r="K18" i="10"/>
  <c r="K62" i="10"/>
  <c r="K144" i="10"/>
  <c r="K67" i="10"/>
  <c r="K122" i="10"/>
  <c r="K155" i="10"/>
  <c r="K56" i="10"/>
  <c r="K78" i="10"/>
  <c r="K89" i="10"/>
  <c r="K12" i="10"/>
  <c r="K45" i="10"/>
  <c r="K111" i="10"/>
  <c r="K34" i="10"/>
  <c r="J93" i="10"/>
  <c r="J115" i="10"/>
  <c r="J60" i="10"/>
  <c r="K148" i="10"/>
  <c r="K115" i="10"/>
  <c r="K49" i="10"/>
  <c r="K71" i="10"/>
  <c r="K16" i="10"/>
  <c r="K93" i="10"/>
  <c r="K27" i="10"/>
  <c r="K82" i="10"/>
  <c r="K104" i="10"/>
  <c r="K137" i="10"/>
  <c r="K126" i="10"/>
  <c r="K60" i="10"/>
  <c r="K38" i="10"/>
  <c r="K5" i="10"/>
  <c r="J13" i="10"/>
  <c r="J134" i="10"/>
  <c r="J79" i="10"/>
  <c r="J63" i="10"/>
  <c r="J8" i="10"/>
  <c r="J151" i="10"/>
  <c r="J30" i="10"/>
  <c r="J69" i="10"/>
  <c r="J58" i="10"/>
  <c r="J102" i="10"/>
  <c r="K102" i="10"/>
  <c r="K80" i="10"/>
  <c r="K146" i="10"/>
  <c r="K25" i="10"/>
  <c r="K14" i="10"/>
  <c r="K135" i="10"/>
  <c r="K69" i="10"/>
  <c r="K58" i="10"/>
  <c r="K113" i="10"/>
  <c r="K36" i="10"/>
  <c r="K47" i="10"/>
  <c r="K91" i="10"/>
  <c r="K157" i="10"/>
  <c r="K124" i="10"/>
  <c r="J10" i="10"/>
  <c r="J142" i="10"/>
  <c r="J54" i="10"/>
  <c r="J76" i="10"/>
  <c r="J17" i="10"/>
  <c r="J127" i="10"/>
  <c r="J72" i="10"/>
  <c r="J61" i="10"/>
  <c r="J152" i="10"/>
  <c r="J9" i="10"/>
  <c r="J75" i="10"/>
  <c r="K141" i="10"/>
  <c r="K9" i="10"/>
  <c r="K64" i="10"/>
  <c r="K42" i="10"/>
  <c r="K152" i="10"/>
  <c r="K119" i="10"/>
  <c r="K130" i="10"/>
  <c r="K53" i="10"/>
  <c r="K20" i="10"/>
  <c r="K108" i="10"/>
  <c r="K31" i="10"/>
  <c r="K86" i="10"/>
  <c r="K97" i="10"/>
  <c r="K75" i="10"/>
  <c r="B163" i="16"/>
  <c r="B164" i="16"/>
  <c r="B10" i="16" s="1"/>
  <c r="B10" i="12" s="1"/>
  <c r="B168" i="16"/>
  <c r="B80" i="16" s="1"/>
  <c r="B80" i="12" s="1"/>
  <c r="B162" i="16"/>
  <c r="K170" i="11"/>
  <c r="K178" i="11"/>
  <c r="K175" i="11"/>
  <c r="K176" i="11"/>
  <c r="K174" i="11"/>
  <c r="K173" i="11"/>
  <c r="K179" i="11"/>
  <c r="J172" i="11"/>
  <c r="J171" i="11"/>
  <c r="I166" i="9"/>
  <c r="I166" i="18" s="1"/>
  <c r="I78" i="18" s="1"/>
  <c r="I78" i="6" s="1"/>
  <c r="B161" i="16"/>
  <c r="B160" i="16"/>
  <c r="B116" i="16" s="1"/>
  <c r="B116" i="12" s="1"/>
  <c r="B159" i="16"/>
  <c r="B167" i="17"/>
  <c r="B163" i="17"/>
  <c r="B168" i="17"/>
  <c r="B153" i="17"/>
  <c r="B153" i="13" s="1"/>
  <c r="B154" i="17"/>
  <c r="B154" i="13" s="1"/>
  <c r="M170" i="11"/>
  <c r="M171" i="11"/>
  <c r="B155" i="16"/>
  <c r="B155" i="12" s="1"/>
  <c r="M177" i="10"/>
  <c r="B122" i="18"/>
  <c r="B122" i="6" s="1"/>
  <c r="B110" i="18"/>
  <c r="B110" i="6" s="1"/>
  <c r="B121" i="18"/>
  <c r="B121" i="6" s="1"/>
  <c r="B154" i="18"/>
  <c r="B154" i="6" s="1"/>
  <c r="B143" i="18"/>
  <c r="B143" i="6" s="1"/>
  <c r="B144" i="16"/>
  <c r="B144" i="12" s="1"/>
  <c r="B34" i="16"/>
  <c r="B34" i="12" s="1"/>
  <c r="B56" i="16"/>
  <c r="B56" i="12" s="1"/>
  <c r="B122" i="16"/>
  <c r="B122" i="12" s="1"/>
  <c r="B89" i="16"/>
  <c r="B89" i="12" s="1"/>
  <c r="B78" i="16"/>
  <c r="B78" i="12" s="1"/>
  <c r="B12" i="16"/>
  <c r="B12" i="12" s="1"/>
  <c r="B67" i="16"/>
  <c r="B67" i="12" s="1"/>
  <c r="B144" i="18"/>
  <c r="B144" i="6" s="1"/>
  <c r="B111" i="16"/>
  <c r="B111" i="12" s="1"/>
  <c r="B45" i="16"/>
  <c r="B45" i="12" s="1"/>
  <c r="B34" i="18"/>
  <c r="B34" i="6" s="1"/>
  <c r="B78" i="18"/>
  <c r="B78" i="6" s="1"/>
  <c r="B171" i="9"/>
  <c r="K127" i="9" s="1"/>
  <c r="B179" i="9"/>
  <c r="J14" i="9" s="1"/>
  <c r="B170" i="9"/>
  <c r="K38" i="9" s="1"/>
  <c r="B173" i="9"/>
  <c r="K63" i="9" s="1"/>
  <c r="B45" i="18"/>
  <c r="B45" i="6" s="1"/>
  <c r="B155" i="18"/>
  <c r="B155" i="6" s="1"/>
  <c r="B12" i="18"/>
  <c r="B12" i="6" s="1"/>
  <c r="B56" i="18"/>
  <c r="B56" i="6" s="1"/>
  <c r="B111" i="18"/>
  <c r="B111" i="6" s="1"/>
  <c r="B178" i="9"/>
  <c r="J145" i="9" s="1"/>
  <c r="B175" i="9"/>
  <c r="J98" i="9" s="1"/>
  <c r="B174" i="9"/>
  <c r="J119" i="9" s="1"/>
  <c r="B172" i="9"/>
  <c r="K84" i="9" s="1"/>
  <c r="B89" i="18"/>
  <c r="B89" i="6" s="1"/>
  <c r="B67" i="18"/>
  <c r="B67" i="6" s="1"/>
  <c r="B150" i="17"/>
  <c r="B150" i="13" s="1"/>
  <c r="B151" i="17"/>
  <c r="B151" i="13" s="1"/>
  <c r="B144" i="17"/>
  <c r="B144" i="13" s="1"/>
  <c r="B155" i="17"/>
  <c r="B155" i="13" s="1"/>
  <c r="B143" i="17"/>
  <c r="B143" i="13" s="1"/>
  <c r="B132" i="17"/>
  <c r="B132" i="13" s="1"/>
  <c r="B127" i="17"/>
  <c r="B127" i="13" s="1"/>
  <c r="B138" i="17"/>
  <c r="B138" i="13" s="1"/>
  <c r="B142" i="17"/>
  <c r="B142" i="13" s="1"/>
  <c r="B131" i="17"/>
  <c r="B131" i="13" s="1"/>
  <c r="B126" i="17"/>
  <c r="B126" i="13" s="1"/>
  <c r="B137" i="17"/>
  <c r="B137" i="13" s="1"/>
  <c r="B111" i="17"/>
  <c r="B111" i="13" s="1"/>
  <c r="B122" i="17"/>
  <c r="B122" i="13" s="1"/>
  <c r="B98" i="17"/>
  <c r="B98" i="13" s="1"/>
  <c r="B109" i="17"/>
  <c r="B109" i="13" s="1"/>
  <c r="B120" i="17"/>
  <c r="B120" i="13" s="1"/>
  <c r="B121" i="17"/>
  <c r="B121" i="13" s="1"/>
  <c r="B110" i="17"/>
  <c r="B110" i="13" s="1"/>
  <c r="B116" i="17"/>
  <c r="B116" i="13" s="1"/>
  <c r="B105" i="17"/>
  <c r="B105" i="13" s="1"/>
  <c r="B104" i="17"/>
  <c r="B104" i="13" s="1"/>
  <c r="B115" i="17"/>
  <c r="B89" i="17"/>
  <c r="B89" i="13" s="1"/>
  <c r="B78" i="17"/>
  <c r="B78" i="13" s="1"/>
  <c r="B88" i="17"/>
  <c r="B88" i="13" s="1"/>
  <c r="B77" i="17"/>
  <c r="B77" i="13" s="1"/>
  <c r="B72" i="17"/>
  <c r="B72" i="13" s="1"/>
  <c r="B83" i="17"/>
  <c r="B83" i="13" s="1"/>
  <c r="B76" i="17"/>
  <c r="B76" i="13" s="1"/>
  <c r="B87" i="17"/>
  <c r="B87" i="13" s="1"/>
  <c r="B82" i="17"/>
  <c r="B71" i="17"/>
  <c r="B45" i="17"/>
  <c r="B45" i="13" s="1"/>
  <c r="B56" i="17"/>
  <c r="B56" i="13" s="1"/>
  <c r="B67" i="17"/>
  <c r="B67" i="13" s="1"/>
  <c r="B44" i="17"/>
  <c r="B44" i="13" s="1"/>
  <c r="B66" i="17"/>
  <c r="B66" i="13" s="1"/>
  <c r="B55" i="17"/>
  <c r="B55" i="13" s="1"/>
  <c r="B39" i="17"/>
  <c r="B39" i="13" s="1"/>
  <c r="B61" i="17"/>
  <c r="B61" i="13" s="1"/>
  <c r="B50" i="17"/>
  <c r="B50" i="13" s="1"/>
  <c r="B43" i="17"/>
  <c r="B43" i="13" s="1"/>
  <c r="B54" i="17"/>
  <c r="B65" i="17"/>
  <c r="B65" i="13" s="1"/>
  <c r="B38" i="17"/>
  <c r="B49" i="17"/>
  <c r="B60" i="17"/>
  <c r="B60" i="13" s="1"/>
  <c r="B28" i="17"/>
  <c r="B28" i="13" s="1"/>
  <c r="B32" i="17"/>
  <c r="B32" i="13" s="1"/>
  <c r="B34" i="17"/>
  <c r="B34" i="13" s="1"/>
  <c r="B33" i="17"/>
  <c r="B33" i="13" s="1"/>
  <c r="B27" i="17"/>
  <c r="B12" i="17"/>
  <c r="B12" i="13" s="1"/>
  <c r="B11" i="17"/>
  <c r="B11" i="13" s="1"/>
  <c r="B6" i="17"/>
  <c r="B6" i="13" s="1"/>
  <c r="B21" i="17"/>
  <c r="B21" i="13" s="1"/>
  <c r="B10" i="17"/>
  <c r="B10" i="13" s="1"/>
  <c r="B5" i="17"/>
  <c r="B5" i="13" s="1"/>
  <c r="B154" i="16"/>
  <c r="B154" i="12" s="1"/>
  <c r="B143" i="16"/>
  <c r="B143" i="12" s="1"/>
  <c r="B132" i="16"/>
  <c r="B132" i="12" s="1"/>
  <c r="B121" i="16"/>
  <c r="B121" i="12" s="1"/>
  <c r="B110" i="16"/>
  <c r="B110" i="12" s="1"/>
  <c r="B88" i="16"/>
  <c r="B88" i="12" s="1"/>
  <c r="B77" i="16"/>
  <c r="B77" i="12" s="1"/>
  <c r="B66" i="16"/>
  <c r="B66" i="12" s="1"/>
  <c r="B55" i="16"/>
  <c r="B55" i="12" s="1"/>
  <c r="B44" i="16"/>
  <c r="B44" i="12" s="1"/>
  <c r="B33" i="16"/>
  <c r="B33" i="12" s="1"/>
  <c r="B11" i="16"/>
  <c r="B11" i="12" s="1"/>
  <c r="B149" i="13"/>
  <c r="B148" i="13"/>
  <c r="B133" i="13"/>
  <c r="B77" i="18"/>
  <c r="B77" i="6" s="1"/>
  <c r="B88" i="18"/>
  <c r="B88" i="6" s="1"/>
  <c r="B55" i="18"/>
  <c r="B55" i="6" s="1"/>
  <c r="B66" i="18"/>
  <c r="B66" i="6" s="1"/>
  <c r="B33" i="18"/>
  <c r="B33" i="6" s="1"/>
  <c r="B44" i="18"/>
  <c r="B44" i="6" s="1"/>
  <c r="B11" i="18"/>
  <c r="B11" i="6" s="1"/>
  <c r="K7" i="9" l="1"/>
  <c r="J58" i="9"/>
  <c r="J112" i="9"/>
  <c r="K83" i="9"/>
  <c r="J142" i="9"/>
  <c r="K128" i="9"/>
  <c r="J43" i="9"/>
  <c r="J157" i="9"/>
  <c r="K49" i="9"/>
  <c r="K61" i="9"/>
  <c r="K29" i="9"/>
  <c r="J153" i="9"/>
  <c r="J135" i="9"/>
  <c r="J24" i="9"/>
  <c r="K16" i="9"/>
  <c r="K17" i="9"/>
  <c r="J120" i="9"/>
  <c r="J69" i="9"/>
  <c r="J46" i="9"/>
  <c r="K149" i="9"/>
  <c r="J42" i="9"/>
  <c r="J152" i="9"/>
  <c r="K151" i="9"/>
  <c r="J38" i="9"/>
  <c r="J93" i="9"/>
  <c r="J137" i="9"/>
  <c r="J5" i="9"/>
  <c r="J82" i="9"/>
  <c r="J104" i="9"/>
  <c r="J126" i="9"/>
  <c r="J49" i="9"/>
  <c r="J16" i="9"/>
  <c r="J60" i="9"/>
  <c r="J71" i="9"/>
  <c r="J27" i="9"/>
  <c r="J115" i="9"/>
  <c r="J148" i="9"/>
  <c r="K150" i="9"/>
  <c r="K62" i="9"/>
  <c r="K117" i="9"/>
  <c r="K40" i="9"/>
  <c r="J65" i="9"/>
  <c r="J109" i="9"/>
  <c r="J87" i="9"/>
  <c r="J91" i="9"/>
  <c r="J47" i="9"/>
  <c r="J80" i="9"/>
  <c r="J25" i="9"/>
  <c r="J13" i="9"/>
  <c r="J68" i="9"/>
  <c r="J123" i="9"/>
  <c r="J64" i="9"/>
  <c r="J31" i="9"/>
  <c r="J53" i="9"/>
  <c r="J130" i="9"/>
  <c r="K5" i="9"/>
  <c r="K27" i="9"/>
  <c r="K148" i="9"/>
  <c r="K105" i="9"/>
  <c r="K28" i="9"/>
  <c r="K6" i="9"/>
  <c r="K39" i="9"/>
  <c r="K52" i="9"/>
  <c r="K118" i="9"/>
  <c r="J107" i="9"/>
  <c r="J41" i="9"/>
  <c r="J52" i="9"/>
  <c r="J63" i="9"/>
  <c r="J140" i="9"/>
  <c r="J96" i="9"/>
  <c r="J85" i="9"/>
  <c r="J30" i="9"/>
  <c r="J118" i="9"/>
  <c r="J19" i="9"/>
  <c r="J129" i="9"/>
  <c r="J151" i="9"/>
  <c r="J74" i="9"/>
  <c r="J8" i="9"/>
  <c r="K153" i="9"/>
  <c r="K98" i="9"/>
  <c r="K131" i="9"/>
  <c r="K87" i="9"/>
  <c r="K43" i="9"/>
  <c r="K54" i="9"/>
  <c r="K76" i="9"/>
  <c r="K109" i="9"/>
  <c r="K142" i="9"/>
  <c r="K65" i="9"/>
  <c r="K120" i="9"/>
  <c r="K32" i="9"/>
  <c r="K10" i="9"/>
  <c r="K21" i="9"/>
  <c r="J108" i="9"/>
  <c r="J75" i="9"/>
  <c r="K107" i="9"/>
  <c r="K156" i="9"/>
  <c r="K145" i="9"/>
  <c r="K134" i="9"/>
  <c r="K123" i="9"/>
  <c r="K112" i="9"/>
  <c r="K79" i="9"/>
  <c r="K68" i="9"/>
  <c r="K46" i="9"/>
  <c r="K90" i="9"/>
  <c r="K101" i="9"/>
  <c r="K24" i="9"/>
  <c r="K57" i="9"/>
  <c r="K13" i="9"/>
  <c r="K35" i="9"/>
  <c r="K106" i="9"/>
  <c r="K139" i="9"/>
  <c r="K95" i="9"/>
  <c r="J21" i="9"/>
  <c r="J76" i="9"/>
  <c r="J131" i="9"/>
  <c r="K166" i="9"/>
  <c r="J102" i="9"/>
  <c r="J146" i="9"/>
  <c r="J36" i="9"/>
  <c r="J35" i="9"/>
  <c r="J90" i="9"/>
  <c r="J79" i="9"/>
  <c r="J134" i="9"/>
  <c r="J141" i="9"/>
  <c r="J97" i="9"/>
  <c r="J9" i="9"/>
  <c r="K93" i="9"/>
  <c r="K137" i="9"/>
  <c r="K126" i="9"/>
  <c r="K60" i="9"/>
  <c r="K50" i="9"/>
  <c r="K72" i="9"/>
  <c r="K74" i="9"/>
  <c r="K8" i="9"/>
  <c r="K129" i="9"/>
  <c r="K19" i="9"/>
  <c r="K25" i="9"/>
  <c r="K157" i="9"/>
  <c r="K14" i="9"/>
  <c r="K36" i="9"/>
  <c r="K80" i="9"/>
  <c r="K58" i="9"/>
  <c r="K113" i="9"/>
  <c r="K146" i="9"/>
  <c r="K47" i="9"/>
  <c r="K102" i="9"/>
  <c r="K91" i="9"/>
  <c r="K69" i="9"/>
  <c r="K124" i="9"/>
  <c r="K135" i="9"/>
  <c r="K41" i="9"/>
  <c r="K9" i="9"/>
  <c r="K53" i="9"/>
  <c r="K75" i="9"/>
  <c r="K20" i="9"/>
  <c r="K97" i="9"/>
  <c r="K31" i="9"/>
  <c r="K42" i="9"/>
  <c r="K86" i="9"/>
  <c r="K130" i="9"/>
  <c r="K152" i="9"/>
  <c r="K119" i="9"/>
  <c r="K141" i="9"/>
  <c r="K64" i="9"/>
  <c r="K108" i="9"/>
  <c r="J84" i="9"/>
  <c r="J18" i="9"/>
  <c r="J150" i="9"/>
  <c r="J51" i="9"/>
  <c r="J95" i="9"/>
  <c r="J73" i="9"/>
  <c r="J128" i="9"/>
  <c r="J40" i="9"/>
  <c r="J106" i="9"/>
  <c r="J139" i="9"/>
  <c r="J7" i="9"/>
  <c r="J29" i="9"/>
  <c r="J117" i="9"/>
  <c r="J62" i="9"/>
  <c r="J149" i="9"/>
  <c r="J17" i="9"/>
  <c r="J61" i="9"/>
  <c r="J83" i="9"/>
  <c r="J6" i="9"/>
  <c r="J116" i="9"/>
  <c r="J138" i="9"/>
  <c r="J94" i="9"/>
  <c r="J28" i="9"/>
  <c r="J127" i="9"/>
  <c r="J72" i="9"/>
  <c r="J50" i="9"/>
  <c r="J39" i="9"/>
  <c r="J105" i="9"/>
  <c r="K11" i="9"/>
  <c r="K154" i="9"/>
  <c r="K143" i="9"/>
  <c r="K121" i="9"/>
  <c r="K110" i="9"/>
  <c r="K88" i="9"/>
  <c r="K77" i="9"/>
  <c r="K66" i="9"/>
  <c r="K55" i="9"/>
  <c r="K44" i="9"/>
  <c r="K33" i="9"/>
  <c r="K51" i="9"/>
  <c r="K18" i="9"/>
  <c r="K73" i="9"/>
  <c r="J32" i="9"/>
  <c r="J10" i="9"/>
  <c r="J54" i="9"/>
  <c r="J124" i="9"/>
  <c r="J113" i="9"/>
  <c r="J57" i="9"/>
  <c r="J101" i="9"/>
  <c r="J156" i="9"/>
  <c r="J86" i="9"/>
  <c r="J20" i="9"/>
  <c r="K115" i="9"/>
  <c r="K71" i="9"/>
  <c r="K104" i="9"/>
  <c r="K82" i="9"/>
  <c r="K94" i="9"/>
  <c r="K138" i="9"/>
  <c r="K116" i="9"/>
  <c r="K30" i="9"/>
  <c r="K85" i="9"/>
  <c r="K96" i="9"/>
  <c r="K140" i="9"/>
  <c r="I12" i="18"/>
  <c r="I12" i="6" s="1"/>
  <c r="I155" i="18"/>
  <c r="I155" i="6" s="1"/>
  <c r="I67" i="18"/>
  <c r="I67" i="6" s="1"/>
  <c r="I34" i="18"/>
  <c r="I34" i="6" s="1"/>
  <c r="I89" i="18"/>
  <c r="I89" i="6" s="1"/>
  <c r="I56" i="18"/>
  <c r="I56" i="6" s="1"/>
  <c r="I111" i="18"/>
  <c r="I111" i="6" s="1"/>
  <c r="I45" i="18"/>
  <c r="I45" i="6" s="1"/>
  <c r="I144" i="18"/>
  <c r="I144" i="6" s="1"/>
  <c r="I122" i="18"/>
  <c r="I122" i="6" s="1"/>
  <c r="B113" i="16"/>
  <c r="B113" i="12" s="1"/>
  <c r="I155" i="17"/>
  <c r="I155" i="13" s="1"/>
  <c r="B32" i="16"/>
  <c r="B32" i="12" s="1"/>
  <c r="B54" i="16"/>
  <c r="B54" i="12" s="1"/>
  <c r="M175" i="10"/>
  <c r="J162" i="11"/>
  <c r="J162" i="17" s="1"/>
  <c r="I168" i="11"/>
  <c r="I168" i="17" s="1"/>
  <c r="J18" i="11"/>
  <c r="J73" i="11"/>
  <c r="J62" i="11"/>
  <c r="J150" i="11"/>
  <c r="J29" i="11"/>
  <c r="J51" i="11"/>
  <c r="J40" i="11"/>
  <c r="J95" i="11"/>
  <c r="J139" i="11"/>
  <c r="J128" i="11"/>
  <c r="J106" i="11"/>
  <c r="J117" i="11"/>
  <c r="J84" i="11"/>
  <c r="J7" i="11"/>
  <c r="K113" i="11"/>
  <c r="K25" i="11"/>
  <c r="K157" i="11"/>
  <c r="K91" i="11"/>
  <c r="K146" i="11"/>
  <c r="K47" i="11"/>
  <c r="K58" i="11"/>
  <c r="K135" i="11"/>
  <c r="K124" i="11"/>
  <c r="K69" i="11"/>
  <c r="K80" i="11"/>
  <c r="K14" i="11"/>
  <c r="K36" i="11"/>
  <c r="K102" i="11"/>
  <c r="K151" i="11"/>
  <c r="K41" i="11"/>
  <c r="K140" i="11"/>
  <c r="K30" i="11"/>
  <c r="K107" i="11"/>
  <c r="K96" i="11"/>
  <c r="K8" i="11"/>
  <c r="K85" i="11"/>
  <c r="K118" i="11"/>
  <c r="K129" i="11"/>
  <c r="K74" i="11"/>
  <c r="K19" i="11"/>
  <c r="K63" i="11"/>
  <c r="K52" i="11"/>
  <c r="I167" i="10"/>
  <c r="J83" i="11"/>
  <c r="J138" i="11"/>
  <c r="J39" i="11"/>
  <c r="J94" i="11"/>
  <c r="J6" i="11"/>
  <c r="J50" i="11"/>
  <c r="J28" i="11"/>
  <c r="J127" i="11"/>
  <c r="J149" i="11"/>
  <c r="J72" i="11"/>
  <c r="J105" i="11"/>
  <c r="J61" i="11"/>
  <c r="J116" i="11"/>
  <c r="J17" i="11"/>
  <c r="J168" i="10"/>
  <c r="J168" i="16" s="1"/>
  <c r="I163" i="11"/>
  <c r="I163" i="17" s="1"/>
  <c r="J168" i="11"/>
  <c r="J168" i="17" s="1"/>
  <c r="K166" i="11"/>
  <c r="K166" i="17" s="1"/>
  <c r="J159" i="11"/>
  <c r="J159" i="17" s="1"/>
  <c r="K143" i="11"/>
  <c r="K121" i="11"/>
  <c r="K77" i="11"/>
  <c r="K55" i="11"/>
  <c r="K110" i="11"/>
  <c r="K154" i="11"/>
  <c r="K44" i="11"/>
  <c r="K66" i="11"/>
  <c r="K88" i="11"/>
  <c r="K33" i="11"/>
  <c r="K11" i="11"/>
  <c r="K153" i="11"/>
  <c r="K10" i="11"/>
  <c r="K76" i="11"/>
  <c r="K87" i="11"/>
  <c r="K21" i="11"/>
  <c r="K142" i="11"/>
  <c r="K32" i="11"/>
  <c r="K43" i="11"/>
  <c r="K109" i="11"/>
  <c r="K131" i="11"/>
  <c r="K65" i="11"/>
  <c r="K54" i="11"/>
  <c r="K98" i="11"/>
  <c r="K120" i="11"/>
  <c r="J163" i="11"/>
  <c r="J163" i="17" s="1"/>
  <c r="I161" i="11"/>
  <c r="I161" i="17" s="1"/>
  <c r="I167" i="11"/>
  <c r="I167" i="17" s="1"/>
  <c r="J164" i="11"/>
  <c r="J164" i="17" s="1"/>
  <c r="J167" i="11"/>
  <c r="J167" i="17" s="1"/>
  <c r="B14" i="16"/>
  <c r="B14" i="12" s="1"/>
  <c r="B135" i="16"/>
  <c r="B135" i="12" s="1"/>
  <c r="K156" i="11"/>
  <c r="K134" i="11"/>
  <c r="K112" i="11"/>
  <c r="K68" i="11"/>
  <c r="K46" i="11"/>
  <c r="K79" i="11"/>
  <c r="K145" i="11"/>
  <c r="K123" i="11"/>
  <c r="K101" i="11"/>
  <c r="K57" i="11"/>
  <c r="K13" i="11"/>
  <c r="K90" i="11"/>
  <c r="K24" i="11"/>
  <c r="K35" i="11"/>
  <c r="J161" i="10"/>
  <c r="J161" i="16" s="1"/>
  <c r="K53" i="11"/>
  <c r="K152" i="11"/>
  <c r="K86" i="11"/>
  <c r="K130" i="11"/>
  <c r="K119" i="11"/>
  <c r="K31" i="11"/>
  <c r="K141" i="11"/>
  <c r="K75" i="11"/>
  <c r="K64" i="11"/>
  <c r="K42" i="11"/>
  <c r="K20" i="11"/>
  <c r="K9" i="11"/>
  <c r="K108" i="11"/>
  <c r="K97" i="11"/>
  <c r="K148" i="11"/>
  <c r="K93" i="11"/>
  <c r="K16" i="11"/>
  <c r="K5" i="11"/>
  <c r="K126" i="11"/>
  <c r="K137" i="11"/>
  <c r="K49" i="11"/>
  <c r="K82" i="11"/>
  <c r="K60" i="11"/>
  <c r="K115" i="11"/>
  <c r="K27" i="11"/>
  <c r="K71" i="11"/>
  <c r="K104" i="11"/>
  <c r="K38" i="11"/>
  <c r="K159" i="10"/>
  <c r="K159" i="16" s="1"/>
  <c r="K166" i="10"/>
  <c r="K166" i="16" s="1"/>
  <c r="K161" i="10"/>
  <c r="K161" i="16" s="1"/>
  <c r="I160" i="11"/>
  <c r="I160" i="17" s="1"/>
  <c r="K168" i="10"/>
  <c r="K168" i="16" s="1"/>
  <c r="J159" i="10"/>
  <c r="J159" i="16" s="1"/>
  <c r="K162" i="10"/>
  <c r="K162" i="16" s="1"/>
  <c r="J163" i="10"/>
  <c r="J163" i="16" s="1"/>
  <c r="I162" i="10"/>
  <c r="I162" i="16" s="1"/>
  <c r="I160" i="10"/>
  <c r="I160" i="16" s="1"/>
  <c r="K143" i="10"/>
  <c r="K121" i="10"/>
  <c r="K77" i="10"/>
  <c r="K55" i="10"/>
  <c r="K154" i="10"/>
  <c r="K110" i="10"/>
  <c r="K44" i="10"/>
  <c r="K66" i="10"/>
  <c r="K88" i="10"/>
  <c r="K33" i="10"/>
  <c r="K11" i="10"/>
  <c r="I163" i="10"/>
  <c r="I163" i="16" s="1"/>
  <c r="K160" i="10"/>
  <c r="K160" i="16" s="1"/>
  <c r="K164" i="10"/>
  <c r="K164" i="16" s="1"/>
  <c r="K163" i="10"/>
  <c r="K163" i="16" s="1"/>
  <c r="J164" i="10"/>
  <c r="J164" i="16" s="1"/>
  <c r="J162" i="10"/>
  <c r="J162" i="16" s="1"/>
  <c r="J167" i="10"/>
  <c r="I168" i="10"/>
  <c r="I168" i="16" s="1"/>
  <c r="I164" i="10"/>
  <c r="I164" i="16" s="1"/>
  <c r="I159" i="10"/>
  <c r="I159" i="16" s="1"/>
  <c r="J160" i="10"/>
  <c r="J160" i="16" s="1"/>
  <c r="K167" i="10"/>
  <c r="I161" i="10"/>
  <c r="I161" i="16" s="1"/>
  <c r="B127" i="16"/>
  <c r="B127" i="12" s="1"/>
  <c r="I131" i="17"/>
  <c r="I131" i="13" s="1"/>
  <c r="I45" i="17"/>
  <c r="I45" i="13" s="1"/>
  <c r="I148" i="17"/>
  <c r="I148" i="13" s="1"/>
  <c r="I126" i="17"/>
  <c r="I98" i="17"/>
  <c r="I98" i="13" s="1"/>
  <c r="I27" i="17"/>
  <c r="I27" i="13" s="1"/>
  <c r="I49" i="17"/>
  <c r="I49" i="13" s="1"/>
  <c r="K172" i="11"/>
  <c r="I43" i="17"/>
  <c r="I43" i="13" s="1"/>
  <c r="I89" i="17"/>
  <c r="I89" i="13" s="1"/>
  <c r="I56" i="17"/>
  <c r="I56" i="13" s="1"/>
  <c r="I78" i="17"/>
  <c r="I78" i="13" s="1"/>
  <c r="I122" i="17"/>
  <c r="I122" i="13" s="1"/>
  <c r="I34" i="17"/>
  <c r="I34" i="13" s="1"/>
  <c r="I67" i="17"/>
  <c r="I67" i="13" s="1"/>
  <c r="I111" i="17"/>
  <c r="I111" i="13" s="1"/>
  <c r="I142" i="17"/>
  <c r="I142" i="13" s="1"/>
  <c r="I76" i="17"/>
  <c r="I76" i="13" s="1"/>
  <c r="I87" i="17"/>
  <c r="I87" i="13" s="1"/>
  <c r="I65" i="17"/>
  <c r="I65" i="13" s="1"/>
  <c r="I109" i="17"/>
  <c r="I109" i="13" s="1"/>
  <c r="I153" i="17"/>
  <c r="I153" i="13" s="1"/>
  <c r="I32" i="17"/>
  <c r="I32" i="13" s="1"/>
  <c r="I54" i="17"/>
  <c r="I54" i="13" s="1"/>
  <c r="I144" i="17"/>
  <c r="I144" i="13" s="1"/>
  <c r="I12" i="17"/>
  <c r="I12" i="13" s="1"/>
  <c r="I21" i="17"/>
  <c r="I21" i="13" s="1"/>
  <c r="I120" i="17"/>
  <c r="I120" i="13" s="1"/>
  <c r="K171" i="11"/>
  <c r="I5" i="17"/>
  <c r="I137" i="17"/>
  <c r="I104" i="17"/>
  <c r="I71" i="17"/>
  <c r="I71" i="13" s="1"/>
  <c r="I38" i="17"/>
  <c r="I115" i="17"/>
  <c r="I82" i="17"/>
  <c r="I145" i="9"/>
  <c r="I123" i="9"/>
  <c r="I79" i="9"/>
  <c r="I156" i="9"/>
  <c r="I112" i="9"/>
  <c r="I46" i="9"/>
  <c r="I134" i="9"/>
  <c r="I68" i="9"/>
  <c r="I35" i="9"/>
  <c r="I90" i="9"/>
  <c r="I101" i="9"/>
  <c r="I13" i="9"/>
  <c r="I24" i="9"/>
  <c r="I57" i="9"/>
  <c r="B124" i="16"/>
  <c r="B124" i="12" s="1"/>
  <c r="I102" i="9"/>
  <c r="I14" i="9"/>
  <c r="I47" i="9"/>
  <c r="I36" i="9"/>
  <c r="I25" i="9"/>
  <c r="I69" i="9"/>
  <c r="I146" i="9"/>
  <c r="I157" i="9"/>
  <c r="I124" i="9"/>
  <c r="I58" i="9"/>
  <c r="I113" i="9"/>
  <c r="I91" i="9"/>
  <c r="I80" i="9"/>
  <c r="I135" i="9"/>
  <c r="B86" i="16"/>
  <c r="B86" i="12" s="1"/>
  <c r="I141" i="9"/>
  <c r="I119" i="9"/>
  <c r="I75" i="9"/>
  <c r="I86" i="9"/>
  <c r="I53" i="9"/>
  <c r="I9" i="9"/>
  <c r="I97" i="9"/>
  <c r="I108" i="9"/>
  <c r="I31" i="9"/>
  <c r="I64" i="9"/>
  <c r="I130" i="9"/>
  <c r="I42" i="9"/>
  <c r="I20" i="9"/>
  <c r="I152" i="9"/>
  <c r="M173" i="10"/>
  <c r="I129" i="9"/>
  <c r="I41" i="9"/>
  <c r="I8" i="9"/>
  <c r="I140" i="9"/>
  <c r="I96" i="9"/>
  <c r="I107" i="9"/>
  <c r="I19" i="9"/>
  <c r="I118" i="9"/>
  <c r="I63" i="9"/>
  <c r="I30" i="9"/>
  <c r="I85" i="9"/>
  <c r="I52" i="9"/>
  <c r="I74" i="9"/>
  <c r="I151" i="9"/>
  <c r="J166" i="18"/>
  <c r="J45" i="18" s="1"/>
  <c r="J45" i="6" s="1"/>
  <c r="M172" i="10"/>
  <c r="I18" i="9"/>
  <c r="I7" i="9"/>
  <c r="I150" i="9"/>
  <c r="I117" i="9"/>
  <c r="I73" i="9"/>
  <c r="I62" i="9"/>
  <c r="I139" i="9"/>
  <c r="I51" i="9"/>
  <c r="I106" i="9"/>
  <c r="I128" i="9"/>
  <c r="I40" i="9"/>
  <c r="I95" i="9"/>
  <c r="I29" i="9"/>
  <c r="I84" i="9"/>
  <c r="I138" i="9"/>
  <c r="I149" i="9"/>
  <c r="I116" i="9"/>
  <c r="I127" i="9"/>
  <c r="I105" i="9"/>
  <c r="I6" i="9"/>
  <c r="I28" i="9"/>
  <c r="I72" i="9"/>
  <c r="I61" i="9"/>
  <c r="I94" i="9"/>
  <c r="I17" i="9"/>
  <c r="I39" i="9"/>
  <c r="I83" i="9"/>
  <c r="I50" i="9"/>
  <c r="B87" i="16"/>
  <c r="B87" i="12" s="1"/>
  <c r="I10" i="9"/>
  <c r="I120" i="9"/>
  <c r="I43" i="9"/>
  <c r="I98" i="9"/>
  <c r="I54" i="9"/>
  <c r="I109" i="9"/>
  <c r="I153" i="9"/>
  <c r="I32" i="9"/>
  <c r="I21" i="9"/>
  <c r="I76" i="9"/>
  <c r="I142" i="9"/>
  <c r="I65" i="9"/>
  <c r="I87" i="9"/>
  <c r="I131" i="9"/>
  <c r="I60" i="9"/>
  <c r="I148" i="9"/>
  <c r="I115" i="9"/>
  <c r="I49" i="9"/>
  <c r="I104" i="9"/>
  <c r="I93" i="9"/>
  <c r="I137" i="9"/>
  <c r="I27" i="9"/>
  <c r="I5" i="9"/>
  <c r="I71" i="9"/>
  <c r="I126" i="9"/>
  <c r="I16" i="9"/>
  <c r="I38" i="9"/>
  <c r="I82" i="9"/>
  <c r="B105" i="16"/>
  <c r="B105" i="12" s="1"/>
  <c r="B83" i="16"/>
  <c r="B83" i="12" s="1"/>
  <c r="B138" i="16"/>
  <c r="B138" i="12" s="1"/>
  <c r="M171" i="10"/>
  <c r="B50" i="16"/>
  <c r="B50" i="12" s="1"/>
  <c r="J122" i="17"/>
  <c r="J122" i="13" s="1"/>
  <c r="B157" i="17"/>
  <c r="B157" i="13" s="1"/>
  <c r="M179" i="11"/>
  <c r="B152" i="17"/>
  <c r="B152" i="13" s="1"/>
  <c r="M174" i="11"/>
  <c r="B156" i="17"/>
  <c r="B156" i="13" s="1"/>
  <c r="M178" i="11"/>
  <c r="B20" i="16"/>
  <c r="B20" i="12" s="1"/>
  <c r="B130" i="16"/>
  <c r="B130" i="12" s="1"/>
  <c r="B97" i="16"/>
  <c r="B97" i="12" s="1"/>
  <c r="B141" i="16"/>
  <c r="B141" i="12" s="1"/>
  <c r="B142" i="16"/>
  <c r="B142" i="12" s="1"/>
  <c r="B21" i="16"/>
  <c r="B21" i="12" s="1"/>
  <c r="B43" i="16"/>
  <c r="B43" i="12" s="1"/>
  <c r="B98" i="16"/>
  <c r="B98" i="12" s="1"/>
  <c r="B149" i="16"/>
  <c r="B149" i="12" s="1"/>
  <c r="B153" i="16"/>
  <c r="B153" i="12" s="1"/>
  <c r="B53" i="16"/>
  <c r="B58" i="16"/>
  <c r="B58" i="12" s="1"/>
  <c r="B25" i="16"/>
  <c r="B25" i="12" s="1"/>
  <c r="B64" i="16"/>
  <c r="B64" i="12" s="1"/>
  <c r="B31" i="16"/>
  <c r="B31" i="12" s="1"/>
  <c r="B6" i="16"/>
  <c r="B6" i="12" s="1"/>
  <c r="B91" i="16"/>
  <c r="B91" i="12" s="1"/>
  <c r="B69" i="16"/>
  <c r="B69" i="12" s="1"/>
  <c r="B131" i="16"/>
  <c r="B131" i="12" s="1"/>
  <c r="B152" i="16"/>
  <c r="B152" i="12" s="1"/>
  <c r="B102" i="16"/>
  <c r="B102" i="12" s="1"/>
  <c r="B134" i="16"/>
  <c r="B68" i="16"/>
  <c r="B68" i="12" s="1"/>
  <c r="B145" i="16"/>
  <c r="B145" i="12" s="1"/>
  <c r="B79" i="16"/>
  <c r="B79" i="12" s="1"/>
  <c r="B156" i="16"/>
  <c r="B156" i="12" s="1"/>
  <c r="B112" i="16"/>
  <c r="B112" i="12" s="1"/>
  <c r="B123" i="16"/>
  <c r="B123" i="12" s="1"/>
  <c r="B46" i="16"/>
  <c r="B46" i="12" s="1"/>
  <c r="B90" i="16"/>
  <c r="B90" i="12" s="1"/>
  <c r="B57" i="16"/>
  <c r="B57" i="12" s="1"/>
  <c r="B35" i="16"/>
  <c r="B35" i="12" s="1"/>
  <c r="B13" i="16"/>
  <c r="B13" i="12" s="1"/>
  <c r="B101" i="16"/>
  <c r="B101" i="12" s="1"/>
  <c r="M178" i="10"/>
  <c r="B120" i="16"/>
  <c r="B120" i="12" s="1"/>
  <c r="B61" i="16"/>
  <c r="B61" i="12" s="1"/>
  <c r="B39" i="16"/>
  <c r="B39" i="12" s="1"/>
  <c r="B108" i="16"/>
  <c r="B108" i="12" s="1"/>
  <c r="B146" i="16"/>
  <c r="B146" i="12" s="1"/>
  <c r="B119" i="16"/>
  <c r="B119" i="12" s="1"/>
  <c r="B47" i="16"/>
  <c r="B47" i="12" s="1"/>
  <c r="B42" i="16"/>
  <c r="B42" i="12" s="1"/>
  <c r="B72" i="16"/>
  <c r="B72" i="12" s="1"/>
  <c r="B109" i="16"/>
  <c r="B109" i="12" s="1"/>
  <c r="M174" i="10"/>
  <c r="M179" i="10"/>
  <c r="B159" i="18"/>
  <c r="B115" i="18" s="1"/>
  <c r="B115" i="6" s="1"/>
  <c r="B9" i="16"/>
  <c r="B9" i="12" s="1"/>
  <c r="B28" i="16"/>
  <c r="B28" i="12" s="1"/>
  <c r="B76" i="16"/>
  <c r="B76" i="12" s="1"/>
  <c r="B65" i="16"/>
  <c r="B65" i="12" s="1"/>
  <c r="B36" i="16"/>
  <c r="B36" i="12" s="1"/>
  <c r="B75" i="16"/>
  <c r="B75" i="12" s="1"/>
  <c r="B157" i="16"/>
  <c r="B157" i="12" s="1"/>
  <c r="B164" i="18"/>
  <c r="B162" i="18"/>
  <c r="B161" i="18"/>
  <c r="B168" i="18"/>
  <c r="B163" i="18"/>
  <c r="B167" i="18"/>
  <c r="B160" i="18"/>
  <c r="B108" i="17"/>
  <c r="B108" i="13" s="1"/>
  <c r="B102" i="17"/>
  <c r="B102" i="13" s="1"/>
  <c r="B141" i="17"/>
  <c r="B141" i="13" s="1"/>
  <c r="B9" i="17"/>
  <c r="B9" i="13" s="1"/>
  <c r="B42" i="17"/>
  <c r="B42" i="13" s="1"/>
  <c r="B69" i="17"/>
  <c r="B69" i="13" s="1"/>
  <c r="B97" i="17"/>
  <c r="B97" i="13" s="1"/>
  <c r="B135" i="17"/>
  <c r="B135" i="13" s="1"/>
  <c r="B130" i="17"/>
  <c r="B130" i="13" s="1"/>
  <c r="B20" i="17"/>
  <c r="B20" i="13" s="1"/>
  <c r="B53" i="17"/>
  <c r="B86" i="17"/>
  <c r="B86" i="13" s="1"/>
  <c r="B119" i="17"/>
  <c r="B119" i="13" s="1"/>
  <c r="B31" i="17"/>
  <c r="B31" i="13" s="1"/>
  <c r="B51" i="17"/>
  <c r="B51" i="13" s="1"/>
  <c r="B64" i="17"/>
  <c r="B64" i="13" s="1"/>
  <c r="B75" i="17"/>
  <c r="B75" i="13" s="1"/>
  <c r="B35" i="17"/>
  <c r="B35" i="13" s="1"/>
  <c r="B25" i="17"/>
  <c r="B25" i="13" s="1"/>
  <c r="B36" i="17"/>
  <c r="B36" i="13" s="1"/>
  <c r="B58" i="17"/>
  <c r="B58" i="13" s="1"/>
  <c r="B80" i="17"/>
  <c r="B80" i="13" s="1"/>
  <c r="B124" i="17"/>
  <c r="B124" i="13" s="1"/>
  <c r="B14" i="17"/>
  <c r="B14" i="13" s="1"/>
  <c r="B91" i="17"/>
  <c r="B91" i="13" s="1"/>
  <c r="B113" i="17"/>
  <c r="B113" i="13" s="1"/>
  <c r="B47" i="17"/>
  <c r="B47" i="13" s="1"/>
  <c r="B46" i="17"/>
  <c r="B46" i="13" s="1"/>
  <c r="B101" i="17"/>
  <c r="B101" i="13" s="1"/>
  <c r="B146" i="17"/>
  <c r="B146" i="13" s="1"/>
  <c r="B57" i="17"/>
  <c r="B57" i="13" s="1"/>
  <c r="B79" i="17"/>
  <c r="B79" i="13" s="1"/>
  <c r="B145" i="17"/>
  <c r="B145" i="13" s="1"/>
  <c r="B112" i="17"/>
  <c r="B112" i="13" s="1"/>
  <c r="B13" i="17"/>
  <c r="B13" i="13" s="1"/>
  <c r="B68" i="17"/>
  <c r="B68" i="13" s="1"/>
  <c r="B90" i="17"/>
  <c r="B90" i="13" s="1"/>
  <c r="B123" i="17"/>
  <c r="B123" i="13" s="1"/>
  <c r="B134" i="17"/>
  <c r="B118" i="17"/>
  <c r="B118" i="13" s="1"/>
  <c r="B115" i="13"/>
  <c r="B139" i="17"/>
  <c r="B139" i="13" s="1"/>
  <c r="B74" i="17"/>
  <c r="B74" i="13" s="1"/>
  <c r="B140" i="17"/>
  <c r="B140" i="13" s="1"/>
  <c r="B40" i="17"/>
  <c r="B40" i="13" s="1"/>
  <c r="B38" i="13"/>
  <c r="B84" i="17"/>
  <c r="B84" i="13" s="1"/>
  <c r="B82" i="13"/>
  <c r="B106" i="17"/>
  <c r="B106" i="13" s="1"/>
  <c r="B129" i="17"/>
  <c r="B129" i="13" s="1"/>
  <c r="B128" i="17"/>
  <c r="B128" i="13" s="1"/>
  <c r="B49" i="13"/>
  <c r="B117" i="17"/>
  <c r="B117" i="13" s="1"/>
  <c r="B71" i="13"/>
  <c r="B73" i="17"/>
  <c r="B73" i="13" s="1"/>
  <c r="B107" i="17"/>
  <c r="B107" i="13" s="1"/>
  <c r="B30" i="17"/>
  <c r="B30" i="13" s="1"/>
  <c r="B52" i="17"/>
  <c r="B52" i="13" s="1"/>
  <c r="B63" i="17"/>
  <c r="B63" i="13" s="1"/>
  <c r="B41" i="17"/>
  <c r="B41" i="13" s="1"/>
  <c r="B85" i="17"/>
  <c r="B85" i="13" s="1"/>
  <c r="B27" i="13"/>
  <c r="B62" i="17"/>
  <c r="B62" i="13" s="1"/>
  <c r="B8" i="17"/>
  <c r="B8" i="13" s="1"/>
  <c r="B7" i="17"/>
  <c r="B7" i="13" s="1"/>
  <c r="B29" i="17"/>
  <c r="B29" i="13" s="1"/>
  <c r="B54" i="13"/>
  <c r="B164" i="13" s="1"/>
  <c r="J168" i="9" l="1"/>
  <c r="K161" i="9"/>
  <c r="K164" i="9"/>
  <c r="J164" i="9"/>
  <c r="K162" i="9"/>
  <c r="J162" i="9"/>
  <c r="J163" i="9"/>
  <c r="J160" i="9"/>
  <c r="J161" i="9"/>
  <c r="K163" i="9"/>
  <c r="K167" i="9"/>
  <c r="K160" i="9"/>
  <c r="J167" i="9"/>
  <c r="J159" i="9"/>
  <c r="K168" i="9"/>
  <c r="K159" i="9"/>
  <c r="J144" i="18"/>
  <c r="J144" i="6" s="1"/>
  <c r="J89" i="18"/>
  <c r="J89" i="6" s="1"/>
  <c r="J67" i="18"/>
  <c r="J67" i="6" s="1"/>
  <c r="J111" i="18"/>
  <c r="J111" i="6" s="1"/>
  <c r="J34" i="18"/>
  <c r="J34" i="6" s="1"/>
  <c r="J122" i="18"/>
  <c r="J122" i="6" s="1"/>
  <c r="J78" i="18"/>
  <c r="J78" i="6" s="1"/>
  <c r="J155" i="18"/>
  <c r="J155" i="6" s="1"/>
  <c r="J12" i="18"/>
  <c r="J12" i="6" s="1"/>
  <c r="J56" i="18"/>
  <c r="J56" i="6" s="1"/>
  <c r="I157" i="17"/>
  <c r="I157" i="13" s="1"/>
  <c r="I141" i="17"/>
  <c r="I134" i="17"/>
  <c r="I134" i="13" s="1"/>
  <c r="J131" i="17"/>
  <c r="J131" i="13" s="1"/>
  <c r="I83" i="17"/>
  <c r="I83" i="13" s="1"/>
  <c r="I39" i="17"/>
  <c r="I39" i="13" s="1"/>
  <c r="I61" i="17"/>
  <c r="I61" i="13" s="1"/>
  <c r="K138" i="11"/>
  <c r="K39" i="11"/>
  <c r="K94" i="11"/>
  <c r="K149" i="11"/>
  <c r="K116" i="11"/>
  <c r="K105" i="11"/>
  <c r="K28" i="11"/>
  <c r="K83" i="11"/>
  <c r="K6" i="11"/>
  <c r="K72" i="11"/>
  <c r="K61" i="11"/>
  <c r="K50" i="11"/>
  <c r="K127" i="11"/>
  <c r="K17" i="11"/>
  <c r="K164" i="11"/>
  <c r="K164" i="17" s="1"/>
  <c r="J160" i="11"/>
  <c r="J160" i="17" s="1"/>
  <c r="K7" i="11"/>
  <c r="K51" i="11"/>
  <c r="K95" i="11"/>
  <c r="K139" i="11"/>
  <c r="K84" i="11"/>
  <c r="K150" i="11"/>
  <c r="K62" i="11"/>
  <c r="K128" i="11"/>
  <c r="K18" i="11"/>
  <c r="K40" i="11"/>
  <c r="K29" i="11"/>
  <c r="K73" i="11"/>
  <c r="K117" i="11"/>
  <c r="K106" i="11"/>
  <c r="K163" i="11"/>
  <c r="K163" i="17" s="1"/>
  <c r="K167" i="11"/>
  <c r="K167" i="17" s="1"/>
  <c r="K168" i="11"/>
  <c r="K168" i="17" s="1"/>
  <c r="J161" i="11"/>
  <c r="J161" i="17" s="1"/>
  <c r="K159" i="11"/>
  <c r="K159" i="17" s="1"/>
  <c r="K162" i="11"/>
  <c r="K162" i="17" s="1"/>
  <c r="I6" i="17"/>
  <c r="I6" i="13" s="1"/>
  <c r="I105" i="17"/>
  <c r="I105" i="13" s="1"/>
  <c r="I72" i="17"/>
  <c r="I72" i="13" s="1"/>
  <c r="I116" i="17"/>
  <c r="I116" i="13" s="1"/>
  <c r="I50" i="17"/>
  <c r="I50" i="13" s="1"/>
  <c r="I127" i="17"/>
  <c r="I129" i="17" s="1"/>
  <c r="I149" i="17"/>
  <c r="I149" i="13" s="1"/>
  <c r="I138" i="17"/>
  <c r="I138" i="13" s="1"/>
  <c r="I28" i="17"/>
  <c r="I28" i="13" s="1"/>
  <c r="J34" i="17"/>
  <c r="J34" i="13" s="1"/>
  <c r="I53" i="17"/>
  <c r="I130" i="17"/>
  <c r="I64" i="17"/>
  <c r="I164" i="13"/>
  <c r="I31" i="17"/>
  <c r="J153" i="17"/>
  <c r="J153" i="13" s="1"/>
  <c r="J109" i="17"/>
  <c r="J109" i="13" s="1"/>
  <c r="J65" i="17"/>
  <c r="J65" i="13" s="1"/>
  <c r="J142" i="17"/>
  <c r="J142" i="13" s="1"/>
  <c r="J10" i="17"/>
  <c r="J10" i="13" s="1"/>
  <c r="J32" i="17"/>
  <c r="J32" i="13" s="1"/>
  <c r="I36" i="17"/>
  <c r="I36" i="13" s="1"/>
  <c r="I38" i="13"/>
  <c r="I146" i="17"/>
  <c r="I146" i="13" s="1"/>
  <c r="I79" i="17"/>
  <c r="I79" i="13" s="1"/>
  <c r="I14" i="17"/>
  <c r="I14" i="13" s="1"/>
  <c r="I115" i="13"/>
  <c r="I97" i="17"/>
  <c r="J67" i="17"/>
  <c r="J67" i="13" s="1"/>
  <c r="I104" i="13"/>
  <c r="J111" i="17"/>
  <c r="J111" i="13" s="1"/>
  <c r="I46" i="17"/>
  <c r="I46" i="13" s="1"/>
  <c r="I75" i="17"/>
  <c r="I80" i="17"/>
  <c r="I80" i="13" s="1"/>
  <c r="I57" i="17"/>
  <c r="I57" i="13" s="1"/>
  <c r="I152" i="17"/>
  <c r="J98" i="17"/>
  <c r="J98" i="13" s="1"/>
  <c r="J56" i="17"/>
  <c r="J56" i="13" s="1"/>
  <c r="I82" i="13"/>
  <c r="I86" i="17"/>
  <c r="I69" i="17"/>
  <c r="I69" i="13" s="1"/>
  <c r="J21" i="17"/>
  <c r="J21" i="13" s="1"/>
  <c r="J12" i="17"/>
  <c r="J12" i="13" s="1"/>
  <c r="I108" i="17"/>
  <c r="I58" i="17"/>
  <c r="I58" i="13" s="1"/>
  <c r="J76" i="17"/>
  <c r="J76" i="13" s="1"/>
  <c r="J45" i="17"/>
  <c r="J45" i="13" s="1"/>
  <c r="I145" i="17"/>
  <c r="I145" i="13" s="1"/>
  <c r="I20" i="17"/>
  <c r="I124" i="17"/>
  <c r="I124" i="13" s="1"/>
  <c r="J120" i="17"/>
  <c r="J120" i="13" s="1"/>
  <c r="I42" i="17"/>
  <c r="I102" i="17"/>
  <c r="I102" i="13" s="1"/>
  <c r="J43" i="17"/>
  <c r="J43" i="13" s="1"/>
  <c r="J144" i="17"/>
  <c r="J144" i="13" s="1"/>
  <c r="I5" i="13"/>
  <c r="I135" i="17"/>
  <c r="I135" i="13" s="1"/>
  <c r="I47" i="17"/>
  <c r="I47" i="13" s="1"/>
  <c r="I119" i="17"/>
  <c r="I25" i="17"/>
  <c r="I25" i="13" s="1"/>
  <c r="J89" i="17"/>
  <c r="J89" i="13" s="1"/>
  <c r="J155" i="17"/>
  <c r="J155" i="13" s="1"/>
  <c r="I113" i="17"/>
  <c r="I113" i="13" s="1"/>
  <c r="J54" i="17"/>
  <c r="J54" i="13" s="1"/>
  <c r="J78" i="17"/>
  <c r="J78" i="13" s="1"/>
  <c r="I137" i="13"/>
  <c r="I9" i="17"/>
  <c r="I91" i="17"/>
  <c r="I91" i="13" s="1"/>
  <c r="J87" i="17"/>
  <c r="J87" i="13" s="1"/>
  <c r="I167" i="9"/>
  <c r="I167" i="18" s="1"/>
  <c r="I156" i="18" s="1"/>
  <c r="I163" i="9"/>
  <c r="I163" i="18" s="1"/>
  <c r="I31" i="18" s="1"/>
  <c r="I164" i="9"/>
  <c r="I164" i="18" s="1"/>
  <c r="I131" i="18" s="1"/>
  <c r="I131" i="6" s="1"/>
  <c r="I161" i="9"/>
  <c r="I161" i="18" s="1"/>
  <c r="I162" i="9"/>
  <c r="I162" i="18" s="1"/>
  <c r="I159" i="9"/>
  <c r="I159" i="18" s="1"/>
  <c r="I82" i="18" s="1"/>
  <c r="I160" i="9"/>
  <c r="I160" i="18" s="1"/>
  <c r="I39" i="18" s="1"/>
  <c r="I39" i="6" s="1"/>
  <c r="I168" i="9"/>
  <c r="I168" i="18" s="1"/>
  <c r="I157" i="18" s="1"/>
  <c r="I157" i="6" s="1"/>
  <c r="J131" i="16"/>
  <c r="J131" i="12" s="1"/>
  <c r="J120" i="16"/>
  <c r="J120" i="12" s="1"/>
  <c r="J89" i="16"/>
  <c r="J89" i="12" s="1"/>
  <c r="J54" i="16"/>
  <c r="J54" i="12" s="1"/>
  <c r="J109" i="16"/>
  <c r="J109" i="12" s="1"/>
  <c r="J34" i="16"/>
  <c r="J34" i="12" s="1"/>
  <c r="J56" i="16"/>
  <c r="J56" i="12" s="1"/>
  <c r="J32" i="16"/>
  <c r="J32" i="12" s="1"/>
  <c r="J12" i="16"/>
  <c r="J12" i="12" s="1"/>
  <c r="J21" i="16"/>
  <c r="J21" i="12" s="1"/>
  <c r="J98" i="16"/>
  <c r="J98" i="12" s="1"/>
  <c r="J145" i="16"/>
  <c r="J145" i="12" s="1"/>
  <c r="J123" i="16"/>
  <c r="J123" i="12" s="1"/>
  <c r="J79" i="16"/>
  <c r="J79" i="12" s="1"/>
  <c r="J156" i="16"/>
  <c r="J156" i="12" s="1"/>
  <c r="J134" i="16"/>
  <c r="J134" i="12" s="1"/>
  <c r="J112" i="16"/>
  <c r="J112" i="12" s="1"/>
  <c r="J68" i="16"/>
  <c r="J68" i="12" s="1"/>
  <c r="J46" i="16"/>
  <c r="J46" i="12" s="1"/>
  <c r="J90" i="16"/>
  <c r="J90" i="12" s="1"/>
  <c r="J57" i="16"/>
  <c r="J57" i="12" s="1"/>
  <c r="J35" i="16"/>
  <c r="J35" i="12" s="1"/>
  <c r="J13" i="16"/>
  <c r="J13" i="12" s="1"/>
  <c r="J101" i="16"/>
  <c r="J101" i="12" s="1"/>
  <c r="J45" i="16"/>
  <c r="J45" i="12" s="1"/>
  <c r="J60" i="17"/>
  <c r="B53" i="12"/>
  <c r="M170" i="9"/>
  <c r="B148" i="18"/>
  <c r="B148" i="6" s="1"/>
  <c r="B82" i="18"/>
  <c r="B82" i="6" s="1"/>
  <c r="B5" i="18"/>
  <c r="B5" i="6" s="1"/>
  <c r="B137" i="18"/>
  <c r="B137" i="6" s="1"/>
  <c r="B60" i="18"/>
  <c r="B60" i="6" s="1"/>
  <c r="B49" i="18"/>
  <c r="B49" i="6" s="1"/>
  <c r="B38" i="18"/>
  <c r="B38" i="6" s="1"/>
  <c r="B126" i="18"/>
  <c r="B126" i="6" s="1"/>
  <c r="B137" i="16"/>
  <c r="B38" i="16"/>
  <c r="B126" i="16"/>
  <c r="B5" i="16"/>
  <c r="M170" i="10"/>
  <c r="B82" i="16"/>
  <c r="B148" i="16"/>
  <c r="B71" i="16"/>
  <c r="B115" i="16"/>
  <c r="B49" i="16"/>
  <c r="B27" i="16"/>
  <c r="B104" i="16"/>
  <c r="B60" i="16"/>
  <c r="B101" i="18"/>
  <c r="B101" i="6" s="1"/>
  <c r="M178" i="9"/>
  <c r="B151" i="18"/>
  <c r="B151" i="6" s="1"/>
  <c r="M173" i="9"/>
  <c r="B50" i="18"/>
  <c r="B50" i="6" s="1"/>
  <c r="M171" i="9"/>
  <c r="B97" i="18"/>
  <c r="B97" i="6" s="1"/>
  <c r="M174" i="9"/>
  <c r="B128" i="18"/>
  <c r="B128" i="6" s="1"/>
  <c r="M172" i="9"/>
  <c r="B98" i="18"/>
  <c r="B98" i="6" s="1"/>
  <c r="M175" i="9"/>
  <c r="B102" i="18"/>
  <c r="B102" i="6" s="1"/>
  <c r="M179" i="9"/>
  <c r="B62" i="18"/>
  <c r="B62" i="6" s="1"/>
  <c r="B131" i="18"/>
  <c r="B131" i="6" s="1"/>
  <c r="B106" i="18"/>
  <c r="B106" i="6" s="1"/>
  <c r="B39" i="18"/>
  <c r="B39" i="6" s="1"/>
  <c r="B152" i="18"/>
  <c r="B152" i="6" s="1"/>
  <c r="B9" i="18"/>
  <c r="B9" i="6" s="1"/>
  <c r="B119" i="18"/>
  <c r="B119" i="6" s="1"/>
  <c r="B61" i="18"/>
  <c r="B61" i="6" s="1"/>
  <c r="B75" i="18"/>
  <c r="B75" i="6" s="1"/>
  <c r="B139" i="18"/>
  <c r="B139" i="6" s="1"/>
  <c r="B8" i="18"/>
  <c r="B8" i="6" s="1"/>
  <c r="B68" i="18"/>
  <c r="B68" i="6" s="1"/>
  <c r="B118" i="18"/>
  <c r="B118" i="6" s="1"/>
  <c r="B157" i="18"/>
  <c r="B157" i="6" s="1"/>
  <c r="B14" i="18"/>
  <c r="B14" i="6" s="1"/>
  <c r="B30" i="18"/>
  <c r="B30" i="6" s="1"/>
  <c r="B74" i="18"/>
  <c r="B74" i="6" s="1"/>
  <c r="B146" i="18"/>
  <c r="B146" i="6" s="1"/>
  <c r="B41" i="18"/>
  <c r="B41" i="6" s="1"/>
  <c r="B123" i="18"/>
  <c r="B123" i="6" s="1"/>
  <c r="B156" i="18"/>
  <c r="B156" i="6" s="1"/>
  <c r="B63" i="18"/>
  <c r="B63" i="6" s="1"/>
  <c r="B52" i="18"/>
  <c r="B52" i="6" s="1"/>
  <c r="B113" i="18"/>
  <c r="B113" i="6" s="1"/>
  <c r="B85" i="18"/>
  <c r="B85" i="6" s="1"/>
  <c r="B90" i="18"/>
  <c r="B90" i="6" s="1"/>
  <c r="B46" i="18"/>
  <c r="B46" i="6" s="1"/>
  <c r="B36" i="18"/>
  <c r="B36" i="6" s="1"/>
  <c r="B145" i="18"/>
  <c r="B145" i="6" s="1"/>
  <c r="B25" i="18"/>
  <c r="B25" i="6" s="1"/>
  <c r="B13" i="18"/>
  <c r="B13" i="6" s="1"/>
  <c r="B47" i="18"/>
  <c r="B47" i="6" s="1"/>
  <c r="B58" i="18"/>
  <c r="B58" i="6" s="1"/>
  <c r="B69" i="18"/>
  <c r="B69" i="6" s="1"/>
  <c r="B135" i="18"/>
  <c r="B135" i="6" s="1"/>
  <c r="B57" i="18"/>
  <c r="B57" i="6" s="1"/>
  <c r="B107" i="18"/>
  <c r="B107" i="6" s="1"/>
  <c r="B140" i="18"/>
  <c r="B140" i="6" s="1"/>
  <c r="B79" i="18"/>
  <c r="B79" i="6" s="1"/>
  <c r="B129" i="18"/>
  <c r="B129" i="6" s="1"/>
  <c r="B80" i="18"/>
  <c r="B80" i="6" s="1"/>
  <c r="B53" i="13"/>
  <c r="B163" i="13" s="1"/>
  <c r="B105" i="18"/>
  <c r="B105" i="6" s="1"/>
  <c r="B120" i="18"/>
  <c r="B120" i="6" s="1"/>
  <c r="B7" i="18"/>
  <c r="B7" i="6" s="1"/>
  <c r="B31" i="18"/>
  <c r="B31" i="6" s="1"/>
  <c r="B117" i="18"/>
  <c r="B117" i="6" s="1"/>
  <c r="B150" i="18"/>
  <c r="B150" i="6" s="1"/>
  <c r="B51" i="18"/>
  <c r="B51" i="6" s="1"/>
  <c r="B64" i="18"/>
  <c r="B64" i="6" s="1"/>
  <c r="B127" i="18"/>
  <c r="B127" i="6" s="1"/>
  <c r="B21" i="18"/>
  <c r="B21" i="6" s="1"/>
  <c r="B43" i="18"/>
  <c r="B43" i="6" s="1"/>
  <c r="B138" i="18"/>
  <c r="B138" i="6" s="1"/>
  <c r="B149" i="18"/>
  <c r="B149" i="6" s="1"/>
  <c r="B116" i="18"/>
  <c r="B116" i="6" s="1"/>
  <c r="B72" i="18"/>
  <c r="B72" i="6" s="1"/>
  <c r="B6" i="18"/>
  <c r="B6" i="6" s="1"/>
  <c r="B142" i="18"/>
  <c r="B142" i="6" s="1"/>
  <c r="B65" i="18"/>
  <c r="B65" i="6" s="1"/>
  <c r="B10" i="18"/>
  <c r="B10" i="6" s="1"/>
  <c r="B91" i="18"/>
  <c r="B91" i="6" s="1"/>
  <c r="B124" i="18"/>
  <c r="B124" i="6" s="1"/>
  <c r="B87" i="18"/>
  <c r="B87" i="6" s="1"/>
  <c r="B112" i="18"/>
  <c r="B112" i="6" s="1"/>
  <c r="B42" i="18"/>
  <c r="B42" i="6" s="1"/>
  <c r="B53" i="18"/>
  <c r="B20" i="18"/>
  <c r="B20" i="6" s="1"/>
  <c r="B134" i="18"/>
  <c r="B130" i="18"/>
  <c r="B130" i="6" s="1"/>
  <c r="B109" i="18"/>
  <c r="B109" i="6" s="1"/>
  <c r="B84" i="18"/>
  <c r="B84" i="6" s="1"/>
  <c r="B35" i="18"/>
  <c r="B35" i="6" s="1"/>
  <c r="B73" i="18"/>
  <c r="B73" i="6" s="1"/>
  <c r="B141" i="18"/>
  <c r="B141" i="6" s="1"/>
  <c r="B83" i="18"/>
  <c r="B83" i="6" s="1"/>
  <c r="B108" i="18"/>
  <c r="B108" i="6" s="1"/>
  <c r="B28" i="18"/>
  <c r="B28" i="6" s="1"/>
  <c r="B76" i="18"/>
  <c r="B76" i="6" s="1"/>
  <c r="B32" i="18"/>
  <c r="B32" i="6" s="1"/>
  <c r="B153" i="18"/>
  <c r="B153" i="6" s="1"/>
  <c r="B86" i="18"/>
  <c r="B86" i="6" s="1"/>
  <c r="B29" i="18"/>
  <c r="B29" i="6" s="1"/>
  <c r="B54" i="18"/>
  <c r="B54" i="6" s="1"/>
  <c r="B40" i="18"/>
  <c r="B40" i="6" s="1"/>
  <c r="B168" i="13"/>
  <c r="B104" i="18"/>
  <c r="B104" i="6" s="1"/>
  <c r="B71" i="18"/>
  <c r="B71" i="6" s="1"/>
  <c r="B27" i="18"/>
  <c r="B27" i="6" s="1"/>
  <c r="B168" i="12"/>
  <c r="B164" i="12"/>
  <c r="I30" i="17" l="1"/>
  <c r="I30" i="13" s="1"/>
  <c r="I62" i="17"/>
  <c r="I62" i="13" s="1"/>
  <c r="I84" i="17"/>
  <c r="I84" i="13" s="1"/>
  <c r="I63" i="17"/>
  <c r="I63" i="13" s="1"/>
  <c r="I35" i="18"/>
  <c r="I35" i="6" s="1"/>
  <c r="I116" i="18"/>
  <c r="I116" i="6" s="1"/>
  <c r="I134" i="18"/>
  <c r="I135" i="18"/>
  <c r="I135" i="6" s="1"/>
  <c r="I65" i="18"/>
  <c r="I65" i="6" s="1"/>
  <c r="I91" i="18"/>
  <c r="I91" i="6" s="1"/>
  <c r="I149" i="18"/>
  <c r="I149" i="6" s="1"/>
  <c r="I68" i="18"/>
  <c r="I68" i="6" s="1"/>
  <c r="I90" i="18"/>
  <c r="I90" i="6" s="1"/>
  <c r="I102" i="18"/>
  <c r="I102" i="6" s="1"/>
  <c r="I10" i="18"/>
  <c r="I10" i="6" s="1"/>
  <c r="I153" i="18"/>
  <c r="I153" i="6" s="1"/>
  <c r="I138" i="18"/>
  <c r="I138" i="6" s="1"/>
  <c r="I113" i="18"/>
  <c r="I113" i="6" s="1"/>
  <c r="I120" i="18"/>
  <c r="I120" i="6" s="1"/>
  <c r="I124" i="18"/>
  <c r="I124" i="6" s="1"/>
  <c r="I82" i="6"/>
  <c r="I156" i="6"/>
  <c r="I134" i="6"/>
  <c r="I115" i="18"/>
  <c r="I14" i="18"/>
  <c r="I14" i="6" s="1"/>
  <c r="I75" i="18"/>
  <c r="I6" i="18"/>
  <c r="I6" i="6" s="1"/>
  <c r="I142" i="18"/>
  <c r="I142" i="6" s="1"/>
  <c r="I38" i="18"/>
  <c r="I38" i="6" s="1"/>
  <c r="I25" i="18"/>
  <c r="I25" i="6" s="1"/>
  <c r="I83" i="18"/>
  <c r="I83" i="6" s="1"/>
  <c r="I57" i="18"/>
  <c r="I57" i="6" s="1"/>
  <c r="I86" i="18"/>
  <c r="I28" i="18"/>
  <c r="I28" i="6" s="1"/>
  <c r="I148" i="18"/>
  <c r="I80" i="18"/>
  <c r="I80" i="6" s="1"/>
  <c r="I76" i="18"/>
  <c r="I76" i="6" s="1"/>
  <c r="I101" i="18"/>
  <c r="I101" i="6" s="1"/>
  <c r="I141" i="18"/>
  <c r="I127" i="18"/>
  <c r="I54" i="18"/>
  <c r="I54" i="6" s="1"/>
  <c r="I137" i="18"/>
  <c r="I137" i="6" s="1"/>
  <c r="I9" i="18"/>
  <c r="I13" i="18"/>
  <c r="I13" i="6" s="1"/>
  <c r="I145" i="18"/>
  <c r="I145" i="6" s="1"/>
  <c r="I69" i="18"/>
  <c r="I69" i="6" s="1"/>
  <c r="I97" i="18"/>
  <c r="I50" i="18"/>
  <c r="I50" i="6" s="1"/>
  <c r="I60" i="18"/>
  <c r="I119" i="18"/>
  <c r="I109" i="18"/>
  <c r="I109" i="6" s="1"/>
  <c r="I123" i="18"/>
  <c r="I123" i="6" s="1"/>
  <c r="I47" i="18"/>
  <c r="I47" i="6" s="1"/>
  <c r="I108" i="18"/>
  <c r="I98" i="18"/>
  <c r="I98" i="6" s="1"/>
  <c r="I71" i="18"/>
  <c r="I64" i="18"/>
  <c r="I27" i="18"/>
  <c r="I27" i="6" s="1"/>
  <c r="I36" i="18"/>
  <c r="I36" i="6" s="1"/>
  <c r="I53" i="18"/>
  <c r="I72" i="18"/>
  <c r="I72" i="6" s="1"/>
  <c r="I21" i="18"/>
  <c r="I21" i="6" s="1"/>
  <c r="I126" i="18"/>
  <c r="I61" i="18"/>
  <c r="I61" i="6" s="1"/>
  <c r="I5" i="18"/>
  <c r="I20" i="18"/>
  <c r="I112" i="18"/>
  <c r="I112" i="6" s="1"/>
  <c r="I58" i="18"/>
  <c r="I58" i="6" s="1"/>
  <c r="I130" i="18"/>
  <c r="I43" i="18"/>
  <c r="I43" i="6" s="1"/>
  <c r="I104" i="18"/>
  <c r="I152" i="18"/>
  <c r="I49" i="18"/>
  <c r="I46" i="18"/>
  <c r="I46" i="6" s="1"/>
  <c r="I146" i="18"/>
  <c r="I146" i="6" s="1"/>
  <c r="I42" i="18"/>
  <c r="I32" i="18"/>
  <c r="I32" i="6" s="1"/>
  <c r="I105" i="18"/>
  <c r="I105" i="6" s="1"/>
  <c r="I79" i="18"/>
  <c r="I79" i="6" s="1"/>
  <c r="I87" i="18"/>
  <c r="I87" i="6" s="1"/>
  <c r="I85" i="17"/>
  <c r="I85" i="13" s="1"/>
  <c r="I13" i="17"/>
  <c r="I13" i="13" s="1"/>
  <c r="I112" i="17"/>
  <c r="I112" i="13" s="1"/>
  <c r="I35" i="17"/>
  <c r="I35" i="13" s="1"/>
  <c r="I90" i="17"/>
  <c r="I90" i="13" s="1"/>
  <c r="I123" i="17"/>
  <c r="I123" i="13" s="1"/>
  <c r="I156" i="17"/>
  <c r="I156" i="13" s="1"/>
  <c r="I41" i="17"/>
  <c r="I41" i="13" s="1"/>
  <c r="I68" i="17"/>
  <c r="I68" i="13" s="1"/>
  <c r="I101" i="17"/>
  <c r="I101" i="13" s="1"/>
  <c r="I40" i="17"/>
  <c r="I40" i="13" s="1"/>
  <c r="J116" i="17"/>
  <c r="J116" i="13" s="1"/>
  <c r="I51" i="17"/>
  <c r="I51" i="13" s="1"/>
  <c r="K161" i="11"/>
  <c r="K161" i="17" s="1"/>
  <c r="K160" i="11"/>
  <c r="K160" i="17" s="1"/>
  <c r="I8" i="17"/>
  <c r="I8" i="13" s="1"/>
  <c r="I52" i="17"/>
  <c r="I52" i="13" s="1"/>
  <c r="I29" i="17"/>
  <c r="I29" i="13" s="1"/>
  <c r="I107" i="17"/>
  <c r="I107" i="13" s="1"/>
  <c r="I106" i="17"/>
  <c r="I106" i="13" s="1"/>
  <c r="I7" i="17"/>
  <c r="I7" i="13" s="1"/>
  <c r="I128" i="17"/>
  <c r="I127" i="13" s="1"/>
  <c r="I151" i="17"/>
  <c r="I151" i="13" s="1"/>
  <c r="I139" i="17"/>
  <c r="I139" i="13" s="1"/>
  <c r="I140" i="17"/>
  <c r="I140" i="13" s="1"/>
  <c r="I73" i="17"/>
  <c r="I73" i="13" s="1"/>
  <c r="I118" i="17"/>
  <c r="I118" i="13" s="1"/>
  <c r="I150" i="17"/>
  <c r="I150" i="13" s="1"/>
  <c r="I74" i="17"/>
  <c r="I74" i="13" s="1"/>
  <c r="I117" i="17"/>
  <c r="I117" i="13" s="1"/>
  <c r="J82" i="17"/>
  <c r="J82" i="13" s="1"/>
  <c r="J115" i="17"/>
  <c r="J115" i="13" s="1"/>
  <c r="J49" i="17"/>
  <c r="J49" i="13" s="1"/>
  <c r="J148" i="17"/>
  <c r="J126" i="17"/>
  <c r="J28" i="17"/>
  <c r="J28" i="13" s="1"/>
  <c r="J6" i="17"/>
  <c r="J6" i="13" s="1"/>
  <c r="J60" i="13"/>
  <c r="J38" i="17"/>
  <c r="J27" i="17"/>
  <c r="I168" i="13"/>
  <c r="J5" i="17"/>
  <c r="J104" i="17"/>
  <c r="J137" i="17"/>
  <c r="J164" i="13"/>
  <c r="J71" i="17"/>
  <c r="J157" i="16"/>
  <c r="J157" i="12" s="1"/>
  <c r="J69" i="16"/>
  <c r="J69" i="12" s="1"/>
  <c r="J28" i="16"/>
  <c r="J28" i="12" s="1"/>
  <c r="J78" i="16"/>
  <c r="J78" i="12" s="1"/>
  <c r="J144" i="16"/>
  <c r="J144" i="12" s="1"/>
  <c r="J6" i="16"/>
  <c r="J6" i="12" s="1"/>
  <c r="J14" i="16"/>
  <c r="J14" i="12" s="1"/>
  <c r="J75" i="16"/>
  <c r="J65" i="16"/>
  <c r="J65" i="12" s="1"/>
  <c r="J122" i="16"/>
  <c r="J122" i="12" s="1"/>
  <c r="J87" i="16"/>
  <c r="J87" i="12" s="1"/>
  <c r="J76" i="16"/>
  <c r="J76" i="12" s="1"/>
  <c r="J153" i="16"/>
  <c r="J153" i="12" s="1"/>
  <c r="J67" i="16"/>
  <c r="J67" i="12" s="1"/>
  <c r="J50" i="16"/>
  <c r="J50" i="12" s="1"/>
  <c r="J146" i="16"/>
  <c r="J146" i="12" s="1"/>
  <c r="J31" i="16"/>
  <c r="J83" i="16"/>
  <c r="J83" i="12" s="1"/>
  <c r="J135" i="16"/>
  <c r="J135" i="12" s="1"/>
  <c r="J155" i="16"/>
  <c r="J155" i="12" s="1"/>
  <c r="J138" i="16"/>
  <c r="J138" i="12" s="1"/>
  <c r="J25" i="16"/>
  <c r="J25" i="12" s="1"/>
  <c r="J102" i="16"/>
  <c r="J102" i="12" s="1"/>
  <c r="J20" i="16"/>
  <c r="J10" i="16"/>
  <c r="J10" i="12" s="1"/>
  <c r="J111" i="16"/>
  <c r="J111" i="12" s="1"/>
  <c r="J142" i="16"/>
  <c r="J142" i="12" s="1"/>
  <c r="J43" i="16"/>
  <c r="J43" i="12" s="1"/>
  <c r="J91" i="16"/>
  <c r="J91" i="12" s="1"/>
  <c r="J152" i="16"/>
  <c r="J86" i="17"/>
  <c r="J146" i="17"/>
  <c r="J146" i="13" s="1"/>
  <c r="J112" i="17"/>
  <c r="J112" i="13" s="1"/>
  <c r="B163" i="12"/>
  <c r="B70" i="6"/>
  <c r="B114" i="6"/>
  <c r="B147" i="6"/>
  <c r="B136" i="6"/>
  <c r="B103" i="6"/>
  <c r="B81" i="6"/>
  <c r="B59" i="6"/>
  <c r="B26" i="6"/>
  <c r="B37" i="6"/>
  <c r="B4" i="6"/>
  <c r="B106" i="16"/>
  <c r="B106" i="12" s="1"/>
  <c r="B104" i="12"/>
  <c r="B107" i="16"/>
  <c r="B107" i="12" s="1"/>
  <c r="B71" i="12"/>
  <c r="B73" i="16"/>
  <c r="B73" i="12" s="1"/>
  <c r="B74" i="16"/>
  <c r="B74" i="12" s="1"/>
  <c r="B5" i="12"/>
  <c r="B7" i="16"/>
  <c r="B7" i="12" s="1"/>
  <c r="B8" i="16"/>
  <c r="B8" i="12" s="1"/>
  <c r="B148" i="12"/>
  <c r="B150" i="16"/>
  <c r="B150" i="12" s="1"/>
  <c r="B151" i="16"/>
  <c r="B151" i="12" s="1"/>
  <c r="B60" i="12"/>
  <c r="B63" i="16"/>
  <c r="B63" i="12" s="1"/>
  <c r="B62" i="16"/>
  <c r="B62" i="12" s="1"/>
  <c r="B115" i="12"/>
  <c r="B118" i="16"/>
  <c r="B118" i="12" s="1"/>
  <c r="B117" i="16"/>
  <c r="B117" i="12" s="1"/>
  <c r="B137" i="12"/>
  <c r="B140" i="16"/>
  <c r="B140" i="12" s="1"/>
  <c r="B139" i="16"/>
  <c r="B139" i="12" s="1"/>
  <c r="B27" i="12"/>
  <c r="B29" i="16"/>
  <c r="B29" i="12" s="1"/>
  <c r="B30" i="16"/>
  <c r="B30" i="12" s="1"/>
  <c r="B126" i="12"/>
  <c r="B129" i="16"/>
  <c r="B129" i="12" s="1"/>
  <c r="B128" i="16"/>
  <c r="B128" i="12" s="1"/>
  <c r="B49" i="12"/>
  <c r="B52" i="16"/>
  <c r="B51" i="16"/>
  <c r="B51" i="12" s="1"/>
  <c r="B82" i="12"/>
  <c r="B84" i="16"/>
  <c r="B84" i="12" s="1"/>
  <c r="B85" i="16"/>
  <c r="B85" i="12" s="1"/>
  <c r="B38" i="12"/>
  <c r="B41" i="16"/>
  <c r="B41" i="12" s="1"/>
  <c r="B40" i="16"/>
  <c r="B40" i="12" s="1"/>
  <c r="B134" i="6"/>
  <c r="B125" i="6" s="1"/>
  <c r="B53" i="6"/>
  <c r="B48" i="6" s="1"/>
  <c r="B168" i="6"/>
  <c r="I31" i="13" l="1"/>
  <c r="I151" i="18"/>
  <c r="I151" i="6" s="1"/>
  <c r="I53" i="13"/>
  <c r="I64" i="13"/>
  <c r="I86" i="13"/>
  <c r="I118" i="18"/>
  <c r="I118" i="6" s="1"/>
  <c r="I7" i="18"/>
  <c r="I7" i="6" s="1"/>
  <c r="I52" i="18"/>
  <c r="I84" i="18"/>
  <c r="I84" i="6" s="1"/>
  <c r="I74" i="18"/>
  <c r="I74" i="6" s="1"/>
  <c r="I128" i="18"/>
  <c r="I128" i="6" s="1"/>
  <c r="I164" i="6"/>
  <c r="I168" i="6"/>
  <c r="I104" i="6"/>
  <c r="I107" i="18"/>
  <c r="I107" i="6" s="1"/>
  <c r="I106" i="18"/>
  <c r="I106" i="6" s="1"/>
  <c r="I30" i="18"/>
  <c r="I30" i="6" s="1"/>
  <c r="I41" i="18"/>
  <c r="I41" i="6" s="1"/>
  <c r="I5" i="6"/>
  <c r="I8" i="18"/>
  <c r="I8" i="6" s="1"/>
  <c r="I60" i="6"/>
  <c r="I62" i="18"/>
  <c r="I62" i="6" s="1"/>
  <c r="I29" i="18"/>
  <c r="I29" i="6" s="1"/>
  <c r="I148" i="6"/>
  <c r="I150" i="18"/>
  <c r="I150" i="6" s="1"/>
  <c r="I129" i="18"/>
  <c r="I139" i="18"/>
  <c r="I139" i="6" s="1"/>
  <c r="I85" i="18"/>
  <c r="I85" i="6" s="1"/>
  <c r="I115" i="6"/>
  <c r="I117" i="18"/>
  <c r="I117" i="6" s="1"/>
  <c r="I49" i="6"/>
  <c r="I51" i="18"/>
  <c r="I51" i="6" s="1"/>
  <c r="I71" i="6"/>
  <c r="I73" i="18"/>
  <c r="I73" i="6" s="1"/>
  <c r="I40" i="18"/>
  <c r="I40" i="6" s="1"/>
  <c r="I63" i="18"/>
  <c r="I63" i="6" s="1"/>
  <c r="I140" i="18"/>
  <c r="I140" i="6" s="1"/>
  <c r="I108" i="13"/>
  <c r="I42" i="13"/>
  <c r="J127" i="17"/>
  <c r="J128" i="17" s="1"/>
  <c r="J61" i="17"/>
  <c r="J61" i="13" s="1"/>
  <c r="J105" i="17"/>
  <c r="J105" i="13" s="1"/>
  <c r="J83" i="17"/>
  <c r="J83" i="13" s="1"/>
  <c r="J50" i="17"/>
  <c r="J52" i="17" s="1"/>
  <c r="J52" i="13" s="1"/>
  <c r="J39" i="17"/>
  <c r="J39" i="13" s="1"/>
  <c r="J138" i="17"/>
  <c r="J138" i="13" s="1"/>
  <c r="J72" i="17"/>
  <c r="J72" i="13" s="1"/>
  <c r="J149" i="17"/>
  <c r="J149" i="13" s="1"/>
  <c r="I9" i="13"/>
  <c r="I141" i="13"/>
  <c r="I129" i="13"/>
  <c r="I128" i="13"/>
  <c r="I133" i="13"/>
  <c r="I126" i="13"/>
  <c r="I152" i="13"/>
  <c r="I119" i="13"/>
  <c r="I75" i="13"/>
  <c r="J118" i="17"/>
  <c r="J118" i="13" s="1"/>
  <c r="J157" i="17"/>
  <c r="J157" i="13" s="1"/>
  <c r="J145" i="17"/>
  <c r="J145" i="13" s="1"/>
  <c r="J57" i="17"/>
  <c r="J57" i="13" s="1"/>
  <c r="J58" i="17"/>
  <c r="J58" i="13" s="1"/>
  <c r="J35" i="17"/>
  <c r="J35" i="13" s="1"/>
  <c r="J25" i="17"/>
  <c r="J25" i="13" s="1"/>
  <c r="J148" i="13"/>
  <c r="J68" i="17"/>
  <c r="J68" i="13" s="1"/>
  <c r="J14" i="17"/>
  <c r="J14" i="13" s="1"/>
  <c r="J90" i="17"/>
  <c r="J90" i="13" s="1"/>
  <c r="J46" i="17"/>
  <c r="J46" i="13" s="1"/>
  <c r="J36" i="17"/>
  <c r="J36" i="13" s="1"/>
  <c r="J117" i="17"/>
  <c r="J117" i="13" s="1"/>
  <c r="J141" i="17"/>
  <c r="J71" i="13"/>
  <c r="J137" i="13"/>
  <c r="J97" i="17"/>
  <c r="J9" i="17"/>
  <c r="J5" i="13"/>
  <c r="J7" i="17"/>
  <c r="J7" i="13" s="1"/>
  <c r="J8" i="17"/>
  <c r="J8" i="13" s="1"/>
  <c r="J27" i="13"/>
  <c r="J30" i="17"/>
  <c r="J30" i="13" s="1"/>
  <c r="J29" i="17"/>
  <c r="J29" i="13" s="1"/>
  <c r="J80" i="17"/>
  <c r="J80" i="13" s="1"/>
  <c r="J75" i="17"/>
  <c r="J47" i="17"/>
  <c r="J47" i="13" s="1"/>
  <c r="J20" i="17"/>
  <c r="J119" i="17"/>
  <c r="J64" i="17"/>
  <c r="J101" i="17"/>
  <c r="J101" i="13" s="1"/>
  <c r="J134" i="17"/>
  <c r="J134" i="13" s="1"/>
  <c r="J113" i="17"/>
  <c r="J113" i="13" s="1"/>
  <c r="J108" i="17"/>
  <c r="J156" i="17"/>
  <c r="J156" i="13" s="1"/>
  <c r="J124" i="17"/>
  <c r="J124" i="13" s="1"/>
  <c r="J38" i="13"/>
  <c r="J31" i="17"/>
  <c r="J130" i="17"/>
  <c r="J79" i="17"/>
  <c r="J79" i="13" s="1"/>
  <c r="J69" i="17"/>
  <c r="J69" i="13" s="1"/>
  <c r="J104" i="13"/>
  <c r="J42" i="17"/>
  <c r="J91" i="17"/>
  <c r="J91" i="13" s="1"/>
  <c r="J53" i="17"/>
  <c r="J102" i="17"/>
  <c r="J102" i="13" s="1"/>
  <c r="J152" i="17"/>
  <c r="J13" i="17"/>
  <c r="J13" i="13" s="1"/>
  <c r="J135" i="17"/>
  <c r="J135" i="13" s="1"/>
  <c r="J123" i="17"/>
  <c r="J123" i="13" s="1"/>
  <c r="J164" i="12"/>
  <c r="J168" i="18"/>
  <c r="J113" i="18" s="1"/>
  <c r="J113" i="6" s="1"/>
  <c r="J159" i="18"/>
  <c r="J38" i="18" s="1"/>
  <c r="J167" i="18"/>
  <c r="J123" i="18" s="1"/>
  <c r="J123" i="6" s="1"/>
  <c r="J160" i="18"/>
  <c r="J72" i="18" s="1"/>
  <c r="J72" i="6" s="1"/>
  <c r="J161" i="18"/>
  <c r="J162" i="18"/>
  <c r="J163" i="18"/>
  <c r="J119" i="18" s="1"/>
  <c r="J164" i="18"/>
  <c r="J142" i="18" s="1"/>
  <c r="J142" i="6" s="1"/>
  <c r="J64" i="16"/>
  <c r="J105" i="16"/>
  <c r="J105" i="12" s="1"/>
  <c r="J149" i="16"/>
  <c r="J149" i="12" s="1"/>
  <c r="J97" i="16"/>
  <c r="J72" i="16"/>
  <c r="J72" i="12" s="1"/>
  <c r="J86" i="16"/>
  <c r="J47" i="16"/>
  <c r="J47" i="12" s="1"/>
  <c r="J127" i="16"/>
  <c r="J80" i="16"/>
  <c r="J80" i="12" s="1"/>
  <c r="J113" i="16"/>
  <c r="J113" i="12" s="1"/>
  <c r="J9" i="16"/>
  <c r="J124" i="16"/>
  <c r="J124" i="12" s="1"/>
  <c r="J130" i="16"/>
  <c r="J141" i="16"/>
  <c r="J61" i="16"/>
  <c r="J61" i="12" s="1"/>
  <c r="J27" i="16"/>
  <c r="J53" i="16"/>
  <c r="J39" i="16"/>
  <c r="J39" i="12" s="1"/>
  <c r="J126" i="16"/>
  <c r="J108" i="16"/>
  <c r="J36" i="16"/>
  <c r="J36" i="12" s="1"/>
  <c r="J58" i="16"/>
  <c r="J58" i="12" s="1"/>
  <c r="J116" i="16"/>
  <c r="J116" i="12" s="1"/>
  <c r="J119" i="16"/>
  <c r="J42" i="16"/>
  <c r="J115" i="16"/>
  <c r="J115" i="12" s="1"/>
  <c r="B52" i="12"/>
  <c r="I152" i="6" l="1"/>
  <c r="I9" i="6"/>
  <c r="I119" i="6"/>
  <c r="I133" i="6"/>
  <c r="I86" i="6"/>
  <c r="I52" i="6"/>
  <c r="I53" i="6" s="1"/>
  <c r="J50" i="13"/>
  <c r="J129" i="17"/>
  <c r="J129" i="13" s="1"/>
  <c r="J150" i="17"/>
  <c r="J150" i="13" s="1"/>
  <c r="I75" i="6"/>
  <c r="J139" i="17"/>
  <c r="J139" i="13" s="1"/>
  <c r="J106" i="17"/>
  <c r="J106" i="13" s="1"/>
  <c r="J107" i="17"/>
  <c r="J107" i="13" s="1"/>
  <c r="J140" i="17"/>
  <c r="J140" i="13" s="1"/>
  <c r="I108" i="6"/>
  <c r="J62" i="17"/>
  <c r="J62" i="13" s="1"/>
  <c r="J14" i="18"/>
  <c r="J14" i="6" s="1"/>
  <c r="I42" i="6"/>
  <c r="J80" i="18"/>
  <c r="J80" i="6" s="1"/>
  <c r="J39" i="18"/>
  <c r="J39" i="6" s="1"/>
  <c r="J86" i="18"/>
  <c r="J46" i="18"/>
  <c r="J46" i="6" s="1"/>
  <c r="J137" i="18"/>
  <c r="J137" i="6" s="1"/>
  <c r="J31" i="18"/>
  <c r="J112" i="18"/>
  <c r="J112" i="6" s="1"/>
  <c r="J131" i="18"/>
  <c r="J131" i="6" s="1"/>
  <c r="J141" i="18"/>
  <c r="J43" i="18"/>
  <c r="J43" i="6" s="1"/>
  <c r="J49" i="18"/>
  <c r="J49" i="6" s="1"/>
  <c r="J71" i="18"/>
  <c r="J71" i="6" s="1"/>
  <c r="J36" i="18"/>
  <c r="J36" i="6" s="1"/>
  <c r="J127" i="18"/>
  <c r="J102" i="18"/>
  <c r="J102" i="6" s="1"/>
  <c r="J28" i="18"/>
  <c r="J28" i="6" s="1"/>
  <c r="J10" i="18"/>
  <c r="J10" i="6" s="1"/>
  <c r="I64" i="6"/>
  <c r="J6" i="18"/>
  <c r="J6" i="6" s="1"/>
  <c r="J50" i="18"/>
  <c r="J50" i="6" s="1"/>
  <c r="J38" i="6"/>
  <c r="I126" i="6"/>
  <c r="J130" i="18"/>
  <c r="J148" i="18"/>
  <c r="J148" i="6" s="1"/>
  <c r="J109" i="18"/>
  <c r="J109" i="6" s="1"/>
  <c r="J83" i="18"/>
  <c r="J83" i="6" s="1"/>
  <c r="J90" i="18"/>
  <c r="J90" i="6" s="1"/>
  <c r="J152" i="18"/>
  <c r="J116" i="18"/>
  <c r="J116" i="6" s="1"/>
  <c r="J42" i="18"/>
  <c r="J76" i="18"/>
  <c r="J76" i="6" s="1"/>
  <c r="J91" i="18"/>
  <c r="J91" i="6" s="1"/>
  <c r="J149" i="18"/>
  <c r="J149" i="6" s="1"/>
  <c r="J101" i="18"/>
  <c r="J101" i="6" s="1"/>
  <c r="J82" i="18"/>
  <c r="J82" i="6" s="1"/>
  <c r="J156" i="18"/>
  <c r="J97" i="18"/>
  <c r="J5" i="18"/>
  <c r="J120" i="18"/>
  <c r="J120" i="6" s="1"/>
  <c r="J135" i="18"/>
  <c r="J135" i="6" s="1"/>
  <c r="J79" i="18"/>
  <c r="J79" i="6" s="1"/>
  <c r="J27" i="18"/>
  <c r="J35" i="18"/>
  <c r="J35" i="6" s="1"/>
  <c r="J75" i="18"/>
  <c r="J115" i="18"/>
  <c r="J146" i="18"/>
  <c r="J146" i="6" s="1"/>
  <c r="J138" i="18"/>
  <c r="J138" i="6" s="1"/>
  <c r="J57" i="18"/>
  <c r="J57" i="6" s="1"/>
  <c r="J60" i="18"/>
  <c r="J60" i="6" s="1"/>
  <c r="J9" i="18"/>
  <c r="J126" i="18"/>
  <c r="J54" i="18"/>
  <c r="J54" i="6" s="1"/>
  <c r="J25" i="18"/>
  <c r="J25" i="6" s="1"/>
  <c r="J105" i="18"/>
  <c r="J105" i="6" s="1"/>
  <c r="J13" i="18"/>
  <c r="J13" i="6" s="1"/>
  <c r="J21" i="18"/>
  <c r="J21" i="6" s="1"/>
  <c r="J68" i="18"/>
  <c r="J68" i="6" s="1"/>
  <c r="J20" i="18"/>
  <c r="J32" i="18"/>
  <c r="J32" i="6" s="1"/>
  <c r="J157" i="18"/>
  <c r="J157" i="6" s="1"/>
  <c r="J61" i="18"/>
  <c r="J61" i="6" s="1"/>
  <c r="J134" i="18"/>
  <c r="J65" i="18"/>
  <c r="J65" i="6" s="1"/>
  <c r="I127" i="6"/>
  <c r="I129" i="6"/>
  <c r="I130" i="6" s="1"/>
  <c r="I132" i="6"/>
  <c r="J53" i="18"/>
  <c r="J104" i="18"/>
  <c r="J87" i="18"/>
  <c r="J87" i="6" s="1"/>
  <c r="J124" i="18"/>
  <c r="J124" i="6" s="1"/>
  <c r="J145" i="18"/>
  <c r="J145" i="6" s="1"/>
  <c r="J98" i="18"/>
  <c r="J98" i="6" s="1"/>
  <c r="I141" i="6"/>
  <c r="I31" i="6"/>
  <c r="J64" i="18"/>
  <c r="J153" i="18"/>
  <c r="J153" i="6" s="1"/>
  <c r="J69" i="18"/>
  <c r="J69" i="6" s="1"/>
  <c r="J108" i="18"/>
  <c r="J58" i="18"/>
  <c r="J58" i="6" s="1"/>
  <c r="J47" i="18"/>
  <c r="J47" i="6" s="1"/>
  <c r="J41" i="17"/>
  <c r="J41" i="13" s="1"/>
  <c r="J40" i="17"/>
  <c r="J40" i="13" s="1"/>
  <c r="J51" i="17"/>
  <c r="J51" i="13" s="1"/>
  <c r="J53" i="13" s="1"/>
  <c r="J151" i="17"/>
  <c r="J151" i="13" s="1"/>
  <c r="J63" i="17"/>
  <c r="J63" i="13" s="1"/>
  <c r="I130" i="13"/>
  <c r="J84" i="17"/>
  <c r="J84" i="13" s="1"/>
  <c r="J73" i="17"/>
  <c r="J73" i="13" s="1"/>
  <c r="J74" i="17"/>
  <c r="J74" i="13" s="1"/>
  <c r="J85" i="17"/>
  <c r="J85" i="13" s="1"/>
  <c r="J119" i="13"/>
  <c r="J31" i="13"/>
  <c r="J128" i="13"/>
  <c r="J168" i="13"/>
  <c r="J9" i="13"/>
  <c r="J168" i="12"/>
  <c r="J129" i="16"/>
  <c r="J29" i="16"/>
  <c r="J29" i="12" s="1"/>
  <c r="J27" i="12"/>
  <c r="J118" i="16"/>
  <c r="J118" i="12" s="1"/>
  <c r="J117" i="16"/>
  <c r="J117" i="12" s="1"/>
  <c r="J82" i="16"/>
  <c r="J82" i="12" s="1"/>
  <c r="J49" i="16"/>
  <c r="J49" i="12" s="1"/>
  <c r="J30" i="16"/>
  <c r="J30" i="12" s="1"/>
  <c r="J128" i="16"/>
  <c r="J137" i="16"/>
  <c r="J137" i="12" s="1"/>
  <c r="J71" i="16"/>
  <c r="J71" i="12" s="1"/>
  <c r="J104" i="16"/>
  <c r="J104" i="12" s="1"/>
  <c r="J60" i="16"/>
  <c r="J60" i="12" s="1"/>
  <c r="J5" i="16"/>
  <c r="J5" i="12" s="1"/>
  <c r="J148" i="16"/>
  <c r="J148" i="12" s="1"/>
  <c r="J38" i="16"/>
  <c r="J38" i="12" s="1"/>
  <c r="B163" i="6"/>
  <c r="B164" i="6"/>
  <c r="J74" i="18" l="1"/>
  <c r="J74" i="6" s="1"/>
  <c r="J41" i="18"/>
  <c r="J41" i="6" s="1"/>
  <c r="J152" i="13"/>
  <c r="J141" i="13"/>
  <c r="J127" i="13"/>
  <c r="J133" i="13"/>
  <c r="J126" i="13"/>
  <c r="J108" i="13"/>
  <c r="J64" i="13"/>
  <c r="J150" i="18"/>
  <c r="J150" i="6" s="1"/>
  <c r="J128" i="18"/>
  <c r="J128" i="6" s="1"/>
  <c r="J40" i="18"/>
  <c r="J40" i="6" s="1"/>
  <c r="J42" i="13"/>
  <c r="J7" i="18"/>
  <c r="J7" i="6" s="1"/>
  <c r="J129" i="18"/>
  <c r="J117" i="18"/>
  <c r="J117" i="6" s="1"/>
  <c r="J51" i="18"/>
  <c r="J51" i="6" s="1"/>
  <c r="J52" i="18"/>
  <c r="J29" i="18"/>
  <c r="J29" i="6" s="1"/>
  <c r="J73" i="18"/>
  <c r="J73" i="6" s="1"/>
  <c r="J164" i="6"/>
  <c r="J168" i="6"/>
  <c r="J139" i="18"/>
  <c r="J139" i="6" s="1"/>
  <c r="J63" i="18"/>
  <c r="J63" i="6" s="1"/>
  <c r="J104" i="6"/>
  <c r="J107" i="18"/>
  <c r="J107" i="6" s="1"/>
  <c r="I125" i="6"/>
  <c r="J151" i="18"/>
  <c r="J151" i="6" s="1"/>
  <c r="J27" i="6"/>
  <c r="J30" i="18"/>
  <c r="J30" i="6" s="1"/>
  <c r="J5" i="6"/>
  <c r="J8" i="18"/>
  <c r="J8" i="6" s="1"/>
  <c r="J62" i="18"/>
  <c r="J62" i="6" s="1"/>
  <c r="J85" i="18"/>
  <c r="J85" i="6" s="1"/>
  <c r="J84" i="18"/>
  <c r="J84" i="6" s="1"/>
  <c r="J106" i="18"/>
  <c r="J106" i="6" s="1"/>
  <c r="J115" i="6"/>
  <c r="J118" i="18"/>
  <c r="J118" i="6" s="1"/>
  <c r="J134" i="6"/>
  <c r="J156" i="6"/>
  <c r="J140" i="18"/>
  <c r="J140" i="6" s="1"/>
  <c r="J75" i="13"/>
  <c r="J86" i="13"/>
  <c r="J130" i="13"/>
  <c r="J119" i="12"/>
  <c r="J31" i="12"/>
  <c r="J129" i="12"/>
  <c r="J127" i="12"/>
  <c r="J128" i="12"/>
  <c r="J133" i="12"/>
  <c r="J126" i="12"/>
  <c r="J106" i="16"/>
  <c r="J106" i="12" s="1"/>
  <c r="J107" i="16"/>
  <c r="J107" i="12" s="1"/>
  <c r="J73" i="16"/>
  <c r="J73" i="12" s="1"/>
  <c r="J74" i="16"/>
  <c r="J74" i="12" s="1"/>
  <c r="J40" i="16"/>
  <c r="J40" i="12" s="1"/>
  <c r="J41" i="16"/>
  <c r="J41" i="12" s="1"/>
  <c r="J139" i="16"/>
  <c r="J139" i="12" s="1"/>
  <c r="J140" i="16"/>
  <c r="J140" i="12" s="1"/>
  <c r="J150" i="16"/>
  <c r="J150" i="12" s="1"/>
  <c r="J151" i="16"/>
  <c r="J151" i="12" s="1"/>
  <c r="J84" i="16"/>
  <c r="J84" i="12" s="1"/>
  <c r="J85" i="16"/>
  <c r="J85" i="12" s="1"/>
  <c r="J8" i="16"/>
  <c r="J8" i="12" s="1"/>
  <c r="J7" i="16"/>
  <c r="J7" i="12" s="1"/>
  <c r="J62" i="16"/>
  <c r="J62" i="12" s="1"/>
  <c r="J63" i="16"/>
  <c r="J63" i="12" s="1"/>
  <c r="J51" i="16"/>
  <c r="J51" i="12" s="1"/>
  <c r="J52" i="16"/>
  <c r="J75" i="6" l="1"/>
  <c r="J42" i="6"/>
  <c r="J119" i="6"/>
  <c r="J127" i="6"/>
  <c r="J141" i="6"/>
  <c r="J9" i="6"/>
  <c r="J152" i="6"/>
  <c r="J133" i="6"/>
  <c r="J126" i="6"/>
  <c r="J132" i="6"/>
  <c r="J129" i="6"/>
  <c r="J130" i="6" s="1"/>
  <c r="J31" i="6"/>
  <c r="J52" i="6"/>
  <c r="J64" i="6"/>
  <c r="J108" i="6"/>
  <c r="J86" i="6"/>
  <c r="J152" i="12"/>
  <c r="J42" i="12"/>
  <c r="J130" i="12"/>
  <c r="J108" i="12"/>
  <c r="J64" i="12"/>
  <c r="J141" i="12"/>
  <c r="J75" i="12"/>
  <c r="J86" i="12"/>
  <c r="J52" i="12"/>
  <c r="J9" i="12"/>
  <c r="J53" i="12" l="1"/>
  <c r="J125" i="6"/>
  <c r="J53" i="6"/>
  <c r="K23" i="10" l="1"/>
  <c r="K22" i="9"/>
  <c r="I23" i="11"/>
  <c r="K23" i="9"/>
  <c r="I22" i="10"/>
  <c r="J22" i="11"/>
  <c r="I23" i="10"/>
  <c r="I23" i="9"/>
  <c r="J23" i="11"/>
  <c r="J23" i="10"/>
  <c r="J22" i="9"/>
  <c r="J23" i="9"/>
  <c r="K22" i="10"/>
  <c r="I22" i="11"/>
  <c r="K23" i="11"/>
  <c r="K22" i="11"/>
  <c r="I22" i="9"/>
  <c r="J22" i="10"/>
  <c r="I99" i="9"/>
  <c r="I99" i="11"/>
  <c r="K100" i="10"/>
  <c r="K99" i="9"/>
  <c r="K100" i="9"/>
  <c r="I100" i="11"/>
  <c r="K99" i="10"/>
  <c r="J100" i="9"/>
  <c r="K100" i="11"/>
  <c r="J99" i="10"/>
  <c r="I100" i="9"/>
  <c r="J100" i="10"/>
  <c r="J100" i="11"/>
  <c r="I99" i="10"/>
  <c r="K99" i="11"/>
  <c r="J99" i="9"/>
  <c r="J99" i="11"/>
  <c r="I100" i="10"/>
  <c r="I145" i="3"/>
  <c r="J145" i="3" s="1"/>
  <c r="K145" i="3" s="1"/>
  <c r="I143" i="4"/>
  <c r="J143" i="4" s="1"/>
  <c r="K143" i="4" s="1"/>
  <c r="I143" i="3"/>
  <c r="J143" i="3" s="1"/>
  <c r="K143" i="3" s="1"/>
  <c r="I145" i="4"/>
  <c r="J145" i="4" s="1"/>
  <c r="K145" i="4" s="1"/>
  <c r="I137" i="4"/>
  <c r="J137" i="4" s="1"/>
  <c r="K137" i="4" s="1"/>
  <c r="I141" i="4"/>
  <c r="J141" i="4" s="1"/>
  <c r="K141" i="4" s="1"/>
  <c r="I138" i="4"/>
  <c r="J138" i="4" s="1"/>
  <c r="K138" i="4" s="1"/>
  <c r="I144" i="4"/>
  <c r="J144" i="4" s="1"/>
  <c r="K144" i="4" s="1"/>
  <c r="I144" i="3"/>
  <c r="J144" i="3" s="1"/>
  <c r="K144" i="3" s="1"/>
  <c r="I139" i="3"/>
  <c r="J139" i="3" s="1"/>
  <c r="K139" i="3" s="1"/>
  <c r="I139" i="4"/>
  <c r="J139" i="4" s="1"/>
  <c r="K139" i="4" s="1"/>
  <c r="I146" i="3"/>
  <c r="J146" i="3" s="1"/>
  <c r="K146" i="3" s="1"/>
  <c r="I138" i="3"/>
  <c r="J138" i="3" s="1"/>
  <c r="K138" i="3" s="1"/>
  <c r="I141" i="3"/>
  <c r="J141" i="3" s="1"/>
  <c r="K141" i="3" s="1"/>
  <c r="I140" i="4"/>
  <c r="J140" i="4" s="1"/>
  <c r="K140" i="4" s="1"/>
  <c r="I142" i="4"/>
  <c r="J142" i="4" s="1"/>
  <c r="K142" i="4" s="1"/>
  <c r="I137" i="3"/>
  <c r="J137" i="3" s="1"/>
  <c r="K137" i="3" s="1"/>
  <c r="I142" i="3"/>
  <c r="J142" i="3" s="1"/>
  <c r="K142" i="3" s="1"/>
  <c r="I140" i="3"/>
  <c r="J140" i="3" s="1"/>
  <c r="K140" i="3" s="1"/>
  <c r="I146" i="4"/>
  <c r="J146" i="4" s="1"/>
  <c r="K146" i="4" s="1"/>
  <c r="I123" i="3"/>
  <c r="J123" i="3" s="1"/>
  <c r="K123" i="3" s="1"/>
  <c r="I121" i="3"/>
  <c r="J121" i="3" s="1"/>
  <c r="K121" i="3" s="1"/>
  <c r="I123" i="4"/>
  <c r="J123" i="4" s="1"/>
  <c r="K123" i="4" s="1"/>
  <c r="I121" i="4"/>
  <c r="J121" i="4" s="1"/>
  <c r="K121" i="4" s="1"/>
  <c r="I115" i="3"/>
  <c r="J115" i="3" s="1"/>
  <c r="K115" i="3" s="1"/>
  <c r="I119" i="4"/>
  <c r="J119" i="4" s="1"/>
  <c r="K119" i="4" s="1"/>
  <c r="I122" i="3"/>
  <c r="J122" i="3" s="1"/>
  <c r="K122" i="3" s="1"/>
  <c r="I117" i="3"/>
  <c r="J117" i="3" s="1"/>
  <c r="K117" i="3" s="1"/>
  <c r="I115" i="4"/>
  <c r="J115" i="4" s="1"/>
  <c r="K115" i="4" s="1"/>
  <c r="I116" i="4"/>
  <c r="J116" i="4" s="1"/>
  <c r="K116" i="4" s="1"/>
  <c r="I118" i="4"/>
  <c r="J118" i="4" s="1"/>
  <c r="K118" i="4" s="1"/>
  <c r="I124" i="4"/>
  <c r="J124" i="4" s="1"/>
  <c r="K124" i="4" s="1"/>
  <c r="I119" i="3"/>
  <c r="J119" i="3" s="1"/>
  <c r="K119" i="3" s="1"/>
  <c r="I120" i="3"/>
  <c r="J120" i="3" s="1"/>
  <c r="K120" i="3" s="1"/>
  <c r="I122" i="4"/>
  <c r="J122" i="4" s="1"/>
  <c r="K122" i="4" s="1"/>
  <c r="I118" i="3"/>
  <c r="J118" i="3" s="1"/>
  <c r="K118" i="3" s="1"/>
  <c r="I120" i="4"/>
  <c r="J120" i="4" s="1"/>
  <c r="K120" i="4" s="1"/>
  <c r="I124" i="3"/>
  <c r="J124" i="3" s="1"/>
  <c r="K124" i="3" s="1"/>
  <c r="I116" i="3"/>
  <c r="J116" i="3" s="1"/>
  <c r="K116" i="3" s="1"/>
  <c r="I117" i="4"/>
  <c r="J117" i="4" s="1"/>
  <c r="K117" i="4" s="1"/>
  <c r="I96" i="4"/>
  <c r="J96" i="4" s="1"/>
  <c r="K96" i="4" s="1"/>
  <c r="I95" i="3"/>
  <c r="J95" i="3" s="1"/>
  <c r="K95" i="3" s="1"/>
  <c r="I97" i="4"/>
  <c r="J97" i="4" s="1"/>
  <c r="K97" i="4" s="1"/>
  <c r="I93" i="4"/>
  <c r="J93" i="4" s="1"/>
  <c r="K93" i="4" s="1"/>
  <c r="I102" i="3"/>
  <c r="J102" i="3" s="1"/>
  <c r="K102" i="3" s="1"/>
  <c r="I97" i="3"/>
  <c r="J97" i="3" s="1"/>
  <c r="K97" i="3" s="1"/>
  <c r="I96" i="3"/>
  <c r="J96" i="3" s="1"/>
  <c r="K96" i="3" s="1"/>
  <c r="I95" i="4"/>
  <c r="J95" i="4" s="1"/>
  <c r="K95" i="4" s="1"/>
  <c r="I93" i="3"/>
  <c r="J93" i="3" s="1"/>
  <c r="K93" i="3" s="1"/>
  <c r="I94" i="4"/>
  <c r="J94" i="4" s="1"/>
  <c r="K94" i="4" s="1"/>
  <c r="I101" i="3"/>
  <c r="J101" i="3" s="1"/>
  <c r="K101" i="3" s="1"/>
  <c r="I94" i="3"/>
  <c r="J94" i="3" s="1"/>
  <c r="K94" i="3" s="1"/>
  <c r="I98" i="4"/>
  <c r="J98" i="4" s="1"/>
  <c r="K98" i="4" s="1"/>
  <c r="I102" i="4"/>
  <c r="J102" i="4" s="1"/>
  <c r="K102" i="4" s="1"/>
  <c r="I98" i="3"/>
  <c r="J98" i="3" s="1"/>
  <c r="K98" i="3" s="1"/>
  <c r="I101" i="4"/>
  <c r="J101" i="4" s="1"/>
  <c r="K101" i="4" s="1"/>
  <c r="I99" i="4"/>
  <c r="I99" i="3"/>
  <c r="I100" i="3"/>
  <c r="I100" i="4"/>
  <c r="I79" i="4"/>
  <c r="J79" i="4" s="1"/>
  <c r="K79" i="4" s="1"/>
  <c r="I79" i="3"/>
  <c r="J79" i="3" s="1"/>
  <c r="K79" i="3" s="1"/>
  <c r="I72" i="3"/>
  <c r="J72" i="3" s="1"/>
  <c r="K72" i="3" s="1"/>
  <c r="I74" i="4"/>
  <c r="J74" i="4" s="1"/>
  <c r="K74" i="4" s="1"/>
  <c r="I71" i="3"/>
  <c r="J71" i="3" s="1"/>
  <c r="K71" i="3" s="1"/>
  <c r="I78" i="3"/>
  <c r="J78" i="3" s="1"/>
  <c r="K78" i="3" s="1"/>
  <c r="I75" i="3"/>
  <c r="J75" i="3" s="1"/>
  <c r="K75" i="3" s="1"/>
  <c r="I71" i="4"/>
  <c r="J71" i="4" s="1"/>
  <c r="K71" i="4" s="1"/>
  <c r="I78" i="4"/>
  <c r="J78" i="4" s="1"/>
  <c r="K78" i="4" s="1"/>
  <c r="I76" i="3"/>
  <c r="J76" i="3" s="1"/>
  <c r="K76" i="3" s="1"/>
  <c r="I76" i="4"/>
  <c r="J76" i="4" s="1"/>
  <c r="K76" i="4" s="1"/>
  <c r="I80" i="3"/>
  <c r="J80" i="3" s="1"/>
  <c r="K80" i="3" s="1"/>
  <c r="I77" i="4"/>
  <c r="J77" i="4" s="1"/>
  <c r="K77" i="4" s="1"/>
  <c r="I72" i="4"/>
  <c r="J72" i="4" s="1"/>
  <c r="K72" i="4" s="1"/>
  <c r="I74" i="3"/>
  <c r="J74" i="3" s="1"/>
  <c r="K74" i="3" s="1"/>
  <c r="I73" i="3"/>
  <c r="J73" i="3" s="1"/>
  <c r="K73" i="3" s="1"/>
  <c r="I77" i="3"/>
  <c r="J77" i="3" s="1"/>
  <c r="K77" i="3" s="1"/>
  <c r="I80" i="4"/>
  <c r="J80" i="4" s="1"/>
  <c r="K80" i="4" s="1"/>
  <c r="I73" i="4"/>
  <c r="J73" i="4" s="1"/>
  <c r="K73" i="4" s="1"/>
  <c r="I75" i="4"/>
  <c r="J75" i="4" s="1"/>
  <c r="K75" i="4" s="1"/>
  <c r="I11" i="4"/>
  <c r="I11" i="3"/>
  <c r="I13" i="3"/>
  <c r="I7" i="4"/>
  <c r="I10" i="3"/>
  <c r="I5" i="4"/>
  <c r="I12" i="3"/>
  <c r="I5" i="3"/>
  <c r="I9" i="3"/>
  <c r="I13" i="4"/>
  <c r="I14" i="3"/>
  <c r="I6" i="3"/>
  <c r="I12" i="4"/>
  <c r="I9" i="4"/>
  <c r="I10" i="4"/>
  <c r="I14" i="4"/>
  <c r="I8" i="3"/>
  <c r="I6" i="4"/>
  <c r="I7" i="3"/>
  <c r="I8" i="4"/>
  <c r="I156" i="3"/>
  <c r="J156" i="3" s="1"/>
  <c r="K156" i="3" s="1"/>
  <c r="I154" i="4"/>
  <c r="J154" i="4" s="1"/>
  <c r="K154" i="4" s="1"/>
  <c r="I156" i="4"/>
  <c r="J156" i="4" s="1"/>
  <c r="K156" i="4" s="1"/>
  <c r="I154" i="3"/>
  <c r="J154" i="3" s="1"/>
  <c r="K154" i="3" s="1"/>
  <c r="I149" i="3"/>
  <c r="J149" i="3" s="1"/>
  <c r="K149" i="3" s="1"/>
  <c r="I148" i="4"/>
  <c r="J148" i="4" s="1"/>
  <c r="K148" i="4" s="1"/>
  <c r="I155" i="4"/>
  <c r="J155" i="4" s="1"/>
  <c r="K155" i="4" s="1"/>
  <c r="I152" i="3"/>
  <c r="J152" i="3" s="1"/>
  <c r="K152" i="3" s="1"/>
  <c r="I155" i="3"/>
  <c r="J155" i="3" s="1"/>
  <c r="K155" i="3" s="1"/>
  <c r="I150" i="3"/>
  <c r="J150" i="3" s="1"/>
  <c r="K150" i="3" s="1"/>
  <c r="I149" i="4"/>
  <c r="J149" i="4" s="1"/>
  <c r="K149" i="4" s="1"/>
  <c r="I153" i="3"/>
  <c r="J153" i="3" s="1"/>
  <c r="K153" i="3" s="1"/>
  <c r="I157" i="3"/>
  <c r="J157" i="3" s="1"/>
  <c r="K157" i="3" s="1"/>
  <c r="I157" i="4"/>
  <c r="J157" i="4" s="1"/>
  <c r="K157" i="4" s="1"/>
  <c r="I153" i="4"/>
  <c r="J153" i="4" s="1"/>
  <c r="K153" i="4" s="1"/>
  <c r="I151" i="3"/>
  <c r="J151" i="3" s="1"/>
  <c r="K151" i="3" s="1"/>
  <c r="I151" i="4"/>
  <c r="J151" i="4" s="1"/>
  <c r="K151" i="4" s="1"/>
  <c r="I150" i="4"/>
  <c r="J150" i="4" s="1"/>
  <c r="K150" i="4" s="1"/>
  <c r="I152" i="4"/>
  <c r="J152" i="4" s="1"/>
  <c r="K152" i="4" s="1"/>
  <c r="I148" i="3"/>
  <c r="J148" i="3" s="1"/>
  <c r="K148" i="3" s="1"/>
  <c r="I134" i="4"/>
  <c r="J134" i="4" s="1"/>
  <c r="K134" i="4" s="1"/>
  <c r="I134" i="3"/>
  <c r="J134" i="3" s="1"/>
  <c r="K134" i="3" s="1"/>
  <c r="I129" i="4"/>
  <c r="J129" i="4" s="1"/>
  <c r="K129" i="4" s="1"/>
  <c r="I135" i="3"/>
  <c r="J135" i="3" s="1"/>
  <c r="K135" i="3" s="1"/>
  <c r="I130" i="4"/>
  <c r="J130" i="4" s="1"/>
  <c r="K130" i="4" s="1"/>
  <c r="I127" i="3"/>
  <c r="J127" i="3" s="1"/>
  <c r="K127" i="3" s="1"/>
  <c r="I129" i="3"/>
  <c r="J129" i="3" s="1"/>
  <c r="K129" i="3" s="1"/>
  <c r="I130" i="3"/>
  <c r="J130" i="3" s="1"/>
  <c r="K130" i="3" s="1"/>
  <c r="I131" i="4"/>
  <c r="J131" i="4" s="1"/>
  <c r="K131" i="4" s="1"/>
  <c r="I126" i="3"/>
  <c r="J126" i="3" s="1"/>
  <c r="K126" i="3" s="1"/>
  <c r="I131" i="3"/>
  <c r="J131" i="3" s="1"/>
  <c r="K131" i="3" s="1"/>
  <c r="I135" i="4"/>
  <c r="J135" i="4" s="1"/>
  <c r="K135" i="4" s="1"/>
  <c r="I127" i="4"/>
  <c r="J127" i="4" s="1"/>
  <c r="K127" i="4" s="1"/>
  <c r="I128" i="4"/>
  <c r="J128" i="4" s="1"/>
  <c r="K128" i="4" s="1"/>
  <c r="I126" i="4"/>
  <c r="J126" i="4" s="1"/>
  <c r="K126" i="4" s="1"/>
  <c r="I128" i="3"/>
  <c r="J128" i="3" s="1"/>
  <c r="K128" i="3" s="1"/>
  <c r="I133" i="3"/>
  <c r="J133" i="3" s="1"/>
  <c r="K133" i="3" s="1"/>
  <c r="I132" i="4"/>
  <c r="J132" i="4" s="1"/>
  <c r="K132" i="4" s="1"/>
  <c r="I133" i="4"/>
  <c r="J133" i="4" s="1"/>
  <c r="K133" i="4" s="1"/>
  <c r="I132" i="3"/>
  <c r="J132" i="3" s="1"/>
  <c r="K132" i="3" s="1"/>
  <c r="I112" i="3"/>
  <c r="J112" i="3" s="1"/>
  <c r="K112" i="3" s="1"/>
  <c r="I112" i="4"/>
  <c r="J112" i="4" s="1"/>
  <c r="K112" i="4" s="1"/>
  <c r="I105" i="4"/>
  <c r="J105" i="4" s="1"/>
  <c r="K105" i="4" s="1"/>
  <c r="I106" i="3"/>
  <c r="J106" i="3" s="1"/>
  <c r="K106" i="3" s="1"/>
  <c r="I113" i="4"/>
  <c r="J113" i="4" s="1"/>
  <c r="K113" i="4" s="1"/>
  <c r="I108" i="4"/>
  <c r="J108" i="4" s="1"/>
  <c r="K108" i="4" s="1"/>
  <c r="I107" i="3"/>
  <c r="J107" i="3" s="1"/>
  <c r="K107" i="3" s="1"/>
  <c r="I104" i="3"/>
  <c r="J104" i="3" s="1"/>
  <c r="K104" i="3" s="1"/>
  <c r="I107" i="4"/>
  <c r="J107" i="4" s="1"/>
  <c r="K107" i="4" s="1"/>
  <c r="I104" i="4"/>
  <c r="J104" i="4" s="1"/>
  <c r="K104" i="4" s="1"/>
  <c r="I105" i="3"/>
  <c r="J105" i="3" s="1"/>
  <c r="K105" i="3" s="1"/>
  <c r="I113" i="3"/>
  <c r="J113" i="3" s="1"/>
  <c r="K113" i="3" s="1"/>
  <c r="I111" i="3"/>
  <c r="J111" i="3" s="1"/>
  <c r="K111" i="3" s="1"/>
  <c r="I108" i="3"/>
  <c r="J108" i="3" s="1"/>
  <c r="K108" i="3" s="1"/>
  <c r="I110" i="4"/>
  <c r="J110" i="4" s="1"/>
  <c r="K110" i="4" s="1"/>
  <c r="I109" i="3"/>
  <c r="J109" i="3" s="1"/>
  <c r="K109" i="3" s="1"/>
  <c r="I110" i="3"/>
  <c r="J110" i="3" s="1"/>
  <c r="K110" i="3" s="1"/>
  <c r="I109" i="4"/>
  <c r="J109" i="4" s="1"/>
  <c r="K109" i="4" s="1"/>
  <c r="I106" i="4"/>
  <c r="J106" i="4" s="1"/>
  <c r="K106" i="4" s="1"/>
  <c r="I111" i="4"/>
  <c r="J111" i="4" s="1"/>
  <c r="K111" i="4" s="1"/>
  <c r="I88" i="4"/>
  <c r="J88" i="4" s="1"/>
  <c r="K88" i="4" s="1"/>
  <c r="I88" i="3"/>
  <c r="J88" i="3" s="1"/>
  <c r="K88" i="3" s="1"/>
  <c r="I90" i="4"/>
  <c r="J90" i="4" s="1"/>
  <c r="K90" i="4" s="1"/>
  <c r="I91" i="3"/>
  <c r="J91" i="3" s="1"/>
  <c r="K91" i="3" s="1"/>
  <c r="I91" i="4"/>
  <c r="J91" i="4" s="1"/>
  <c r="K91" i="4" s="1"/>
  <c r="I87" i="3"/>
  <c r="J87" i="3" s="1"/>
  <c r="K87" i="3" s="1"/>
  <c r="I82" i="3"/>
  <c r="J82" i="3" s="1"/>
  <c r="K82" i="3" s="1"/>
  <c r="I87" i="4"/>
  <c r="J87" i="4" s="1"/>
  <c r="K87" i="4" s="1"/>
  <c r="I84" i="4"/>
  <c r="J84" i="4" s="1"/>
  <c r="K84" i="4" s="1"/>
  <c r="I86" i="4"/>
  <c r="J86" i="4" s="1"/>
  <c r="K86" i="4" s="1"/>
  <c r="I84" i="3"/>
  <c r="J84" i="3" s="1"/>
  <c r="K84" i="3" s="1"/>
  <c r="I89" i="3"/>
  <c r="J89" i="3" s="1"/>
  <c r="K89" i="3" s="1"/>
  <c r="I89" i="4"/>
  <c r="J89" i="4" s="1"/>
  <c r="K89" i="4" s="1"/>
  <c r="I83" i="3"/>
  <c r="J83" i="3" s="1"/>
  <c r="K83" i="3" s="1"/>
  <c r="I90" i="3"/>
  <c r="J90" i="3" s="1"/>
  <c r="K90" i="3" s="1"/>
  <c r="I83" i="4"/>
  <c r="J83" i="4" s="1"/>
  <c r="K83" i="4" s="1"/>
  <c r="I85" i="4"/>
  <c r="J85" i="4" s="1"/>
  <c r="K85" i="4" s="1"/>
  <c r="I85" i="3"/>
  <c r="J85" i="3" s="1"/>
  <c r="K85" i="3" s="1"/>
  <c r="I82" i="4"/>
  <c r="J82" i="4" s="1"/>
  <c r="K82" i="4" s="1"/>
  <c r="I86" i="3"/>
  <c r="J86" i="3" s="1"/>
  <c r="K86" i="3" s="1"/>
  <c r="I68" i="4"/>
  <c r="J68" i="4" s="1"/>
  <c r="K68" i="4" s="1"/>
  <c r="I66" i="4"/>
  <c r="J66" i="4" s="1"/>
  <c r="K66" i="4" s="1"/>
  <c r="I66" i="3"/>
  <c r="J66" i="3" s="1"/>
  <c r="K66" i="3" s="1"/>
  <c r="I68" i="3"/>
  <c r="J68" i="3" s="1"/>
  <c r="K68" i="3" s="1"/>
  <c r="I65" i="3"/>
  <c r="J65" i="3" s="1"/>
  <c r="K65" i="3" s="1"/>
  <c r="I60" i="3"/>
  <c r="J60" i="3" s="1"/>
  <c r="K60" i="3" s="1"/>
  <c r="I62" i="3"/>
  <c r="J62" i="3" s="1"/>
  <c r="K62" i="3" s="1"/>
  <c r="I67" i="4"/>
  <c r="J67" i="4" s="1"/>
  <c r="K67" i="4" s="1"/>
  <c r="I67" i="3"/>
  <c r="J67" i="3" s="1"/>
  <c r="K67" i="3" s="1"/>
  <c r="I63" i="4"/>
  <c r="J63" i="4" s="1"/>
  <c r="K63" i="4" s="1"/>
  <c r="I64" i="4"/>
  <c r="J64" i="4" s="1"/>
  <c r="K64" i="4" s="1"/>
  <c r="I61" i="3"/>
  <c r="J61" i="3" s="1"/>
  <c r="K61" i="3" s="1"/>
  <c r="I65" i="4"/>
  <c r="J65" i="4" s="1"/>
  <c r="K65" i="4" s="1"/>
  <c r="I61" i="4"/>
  <c r="J61" i="4" s="1"/>
  <c r="K61" i="4" s="1"/>
  <c r="I63" i="3"/>
  <c r="J63" i="3" s="1"/>
  <c r="K63" i="3" s="1"/>
  <c r="I60" i="4"/>
  <c r="J60" i="4" s="1"/>
  <c r="K60" i="4" s="1"/>
  <c r="I62" i="4"/>
  <c r="J62" i="4" s="1"/>
  <c r="K62" i="4" s="1"/>
  <c r="I69" i="3"/>
  <c r="J69" i="3" s="1"/>
  <c r="K69" i="3" s="1"/>
  <c r="I69" i="4"/>
  <c r="J69" i="4" s="1"/>
  <c r="K69" i="4" s="1"/>
  <c r="I64" i="3"/>
  <c r="J64" i="3" s="1"/>
  <c r="K64" i="3" s="1"/>
  <c r="I46" i="3"/>
  <c r="J46" i="3" s="1"/>
  <c r="K46" i="3" s="1"/>
  <c r="I46" i="4"/>
  <c r="J46" i="4" s="1"/>
  <c r="K46" i="4" s="1"/>
  <c r="I44" i="3"/>
  <c r="J44" i="3" s="1"/>
  <c r="K44" i="3" s="1"/>
  <c r="I44" i="4"/>
  <c r="J44" i="4" s="1"/>
  <c r="K44" i="4" s="1"/>
  <c r="I38" i="3"/>
  <c r="J38" i="3" s="1"/>
  <c r="K38" i="3" s="1"/>
  <c r="I43" i="3"/>
  <c r="J43" i="3" s="1"/>
  <c r="K43" i="3" s="1"/>
  <c r="I42" i="4"/>
  <c r="J42" i="4" s="1"/>
  <c r="K42" i="4" s="1"/>
  <c r="I40" i="3"/>
  <c r="J40" i="3" s="1"/>
  <c r="K40" i="3" s="1"/>
  <c r="I39" i="4"/>
  <c r="J39" i="4" s="1"/>
  <c r="K39" i="4" s="1"/>
  <c r="I45" i="3"/>
  <c r="J45" i="3" s="1"/>
  <c r="K45" i="3" s="1"/>
  <c r="I43" i="4"/>
  <c r="J43" i="4" s="1"/>
  <c r="K43" i="4" s="1"/>
  <c r="I47" i="3"/>
  <c r="J47" i="3" s="1"/>
  <c r="K47" i="3" s="1"/>
  <c r="I41" i="3"/>
  <c r="J41" i="3" s="1"/>
  <c r="K41" i="3" s="1"/>
  <c r="I41" i="4"/>
  <c r="J41" i="4" s="1"/>
  <c r="K41" i="4" s="1"/>
  <c r="I39" i="3"/>
  <c r="J39" i="3" s="1"/>
  <c r="K39" i="3" s="1"/>
  <c r="I38" i="4"/>
  <c r="J38" i="4" s="1"/>
  <c r="K38" i="4" s="1"/>
  <c r="I45" i="4"/>
  <c r="J45" i="4" s="1"/>
  <c r="K45" i="4" s="1"/>
  <c r="I47" i="4"/>
  <c r="J47" i="4" s="1"/>
  <c r="K47" i="4" s="1"/>
  <c r="I42" i="3"/>
  <c r="J42" i="3" s="1"/>
  <c r="K42" i="3" s="1"/>
  <c r="I40" i="4"/>
  <c r="J40" i="4" s="1"/>
  <c r="K40" i="4" s="1"/>
  <c r="I18" i="4"/>
  <c r="J18" i="4" s="1"/>
  <c r="K18" i="4" s="1"/>
  <c r="I17" i="3"/>
  <c r="J17" i="3" s="1"/>
  <c r="K17" i="3" s="1"/>
  <c r="I25" i="3"/>
  <c r="J25" i="3" s="1"/>
  <c r="K25" i="3" s="1"/>
  <c r="I17" i="4"/>
  <c r="J17" i="4" s="1"/>
  <c r="K17" i="4" s="1"/>
  <c r="I25" i="4"/>
  <c r="J25" i="4" s="1"/>
  <c r="K25" i="4" s="1"/>
  <c r="I24" i="3"/>
  <c r="J24" i="3" s="1"/>
  <c r="K24" i="3" s="1"/>
  <c r="I19" i="4"/>
  <c r="J19" i="4" s="1"/>
  <c r="K19" i="4" s="1"/>
  <c r="I24" i="4"/>
  <c r="J24" i="4" s="1"/>
  <c r="K24" i="4" s="1"/>
  <c r="I19" i="3"/>
  <c r="J19" i="3" s="1"/>
  <c r="K19" i="3" s="1"/>
  <c r="I18" i="3"/>
  <c r="J18" i="3" s="1"/>
  <c r="K18" i="3" s="1"/>
  <c r="I20" i="3"/>
  <c r="J20" i="3" s="1"/>
  <c r="K20" i="3" s="1"/>
  <c r="I20" i="4"/>
  <c r="J20" i="4" s="1"/>
  <c r="K20" i="4" s="1"/>
  <c r="I16" i="4"/>
  <c r="J16" i="4" s="1"/>
  <c r="K16" i="4" s="1"/>
  <c r="I21" i="3"/>
  <c r="J21" i="3" s="1"/>
  <c r="K21" i="3" s="1"/>
  <c r="I16" i="3"/>
  <c r="J16" i="3" s="1"/>
  <c r="K16" i="3" s="1"/>
  <c r="I21" i="4"/>
  <c r="J21" i="4" s="1"/>
  <c r="K21" i="4" s="1"/>
  <c r="I23" i="4"/>
  <c r="I23" i="3"/>
  <c r="I22" i="3"/>
  <c r="I22" i="4"/>
  <c r="I57" i="3"/>
  <c r="J57" i="3" s="1"/>
  <c r="K57" i="3" s="1"/>
  <c r="I50" i="4"/>
  <c r="J50" i="4" s="1"/>
  <c r="K50" i="4" s="1"/>
  <c r="I57" i="4"/>
  <c r="J57" i="4" s="1"/>
  <c r="K57" i="4" s="1"/>
  <c r="I52" i="3"/>
  <c r="J52" i="3" s="1"/>
  <c r="K52" i="3" s="1"/>
  <c r="I54" i="3"/>
  <c r="J54" i="3" s="1"/>
  <c r="K54" i="3" s="1"/>
  <c r="I56" i="3"/>
  <c r="I55" i="4"/>
  <c r="J55" i="4" s="1"/>
  <c r="K55" i="4" s="1"/>
  <c r="I58" i="3"/>
  <c r="J58" i="3" s="1"/>
  <c r="K58" i="3" s="1"/>
  <c r="I53" i="4"/>
  <c r="J53" i="4" s="1"/>
  <c r="K53" i="4" s="1"/>
  <c r="I51" i="3"/>
  <c r="J51" i="3" s="1"/>
  <c r="K51" i="3" s="1"/>
  <c r="I55" i="3"/>
  <c r="J55" i="3" s="1"/>
  <c r="K55" i="3" s="1"/>
  <c r="I53" i="3"/>
  <c r="J53" i="3" s="1"/>
  <c r="K53" i="3" s="1"/>
  <c r="I54" i="4"/>
  <c r="J54" i="4" s="1"/>
  <c r="K54" i="4" s="1"/>
  <c r="I56" i="4"/>
  <c r="J56" i="4" s="1"/>
  <c r="K56" i="4" s="1"/>
  <c r="I51" i="4"/>
  <c r="J51" i="4" s="1"/>
  <c r="K51" i="4" s="1"/>
  <c r="I50" i="3"/>
  <c r="J50" i="3" s="1"/>
  <c r="K50" i="3" s="1"/>
  <c r="I49" i="4"/>
  <c r="J49" i="4" s="1"/>
  <c r="K49" i="4" s="1"/>
  <c r="I49" i="3"/>
  <c r="J49" i="3" s="1"/>
  <c r="K49" i="3" s="1"/>
  <c r="I58" i="4"/>
  <c r="J58" i="4" s="1"/>
  <c r="K58" i="4" s="1"/>
  <c r="I52" i="4"/>
  <c r="J52" i="4" s="1"/>
  <c r="K52" i="4" s="1"/>
  <c r="I33" i="4"/>
  <c r="J33" i="4" s="1"/>
  <c r="K33" i="4" s="1"/>
  <c r="I27" i="4"/>
  <c r="J27" i="4" s="1"/>
  <c r="K27" i="4" s="1"/>
  <c r="I31" i="3"/>
  <c r="J31" i="3" s="1"/>
  <c r="K31" i="3" s="1"/>
  <c r="I29" i="3"/>
  <c r="J29" i="3" s="1"/>
  <c r="K29" i="3" s="1"/>
  <c r="I28" i="3"/>
  <c r="J28" i="3" s="1"/>
  <c r="K28" i="3" s="1"/>
  <c r="I29" i="4"/>
  <c r="J29" i="4" s="1"/>
  <c r="K29" i="4" s="1"/>
  <c r="I34" i="4"/>
  <c r="J34" i="4" s="1"/>
  <c r="K34" i="4" s="1"/>
  <c r="I28" i="4"/>
  <c r="J28" i="4" s="1"/>
  <c r="K28" i="4" s="1"/>
  <c r="I32" i="3"/>
  <c r="J32" i="3" s="1"/>
  <c r="K32" i="3" s="1"/>
  <c r="I33" i="3"/>
  <c r="J33" i="3" s="1"/>
  <c r="K33" i="3" s="1"/>
  <c r="I30" i="4"/>
  <c r="J30" i="4" s="1"/>
  <c r="K30" i="4" s="1"/>
  <c r="I31" i="4"/>
  <c r="J31" i="4" s="1"/>
  <c r="K31" i="4" s="1"/>
  <c r="I35" i="3"/>
  <c r="J35" i="3" s="1"/>
  <c r="K35" i="3" s="1"/>
  <c r="I35" i="4"/>
  <c r="J35" i="4" s="1"/>
  <c r="K35" i="4" s="1"/>
  <c r="I30" i="3"/>
  <c r="J30" i="3" s="1"/>
  <c r="K30" i="3" s="1"/>
  <c r="I34" i="3"/>
  <c r="J34" i="3" s="1"/>
  <c r="K34" i="3" s="1"/>
  <c r="I32" i="4"/>
  <c r="J32" i="4" s="1"/>
  <c r="K32" i="4" s="1"/>
  <c r="I27" i="3"/>
  <c r="J27" i="3" s="1"/>
  <c r="K27" i="3" s="1"/>
  <c r="I36" i="3"/>
  <c r="J36" i="3" s="1"/>
  <c r="K36" i="3" s="1"/>
  <c r="I36" i="4"/>
  <c r="J36" i="4" s="1"/>
  <c r="K36" i="4" s="1"/>
  <c r="I145" i="5"/>
  <c r="J145" i="5" s="1"/>
  <c r="K145" i="5" s="1"/>
  <c r="I143" i="5"/>
  <c r="J143" i="5" s="1"/>
  <c r="K143" i="5" s="1"/>
  <c r="I142" i="5"/>
  <c r="J142" i="5" s="1"/>
  <c r="K142" i="5" s="1"/>
  <c r="I137" i="5"/>
  <c r="J137" i="5" s="1"/>
  <c r="K137" i="5" s="1"/>
  <c r="I146" i="5"/>
  <c r="J146" i="5" s="1"/>
  <c r="K146" i="5" s="1"/>
  <c r="I139" i="5"/>
  <c r="J139" i="5" s="1"/>
  <c r="K139" i="5" s="1"/>
  <c r="I140" i="5"/>
  <c r="J140" i="5" s="1"/>
  <c r="K140" i="5" s="1"/>
  <c r="I141" i="5"/>
  <c r="J141" i="5" s="1"/>
  <c r="K141" i="5" s="1"/>
  <c r="I138" i="5"/>
  <c r="J138" i="5" s="1"/>
  <c r="K138" i="5" s="1"/>
  <c r="I144" i="5"/>
  <c r="J144" i="5" s="1"/>
  <c r="K144" i="5" s="1"/>
  <c r="I123" i="5"/>
  <c r="J123" i="5" s="1"/>
  <c r="K123" i="5" s="1"/>
  <c r="I121" i="5"/>
  <c r="J121" i="5" s="1"/>
  <c r="K121" i="5" s="1"/>
  <c r="I117" i="5"/>
  <c r="J117" i="5" s="1"/>
  <c r="K117" i="5" s="1"/>
  <c r="I116" i="5"/>
  <c r="J116" i="5" s="1"/>
  <c r="K116" i="5" s="1"/>
  <c r="I124" i="5"/>
  <c r="J124" i="5" s="1"/>
  <c r="K124" i="5" s="1"/>
  <c r="I115" i="5"/>
  <c r="J115" i="5" s="1"/>
  <c r="K115" i="5" s="1"/>
  <c r="I119" i="5"/>
  <c r="J119" i="5" s="1"/>
  <c r="K119" i="5" s="1"/>
  <c r="I120" i="5"/>
  <c r="J120" i="5" s="1"/>
  <c r="K120" i="5" s="1"/>
  <c r="I118" i="5"/>
  <c r="J118" i="5" s="1"/>
  <c r="K118" i="5" s="1"/>
  <c r="I122" i="5"/>
  <c r="J122" i="5" s="1"/>
  <c r="K122" i="5" s="1"/>
  <c r="I94" i="5"/>
  <c r="J94" i="5" s="1"/>
  <c r="K94" i="5" s="1"/>
  <c r="I96" i="5"/>
  <c r="J96" i="5" s="1"/>
  <c r="K96" i="5" s="1"/>
  <c r="I97" i="5"/>
  <c r="J97" i="5" s="1"/>
  <c r="K97" i="5" s="1"/>
  <c r="I98" i="5"/>
  <c r="J98" i="5" s="1"/>
  <c r="K98" i="5" s="1"/>
  <c r="I101" i="5"/>
  <c r="J101" i="5" s="1"/>
  <c r="K101" i="5" s="1"/>
  <c r="I102" i="5"/>
  <c r="J102" i="5" s="1"/>
  <c r="K102" i="5" s="1"/>
  <c r="I95" i="5"/>
  <c r="J95" i="5" s="1"/>
  <c r="K95" i="5" s="1"/>
  <c r="I93" i="5"/>
  <c r="J93" i="5" s="1"/>
  <c r="K93" i="5" s="1"/>
  <c r="I100" i="5"/>
  <c r="I99" i="5"/>
  <c r="I79" i="5"/>
  <c r="J79" i="5" s="1"/>
  <c r="K79" i="5" s="1"/>
  <c r="I73" i="5"/>
  <c r="J73" i="5" s="1"/>
  <c r="K73" i="5" s="1"/>
  <c r="I76" i="5"/>
  <c r="J76" i="5" s="1"/>
  <c r="K76" i="5" s="1"/>
  <c r="I77" i="5"/>
  <c r="J77" i="5" s="1"/>
  <c r="K77" i="5" s="1"/>
  <c r="I74" i="5"/>
  <c r="J74" i="5" s="1"/>
  <c r="K74" i="5" s="1"/>
  <c r="I78" i="5"/>
  <c r="J78" i="5" s="1"/>
  <c r="K78" i="5" s="1"/>
  <c r="I75" i="5"/>
  <c r="J75" i="5" s="1"/>
  <c r="K75" i="5" s="1"/>
  <c r="I72" i="5"/>
  <c r="J72" i="5" s="1"/>
  <c r="K72" i="5" s="1"/>
  <c r="I71" i="5"/>
  <c r="J71" i="5" s="1"/>
  <c r="K71" i="5" s="1"/>
  <c r="I80" i="5"/>
  <c r="J80" i="5" s="1"/>
  <c r="K80" i="5" s="1"/>
  <c r="I52" i="5"/>
  <c r="J52" i="5" s="1"/>
  <c r="K52" i="5" s="1"/>
  <c r="I50" i="5"/>
  <c r="J50" i="5" s="1"/>
  <c r="K50" i="5" s="1"/>
  <c r="I55" i="5"/>
  <c r="J55" i="5" s="1"/>
  <c r="K55" i="5" s="1"/>
  <c r="I49" i="5"/>
  <c r="J49" i="5" s="1"/>
  <c r="K49" i="5" s="1"/>
  <c r="I57" i="5"/>
  <c r="J57" i="5" s="1"/>
  <c r="K57" i="5" s="1"/>
  <c r="I53" i="5"/>
  <c r="J53" i="5" s="1"/>
  <c r="K53" i="5" s="1"/>
  <c r="I56" i="5"/>
  <c r="J56" i="5" s="1"/>
  <c r="K56" i="5" s="1"/>
  <c r="I51" i="5"/>
  <c r="J51" i="5" s="1"/>
  <c r="K51" i="5" s="1"/>
  <c r="I58" i="5"/>
  <c r="J58" i="5" s="1"/>
  <c r="K58" i="5" s="1"/>
  <c r="I54" i="5"/>
  <c r="J54" i="5" s="1"/>
  <c r="K54" i="5" s="1"/>
  <c r="I32" i="5"/>
  <c r="J32" i="5" s="1"/>
  <c r="K32" i="5" s="1"/>
  <c r="I31" i="5"/>
  <c r="J31" i="5" s="1"/>
  <c r="K31" i="5" s="1"/>
  <c r="I35" i="5"/>
  <c r="J35" i="5" s="1"/>
  <c r="K35" i="5" s="1"/>
  <c r="I29" i="5"/>
  <c r="J29" i="5" s="1"/>
  <c r="K29" i="5" s="1"/>
  <c r="I27" i="5"/>
  <c r="J27" i="5" s="1"/>
  <c r="K27" i="5" s="1"/>
  <c r="I36" i="5"/>
  <c r="J36" i="5" s="1"/>
  <c r="K36" i="5" s="1"/>
  <c r="I33" i="5"/>
  <c r="J33" i="5" s="1"/>
  <c r="K33" i="5" s="1"/>
  <c r="I30" i="5"/>
  <c r="J30" i="5" s="1"/>
  <c r="K30" i="5" s="1"/>
  <c r="I28" i="5"/>
  <c r="J28" i="5" s="1"/>
  <c r="K28" i="5" s="1"/>
  <c r="I34" i="5"/>
  <c r="J34" i="5" s="1"/>
  <c r="K34" i="5" s="1"/>
  <c r="I11" i="5"/>
  <c r="I8" i="5"/>
  <c r="I7" i="5"/>
  <c r="I13" i="5"/>
  <c r="I12" i="5"/>
  <c r="I10" i="5"/>
  <c r="I14" i="5"/>
  <c r="I5" i="5"/>
  <c r="I9" i="5"/>
  <c r="I6" i="5"/>
  <c r="I156" i="5"/>
  <c r="J156" i="5" s="1"/>
  <c r="K156" i="5" s="1"/>
  <c r="I154" i="5"/>
  <c r="J154" i="5" s="1"/>
  <c r="K154" i="5" s="1"/>
  <c r="I153" i="5"/>
  <c r="J153" i="5" s="1"/>
  <c r="K153" i="5" s="1"/>
  <c r="I149" i="5"/>
  <c r="J149" i="5" s="1"/>
  <c r="K149" i="5" s="1"/>
  <c r="I155" i="5"/>
  <c r="J155" i="5" s="1"/>
  <c r="K155" i="5" s="1"/>
  <c r="I151" i="5"/>
  <c r="J151" i="5" s="1"/>
  <c r="K151" i="5" s="1"/>
  <c r="I150" i="5"/>
  <c r="J150" i="5" s="1"/>
  <c r="K150" i="5" s="1"/>
  <c r="I157" i="5"/>
  <c r="J157" i="5" s="1"/>
  <c r="K157" i="5" s="1"/>
  <c r="I152" i="5"/>
  <c r="J152" i="5" s="1"/>
  <c r="K152" i="5" s="1"/>
  <c r="I148" i="5"/>
  <c r="J148" i="5" s="1"/>
  <c r="K148" i="5" s="1"/>
  <c r="I134" i="5"/>
  <c r="J134" i="5" s="1"/>
  <c r="K134" i="5" s="1"/>
  <c r="I130" i="5"/>
  <c r="J130" i="5" s="1"/>
  <c r="K130" i="5" s="1"/>
  <c r="I131" i="5"/>
  <c r="J131" i="5" s="1"/>
  <c r="K131" i="5" s="1"/>
  <c r="I127" i="5"/>
  <c r="J127" i="5" s="1"/>
  <c r="K127" i="5" s="1"/>
  <c r="I126" i="5"/>
  <c r="J126" i="5" s="1"/>
  <c r="K126" i="5" s="1"/>
  <c r="I129" i="5"/>
  <c r="J129" i="5" s="1"/>
  <c r="K129" i="5" s="1"/>
  <c r="I128" i="5"/>
  <c r="J128" i="5" s="1"/>
  <c r="K128" i="5" s="1"/>
  <c r="I135" i="5"/>
  <c r="J135" i="5" s="1"/>
  <c r="K135" i="5" s="1"/>
  <c r="I132" i="5"/>
  <c r="J132" i="5" s="1"/>
  <c r="K132" i="5" s="1"/>
  <c r="I133" i="5"/>
  <c r="J133" i="5" s="1"/>
  <c r="K133" i="5" s="1"/>
  <c r="I112" i="5"/>
  <c r="J112" i="5" s="1"/>
  <c r="K112" i="5" s="1"/>
  <c r="I105" i="5"/>
  <c r="J105" i="5" s="1"/>
  <c r="K105" i="5" s="1"/>
  <c r="I109" i="5"/>
  <c r="J109" i="5" s="1"/>
  <c r="K109" i="5" s="1"/>
  <c r="I107" i="5"/>
  <c r="J107" i="5" s="1"/>
  <c r="K107" i="5" s="1"/>
  <c r="I111" i="5"/>
  <c r="J111" i="5" s="1"/>
  <c r="K111" i="5" s="1"/>
  <c r="I113" i="5"/>
  <c r="J113" i="5" s="1"/>
  <c r="K113" i="5" s="1"/>
  <c r="I106" i="5"/>
  <c r="J106" i="5" s="1"/>
  <c r="K106" i="5" s="1"/>
  <c r="I110" i="5"/>
  <c r="J110" i="5" s="1"/>
  <c r="K110" i="5" s="1"/>
  <c r="I104" i="5"/>
  <c r="J104" i="5" s="1"/>
  <c r="K104" i="5" s="1"/>
  <c r="I108" i="5"/>
  <c r="J108" i="5" s="1"/>
  <c r="K108" i="5" s="1"/>
  <c r="I88" i="5"/>
  <c r="J88" i="5" s="1"/>
  <c r="K88" i="5" s="1"/>
  <c r="I84" i="5"/>
  <c r="J84" i="5" s="1"/>
  <c r="K84" i="5" s="1"/>
  <c r="I87" i="5"/>
  <c r="J87" i="5" s="1"/>
  <c r="K87" i="5" s="1"/>
  <c r="I90" i="5"/>
  <c r="J90" i="5" s="1"/>
  <c r="K90" i="5" s="1"/>
  <c r="I82" i="5"/>
  <c r="J82" i="5" s="1"/>
  <c r="K82" i="5" s="1"/>
  <c r="I86" i="5"/>
  <c r="J86" i="5" s="1"/>
  <c r="K86" i="5" s="1"/>
  <c r="I91" i="5"/>
  <c r="J91" i="5" s="1"/>
  <c r="K91" i="5" s="1"/>
  <c r="I83" i="5"/>
  <c r="J83" i="5" s="1"/>
  <c r="K83" i="5" s="1"/>
  <c r="I89" i="5"/>
  <c r="J89" i="5" s="1"/>
  <c r="K89" i="5" s="1"/>
  <c r="I85" i="5"/>
  <c r="J85" i="5" s="1"/>
  <c r="K85" i="5" s="1"/>
  <c r="I66" i="5"/>
  <c r="J66" i="5" s="1"/>
  <c r="K66" i="5" s="1"/>
  <c r="I68" i="5"/>
  <c r="J68" i="5" s="1"/>
  <c r="K68" i="5" s="1"/>
  <c r="I63" i="5"/>
  <c r="J63" i="5" s="1"/>
  <c r="K63" i="5" s="1"/>
  <c r="I62" i="5"/>
  <c r="J62" i="5" s="1"/>
  <c r="K62" i="5" s="1"/>
  <c r="I64" i="5"/>
  <c r="J64" i="5" s="1"/>
  <c r="K64" i="5" s="1"/>
  <c r="I65" i="5"/>
  <c r="J65" i="5" s="1"/>
  <c r="K65" i="5" s="1"/>
  <c r="I60" i="5"/>
  <c r="J60" i="5" s="1"/>
  <c r="K60" i="5" s="1"/>
  <c r="I61" i="5"/>
  <c r="J61" i="5" s="1"/>
  <c r="K61" i="5" s="1"/>
  <c r="I67" i="5"/>
  <c r="J67" i="5" s="1"/>
  <c r="K67" i="5" s="1"/>
  <c r="I69" i="5"/>
  <c r="J69" i="5" s="1"/>
  <c r="K69" i="5" s="1"/>
  <c r="I44" i="5"/>
  <c r="J44" i="5" s="1"/>
  <c r="K44" i="5" s="1"/>
  <c r="I46" i="5"/>
  <c r="J46" i="5" s="1"/>
  <c r="K46" i="5" s="1"/>
  <c r="I40" i="5"/>
  <c r="J40" i="5" s="1"/>
  <c r="K40" i="5" s="1"/>
  <c r="I45" i="5"/>
  <c r="J45" i="5" s="1"/>
  <c r="K45" i="5" s="1"/>
  <c r="I39" i="5"/>
  <c r="J39" i="5" s="1"/>
  <c r="K39" i="5" s="1"/>
  <c r="I47" i="5"/>
  <c r="J47" i="5" s="1"/>
  <c r="K47" i="5" s="1"/>
  <c r="I42" i="5"/>
  <c r="J42" i="5" s="1"/>
  <c r="K42" i="5" s="1"/>
  <c r="I41" i="5"/>
  <c r="J41" i="5" s="1"/>
  <c r="K41" i="5" s="1"/>
  <c r="I38" i="5"/>
  <c r="J38" i="5" s="1"/>
  <c r="K38" i="5" s="1"/>
  <c r="I43" i="5"/>
  <c r="J43" i="5" s="1"/>
  <c r="K43" i="5" s="1"/>
  <c r="I16" i="5"/>
  <c r="J16" i="5" s="1"/>
  <c r="K16" i="5" s="1"/>
  <c r="I20" i="5"/>
  <c r="J20" i="5" s="1"/>
  <c r="K20" i="5" s="1"/>
  <c r="I24" i="5"/>
  <c r="J24" i="5" s="1"/>
  <c r="K24" i="5" s="1"/>
  <c r="I21" i="5"/>
  <c r="J21" i="5" s="1"/>
  <c r="K21" i="5" s="1"/>
  <c r="I19" i="5"/>
  <c r="J19" i="5" s="1"/>
  <c r="K19" i="5" s="1"/>
  <c r="I18" i="5"/>
  <c r="J18" i="5" s="1"/>
  <c r="K18" i="5" s="1"/>
  <c r="I17" i="5"/>
  <c r="J17" i="5" s="1"/>
  <c r="K17" i="5" s="1"/>
  <c r="I25" i="5"/>
  <c r="J25" i="5" s="1"/>
  <c r="K25" i="5" s="1"/>
  <c r="I23" i="5"/>
  <c r="I22" i="5"/>
  <c r="G110" i="11"/>
  <c r="G108" i="10"/>
  <c r="G111" i="9"/>
  <c r="G112" i="10"/>
  <c r="G112" i="16" s="1"/>
  <c r="G112" i="12" s="1"/>
  <c r="G111" i="11"/>
  <c r="G109" i="10"/>
  <c r="G104" i="10"/>
  <c r="G111" i="10"/>
  <c r="G113" i="10"/>
  <c r="G106" i="10"/>
  <c r="G107" i="10"/>
  <c r="G105" i="10"/>
  <c r="G110" i="10"/>
  <c r="G110" i="9"/>
  <c r="G105" i="11"/>
  <c r="G104" i="11"/>
  <c r="G109" i="11"/>
  <c r="G113" i="11"/>
  <c r="G108" i="11"/>
  <c r="G106" i="9"/>
  <c r="G108" i="9"/>
  <c r="G112" i="11"/>
  <c r="G109" i="9"/>
  <c r="G113" i="9"/>
  <c r="G107" i="9"/>
  <c r="G104" i="9"/>
  <c r="G105" i="9"/>
  <c r="G112" i="9"/>
  <c r="G106" i="11"/>
  <c r="G107" i="11"/>
  <c r="G79" i="10"/>
  <c r="G79" i="16" s="1"/>
  <c r="G79" i="12" s="1"/>
  <c r="G73" i="10"/>
  <c r="G76" i="10"/>
  <c r="G77" i="10"/>
  <c r="G71" i="10"/>
  <c r="G78" i="9"/>
  <c r="G76" i="11"/>
  <c r="G75" i="10"/>
  <c r="G80" i="10"/>
  <c r="G72" i="10"/>
  <c r="G72" i="11"/>
  <c r="G78" i="11"/>
  <c r="G74" i="10"/>
  <c r="G71" i="11"/>
  <c r="G77" i="11"/>
  <c r="G78" i="10"/>
  <c r="G77" i="9"/>
  <c r="G79" i="9"/>
  <c r="G75" i="11"/>
  <c r="G73" i="9"/>
  <c r="G79" i="11"/>
  <c r="G72" i="9"/>
  <c r="G76" i="9"/>
  <c r="G80" i="9"/>
  <c r="G80" i="11"/>
  <c r="G75" i="9"/>
  <c r="G74" i="9"/>
  <c r="G71" i="9"/>
  <c r="G73" i="11"/>
  <c r="G74" i="11"/>
  <c r="G169" i="7"/>
  <c r="G11" i="11"/>
  <c r="G10" i="10"/>
  <c r="G14" i="10"/>
  <c r="G5" i="10"/>
  <c r="G11" i="10"/>
  <c r="G12" i="9"/>
  <c r="G5" i="11"/>
  <c r="G12" i="11"/>
  <c r="G7" i="10"/>
  <c r="G8" i="10"/>
  <c r="G6" i="10"/>
  <c r="G9" i="10"/>
  <c r="G6" i="11"/>
  <c r="G13" i="10"/>
  <c r="G12" i="10"/>
  <c r="G10" i="11"/>
  <c r="G11" i="9"/>
  <c r="G14" i="11"/>
  <c r="G8" i="9"/>
  <c r="G13" i="9"/>
  <c r="G10" i="9"/>
  <c r="G9" i="11"/>
  <c r="G5" i="9"/>
  <c r="G14" i="9"/>
  <c r="G13" i="11"/>
  <c r="G9" i="9"/>
  <c r="G6" i="9"/>
  <c r="G7" i="9"/>
  <c r="G7" i="11"/>
  <c r="G8" i="11"/>
  <c r="G156" i="10"/>
  <c r="G156" i="16" s="1"/>
  <c r="G156" i="12" s="1"/>
  <c r="G157" i="10"/>
  <c r="G151" i="10"/>
  <c r="G153" i="10"/>
  <c r="G148" i="11"/>
  <c r="G150" i="10"/>
  <c r="G148" i="10"/>
  <c r="G149" i="10"/>
  <c r="G154" i="11"/>
  <c r="G154" i="9"/>
  <c r="G155" i="9"/>
  <c r="G149" i="11"/>
  <c r="G153" i="11"/>
  <c r="G155" i="11"/>
  <c r="G155" i="10"/>
  <c r="G154" i="10"/>
  <c r="G152" i="10"/>
  <c r="G152" i="11"/>
  <c r="G152" i="9"/>
  <c r="G156" i="9"/>
  <c r="G148" i="9"/>
  <c r="G153" i="9"/>
  <c r="G149" i="9"/>
  <c r="G150" i="9"/>
  <c r="G157" i="9"/>
  <c r="G157" i="11"/>
  <c r="G156" i="11"/>
  <c r="G151" i="9"/>
  <c r="G150" i="11"/>
  <c r="G151" i="11"/>
  <c r="G134" i="10"/>
  <c r="G134" i="16" s="1"/>
  <c r="G134" i="12" s="1"/>
  <c r="G135" i="10"/>
  <c r="G131" i="11"/>
  <c r="G127" i="11"/>
  <c r="G131" i="10"/>
  <c r="G126" i="10"/>
  <c r="G130" i="10"/>
  <c r="G129" i="10"/>
  <c r="G126" i="11"/>
  <c r="G127" i="10"/>
  <c r="G128" i="10"/>
  <c r="G134" i="11"/>
  <c r="G129" i="9"/>
  <c r="G128" i="9"/>
  <c r="G131" i="9"/>
  <c r="G134" i="9"/>
  <c r="G135" i="11"/>
  <c r="G135" i="9"/>
  <c r="G126" i="9"/>
  <c r="G127" i="9"/>
  <c r="G130" i="11"/>
  <c r="G130" i="9"/>
  <c r="G128" i="11"/>
  <c r="G129" i="11"/>
  <c r="G89" i="11"/>
  <c r="G88" i="11"/>
  <c r="G86" i="10"/>
  <c r="G87" i="10"/>
  <c r="G89" i="10"/>
  <c r="G83" i="10"/>
  <c r="G83" i="11"/>
  <c r="G87" i="11"/>
  <c r="G90" i="10"/>
  <c r="G90" i="16" s="1"/>
  <c r="G90" i="12" s="1"/>
  <c r="G84" i="10"/>
  <c r="G85" i="10"/>
  <c r="G89" i="9"/>
  <c r="G82" i="11"/>
  <c r="G82" i="10"/>
  <c r="G88" i="10"/>
  <c r="G91" i="10"/>
  <c r="G88" i="9"/>
  <c r="G90" i="9"/>
  <c r="G91" i="11"/>
  <c r="G83" i="9"/>
  <c r="G84" i="9"/>
  <c r="G86" i="9"/>
  <c r="G82" i="9"/>
  <c r="G85" i="9"/>
  <c r="G86" i="11"/>
  <c r="G90" i="11"/>
  <c r="G87" i="9"/>
  <c r="G91" i="9"/>
  <c r="G84" i="11"/>
  <c r="G85" i="11"/>
  <c r="G34" i="11"/>
  <c r="G33" i="11"/>
  <c r="G30" i="10"/>
  <c r="G36" i="10"/>
  <c r="G33" i="9"/>
  <c r="G27" i="11"/>
  <c r="G35" i="10"/>
  <c r="G35" i="16" s="1"/>
  <c r="G35" i="12" s="1"/>
  <c r="G32" i="10"/>
  <c r="G28" i="10"/>
  <c r="G34" i="10"/>
  <c r="G34" i="9"/>
  <c r="G33" i="10"/>
  <c r="G27" i="10"/>
  <c r="G28" i="11"/>
  <c r="G32" i="11"/>
  <c r="G29" i="10"/>
  <c r="G31" i="10"/>
  <c r="G35" i="11"/>
  <c r="G35" i="9"/>
  <c r="G27" i="9"/>
  <c r="G31" i="9"/>
  <c r="G29" i="9"/>
  <c r="G36" i="9"/>
  <c r="G29" i="11"/>
  <c r="G36" i="11"/>
  <c r="G28" i="9"/>
  <c r="G30" i="9"/>
  <c r="G31" i="11"/>
  <c r="G32" i="9"/>
  <c r="G30" i="11"/>
  <c r="G145" i="10"/>
  <c r="G145" i="16" s="1"/>
  <c r="G145" i="12" s="1"/>
  <c r="G146" i="10"/>
  <c r="G137" i="10"/>
  <c r="G143" i="11"/>
  <c r="G142" i="10"/>
  <c r="G143" i="9"/>
  <c r="G142" i="11"/>
  <c r="G139" i="10"/>
  <c r="G140" i="10"/>
  <c r="G143" i="10"/>
  <c r="G141" i="10"/>
  <c r="G138" i="10"/>
  <c r="G144" i="9"/>
  <c r="G144" i="11"/>
  <c r="G144" i="10"/>
  <c r="G138" i="11"/>
  <c r="G137" i="11"/>
  <c r="G141" i="9"/>
  <c r="G138" i="9"/>
  <c r="G146" i="11"/>
  <c r="G145" i="11"/>
  <c r="G140" i="9"/>
  <c r="G142" i="9"/>
  <c r="G145" i="9"/>
  <c r="G141" i="11"/>
  <c r="G139" i="9"/>
  <c r="G137" i="9"/>
  <c r="G146" i="9"/>
  <c r="G139" i="11"/>
  <c r="G140" i="11"/>
  <c r="G95" i="10"/>
  <c r="G101" i="10"/>
  <c r="G101" i="16" s="1"/>
  <c r="G101" i="12" s="1"/>
  <c r="G94" i="10"/>
  <c r="G94" i="11"/>
  <c r="G98" i="10"/>
  <c r="G93" i="10"/>
  <c r="G97" i="10"/>
  <c r="G93" i="11"/>
  <c r="G96" i="10"/>
  <c r="G102" i="10"/>
  <c r="G98" i="11"/>
  <c r="G96" i="9"/>
  <c r="G102" i="9"/>
  <c r="G97" i="11"/>
  <c r="G98" i="9"/>
  <c r="G101" i="11"/>
  <c r="G93" i="9"/>
  <c r="G95" i="9"/>
  <c r="G102" i="11"/>
  <c r="G97" i="9"/>
  <c r="G94" i="9"/>
  <c r="G101" i="9"/>
  <c r="G95" i="11"/>
  <c r="G96" i="11"/>
  <c r="G61" i="10"/>
  <c r="G66" i="9"/>
  <c r="G67" i="11"/>
  <c r="G62" i="10"/>
  <c r="G63" i="10"/>
  <c r="G69" i="10"/>
  <c r="G60" i="11"/>
  <c r="G67" i="10"/>
  <c r="G67" i="9"/>
  <c r="G68" i="10"/>
  <c r="G68" i="16" s="1"/>
  <c r="G68" i="12" s="1"/>
  <c r="G66" i="11"/>
  <c r="G60" i="10"/>
  <c r="G65" i="10"/>
  <c r="G66" i="10"/>
  <c r="G64" i="10"/>
  <c r="G61" i="11"/>
  <c r="G65" i="11"/>
  <c r="G69" i="9"/>
  <c r="G68" i="9"/>
  <c r="G64" i="11"/>
  <c r="G69" i="11"/>
  <c r="G64" i="9"/>
  <c r="G63" i="9"/>
  <c r="G68" i="11"/>
  <c r="G62" i="9"/>
  <c r="G65" i="9"/>
  <c r="G61" i="9"/>
  <c r="G60" i="9"/>
  <c r="G62" i="11"/>
  <c r="G63" i="11"/>
  <c r="G46" i="10"/>
  <c r="G46" i="16" s="1"/>
  <c r="G46" i="12" s="1"/>
  <c r="G47" i="10"/>
  <c r="G42" i="10"/>
  <c r="G44" i="10"/>
  <c r="G38" i="10"/>
  <c r="G44" i="9"/>
  <c r="G45" i="9"/>
  <c r="G38" i="11"/>
  <c r="G43" i="11"/>
  <c r="G44" i="11"/>
  <c r="G39" i="10"/>
  <c r="G40" i="10"/>
  <c r="G41" i="10"/>
  <c r="G45" i="11"/>
  <c r="G43" i="10"/>
  <c r="G45" i="10"/>
  <c r="G39" i="11"/>
  <c r="G47" i="11"/>
  <c r="G46" i="11"/>
  <c r="G38" i="9"/>
  <c r="G40" i="9"/>
  <c r="G42" i="11"/>
  <c r="G43" i="9"/>
  <c r="G47" i="9"/>
  <c r="G39" i="9"/>
  <c r="G46" i="9"/>
  <c r="G42" i="9"/>
  <c r="G41" i="9"/>
  <c r="G40" i="11"/>
  <c r="G41" i="11"/>
  <c r="G115" i="10"/>
  <c r="G116" i="10"/>
  <c r="G121" i="11"/>
  <c r="G117" i="10"/>
  <c r="G120" i="10"/>
  <c r="G121" i="10"/>
  <c r="G124" i="10"/>
  <c r="G120" i="11"/>
  <c r="G123" i="10"/>
  <c r="G123" i="16" s="1"/>
  <c r="G123" i="12" s="1"/>
  <c r="G122" i="11"/>
  <c r="G118" i="10"/>
  <c r="G122" i="10"/>
  <c r="G121" i="9"/>
  <c r="G116" i="11"/>
  <c r="G119" i="10"/>
  <c r="G122" i="9"/>
  <c r="G115" i="11"/>
  <c r="G119" i="11"/>
  <c r="G116" i="9"/>
  <c r="G123" i="11"/>
  <c r="G124" i="9"/>
  <c r="G119" i="9"/>
  <c r="G124" i="11"/>
  <c r="G118" i="9"/>
  <c r="G115" i="9"/>
  <c r="G117" i="9"/>
  <c r="G120" i="9"/>
  <c r="G123" i="9"/>
  <c r="G117" i="11"/>
  <c r="G118" i="11"/>
  <c r="G53" i="10"/>
  <c r="G50" i="10"/>
  <c r="G56" i="10"/>
  <c r="G52" i="10"/>
  <c r="G56" i="9"/>
  <c r="G50" i="11"/>
  <c r="G55" i="9"/>
  <c r="G49" i="11"/>
  <c r="G57" i="10"/>
  <c r="G57" i="16" s="1"/>
  <c r="G57" i="12" s="1"/>
  <c r="G55" i="11"/>
  <c r="G54" i="10"/>
  <c r="G55" i="10"/>
  <c r="G54" i="11"/>
  <c r="G56" i="11"/>
  <c r="G51" i="10"/>
  <c r="G58" i="10"/>
  <c r="G49" i="10"/>
  <c r="G53" i="9"/>
  <c r="G57" i="9"/>
  <c r="G57" i="11"/>
  <c r="G49" i="9"/>
  <c r="G58" i="11"/>
  <c r="G58" i="9"/>
  <c r="G52" i="9"/>
  <c r="G53" i="11"/>
  <c r="G50" i="9"/>
  <c r="G51" i="9"/>
  <c r="G54" i="9"/>
  <c r="G51" i="11"/>
  <c r="G52" i="11"/>
  <c r="G21" i="10"/>
  <c r="G17" i="11"/>
  <c r="G16" i="11"/>
  <c r="G20" i="10"/>
  <c r="G19" i="10"/>
  <c r="G25" i="10"/>
  <c r="G21" i="11"/>
  <c r="G24" i="10"/>
  <c r="G18" i="10"/>
  <c r="G16" i="10"/>
  <c r="G17" i="10"/>
  <c r="G24" i="11"/>
  <c r="G17" i="9"/>
  <c r="G21" i="9"/>
  <c r="G19" i="9"/>
  <c r="G20" i="11"/>
  <c r="G25" i="9"/>
  <c r="G20" i="9"/>
  <c r="G18" i="9"/>
  <c r="G25" i="11"/>
  <c r="G24" i="9"/>
  <c r="G16" i="9"/>
  <c r="G18" i="11"/>
  <c r="G19" i="11"/>
  <c r="F122" i="11"/>
  <c r="F120" i="10"/>
  <c r="F122" i="10"/>
  <c r="F117" i="10"/>
  <c r="F118" i="10"/>
  <c r="F124" i="10"/>
  <c r="F122" i="9"/>
  <c r="F115" i="10"/>
  <c r="F116" i="11"/>
  <c r="F123" i="10"/>
  <c r="F123" i="16" s="1"/>
  <c r="F123" i="12" s="1"/>
  <c r="F119" i="10"/>
  <c r="F121" i="10"/>
  <c r="F121" i="9"/>
  <c r="F115" i="11"/>
  <c r="F121" i="11"/>
  <c r="F116" i="10"/>
  <c r="F120" i="11"/>
  <c r="F115" i="9"/>
  <c r="F116" i="9"/>
  <c r="F117" i="9"/>
  <c r="F123" i="11"/>
  <c r="F119" i="9"/>
  <c r="F118" i="9"/>
  <c r="F124" i="11"/>
  <c r="F119" i="11"/>
  <c r="F123" i="9"/>
  <c r="F124" i="9"/>
  <c r="F120" i="9"/>
  <c r="F117" i="11"/>
  <c r="F118" i="11"/>
  <c r="F50" i="10"/>
  <c r="F54" i="10"/>
  <c r="F51" i="10"/>
  <c r="F52" i="10"/>
  <c r="F55" i="10"/>
  <c r="F49" i="11"/>
  <c r="F54" i="11"/>
  <c r="F55" i="11"/>
  <c r="F58" i="10"/>
  <c r="F55" i="9"/>
  <c r="F50" i="11"/>
  <c r="F53" i="10"/>
  <c r="F56" i="9"/>
  <c r="F57" i="10"/>
  <c r="F57" i="16" s="1"/>
  <c r="F57" i="12" s="1"/>
  <c r="F56" i="11"/>
  <c r="F49" i="10"/>
  <c r="F56" i="10"/>
  <c r="F50" i="9"/>
  <c r="F52" i="9"/>
  <c r="F58" i="9"/>
  <c r="F57" i="9"/>
  <c r="F58" i="11"/>
  <c r="F53" i="11"/>
  <c r="F57" i="11"/>
  <c r="F53" i="9"/>
  <c r="F49" i="9"/>
  <c r="F51" i="9"/>
  <c r="F54" i="9"/>
  <c r="F51" i="11"/>
  <c r="F52" i="11"/>
  <c r="F169" i="7"/>
  <c r="F6" i="10"/>
  <c r="F13" i="10"/>
  <c r="F7" i="10"/>
  <c r="F12" i="9"/>
  <c r="F10" i="11"/>
  <c r="F11" i="11"/>
  <c r="F6" i="11"/>
  <c r="F5" i="11"/>
  <c r="F10" i="10"/>
  <c r="F11" i="10"/>
  <c r="F8" i="10"/>
  <c r="F14" i="10"/>
  <c r="F11" i="9"/>
  <c r="F12" i="11"/>
  <c r="F5" i="10"/>
  <c r="F12" i="10"/>
  <c r="F9" i="10"/>
  <c r="F13" i="9"/>
  <c r="F9" i="11"/>
  <c r="F13" i="11"/>
  <c r="F7" i="9"/>
  <c r="F10" i="9"/>
  <c r="F9" i="9"/>
  <c r="F8" i="9"/>
  <c r="F14" i="11"/>
  <c r="F14" i="9"/>
  <c r="F6" i="9"/>
  <c r="F5" i="9"/>
  <c r="F7" i="11"/>
  <c r="F8" i="11"/>
  <c r="F142" i="10"/>
  <c r="F145" i="10"/>
  <c r="F145" i="16" s="1"/>
  <c r="F145" i="12" s="1"/>
  <c r="F143" i="11"/>
  <c r="F138" i="10"/>
  <c r="F142" i="11"/>
  <c r="F139" i="10"/>
  <c r="F138" i="11"/>
  <c r="F137" i="10"/>
  <c r="F143" i="9"/>
  <c r="F137" i="11"/>
  <c r="F144" i="11"/>
  <c r="F146" i="10"/>
  <c r="F143" i="10"/>
  <c r="F141" i="10"/>
  <c r="F140" i="10"/>
  <c r="F144" i="10"/>
  <c r="F144" i="9"/>
  <c r="F145" i="11"/>
  <c r="F140" i="9"/>
  <c r="F145" i="9"/>
  <c r="F146" i="9"/>
  <c r="F141" i="11"/>
  <c r="F138" i="9"/>
  <c r="F142" i="9"/>
  <c r="F146" i="11"/>
  <c r="F141" i="9"/>
  <c r="F137" i="9"/>
  <c r="F139" i="9"/>
  <c r="F139" i="11"/>
  <c r="F140" i="11"/>
  <c r="F94" i="10"/>
  <c r="F95" i="10"/>
  <c r="F97" i="10"/>
  <c r="F93" i="11"/>
  <c r="F93" i="10"/>
  <c r="F96" i="10"/>
  <c r="F94" i="11"/>
  <c r="F101" i="10"/>
  <c r="F101" i="16" s="1"/>
  <c r="F101" i="12" s="1"/>
  <c r="F98" i="11"/>
  <c r="F102" i="10"/>
  <c r="F98" i="10"/>
  <c r="F97" i="11"/>
  <c r="F102" i="11"/>
  <c r="F98" i="9"/>
  <c r="F101" i="9"/>
  <c r="F101" i="11"/>
  <c r="F95" i="9"/>
  <c r="F96" i="9"/>
  <c r="F94" i="9"/>
  <c r="F97" i="9"/>
  <c r="F102" i="9"/>
  <c r="F93" i="9"/>
  <c r="F95" i="11"/>
  <c r="F96" i="11"/>
  <c r="F68" i="10"/>
  <c r="F68" i="16" s="1"/>
  <c r="F68" i="12" s="1"/>
  <c r="F61" i="10"/>
  <c r="F60" i="10"/>
  <c r="F67" i="9"/>
  <c r="F67" i="11"/>
  <c r="F66" i="11"/>
  <c r="F62" i="10"/>
  <c r="F66" i="10"/>
  <c r="F65" i="11"/>
  <c r="F64" i="10"/>
  <c r="F65" i="10"/>
  <c r="F61" i="11"/>
  <c r="F63" i="10"/>
  <c r="F69" i="10"/>
  <c r="F67" i="10"/>
  <c r="F66" i="9"/>
  <c r="F60" i="11"/>
  <c r="F64" i="9"/>
  <c r="F61" i="9"/>
  <c r="F69" i="11"/>
  <c r="F68" i="9"/>
  <c r="F69" i="9"/>
  <c r="F60" i="9"/>
  <c r="F62" i="9"/>
  <c r="F64" i="11"/>
  <c r="F68" i="11"/>
  <c r="F63" i="9"/>
  <c r="F65" i="9"/>
  <c r="F62" i="11"/>
  <c r="F63" i="11"/>
  <c r="F30" i="10"/>
  <c r="F34" i="9"/>
  <c r="F28" i="11"/>
  <c r="F34" i="11"/>
  <c r="F33" i="11"/>
  <c r="F29" i="10"/>
  <c r="F35" i="10"/>
  <c r="F35" i="16" s="1"/>
  <c r="F35" i="12" s="1"/>
  <c r="F28" i="10"/>
  <c r="F34" i="10"/>
  <c r="F31" i="10"/>
  <c r="F33" i="9"/>
  <c r="F27" i="11"/>
  <c r="F33" i="10"/>
  <c r="F32" i="10"/>
  <c r="F27" i="10"/>
  <c r="F36" i="10"/>
  <c r="F32" i="11"/>
  <c r="F29" i="9"/>
  <c r="F36" i="9"/>
  <c r="F36" i="11"/>
  <c r="F31" i="9"/>
  <c r="F27" i="9"/>
  <c r="F35" i="9"/>
  <c r="F30" i="9"/>
  <c r="F31" i="11"/>
  <c r="F35" i="11"/>
  <c r="F28" i="9"/>
  <c r="F32" i="9"/>
  <c r="F29" i="11"/>
  <c r="F30" i="11"/>
  <c r="F109" i="10"/>
  <c r="F108" i="10"/>
  <c r="F111" i="10"/>
  <c r="F104" i="11"/>
  <c r="F106" i="10"/>
  <c r="F107" i="10"/>
  <c r="F113" i="10"/>
  <c r="F110" i="10"/>
  <c r="F111" i="9"/>
  <c r="F109" i="11"/>
  <c r="F112" i="10"/>
  <c r="F112" i="16" s="1"/>
  <c r="F112" i="12" s="1"/>
  <c r="F110" i="11"/>
  <c r="F111" i="11"/>
  <c r="F105" i="10"/>
  <c r="F104" i="10"/>
  <c r="F105" i="11"/>
  <c r="F110" i="9"/>
  <c r="F108" i="9"/>
  <c r="F106" i="9"/>
  <c r="F112" i="11"/>
  <c r="F104" i="9"/>
  <c r="F112" i="9"/>
  <c r="F109" i="9"/>
  <c r="F108" i="11"/>
  <c r="F113" i="11"/>
  <c r="F113" i="9"/>
  <c r="F107" i="9"/>
  <c r="F105" i="9"/>
  <c r="F106" i="11"/>
  <c r="F107" i="11"/>
  <c r="F85" i="10"/>
  <c r="F87" i="10"/>
  <c r="F91" i="10"/>
  <c r="F88" i="9"/>
  <c r="F87" i="11"/>
  <c r="F83" i="10"/>
  <c r="F83" i="11"/>
  <c r="F82" i="11"/>
  <c r="F90" i="10"/>
  <c r="F90" i="16" s="1"/>
  <c r="F90" i="12" s="1"/>
  <c r="F88" i="11"/>
  <c r="F89" i="11"/>
  <c r="F82" i="10"/>
  <c r="F89" i="10"/>
  <c r="F88" i="10"/>
  <c r="F89" i="9"/>
  <c r="F84" i="10"/>
  <c r="F86" i="10"/>
  <c r="F86" i="11"/>
  <c r="F90" i="11"/>
  <c r="F82" i="9"/>
  <c r="F90" i="9"/>
  <c r="F85" i="9"/>
  <c r="F87" i="9"/>
  <c r="F83" i="9"/>
  <c r="F84" i="9"/>
  <c r="F91" i="11"/>
  <c r="F91" i="9"/>
  <c r="F86" i="9"/>
  <c r="F84" i="11"/>
  <c r="F85" i="11"/>
  <c r="F20" i="10"/>
  <c r="F18" i="10"/>
  <c r="F17" i="11"/>
  <c r="F24" i="10"/>
  <c r="F21" i="10"/>
  <c r="F17" i="10"/>
  <c r="F16" i="10"/>
  <c r="F21" i="11"/>
  <c r="F25" i="10"/>
  <c r="F19" i="10"/>
  <c r="F16" i="11"/>
  <c r="F25" i="11"/>
  <c r="F18" i="9"/>
  <c r="F20" i="11"/>
  <c r="F16" i="9"/>
  <c r="F24" i="11"/>
  <c r="F17" i="9"/>
  <c r="F19" i="9"/>
  <c r="F25" i="9"/>
  <c r="F18" i="11"/>
  <c r="F20" i="9"/>
  <c r="F24" i="9"/>
  <c r="F21" i="9"/>
  <c r="F19" i="11"/>
  <c r="F156" i="10"/>
  <c r="F156" i="16" s="1"/>
  <c r="F156" i="12" s="1"/>
  <c r="F155" i="11"/>
  <c r="F150" i="10"/>
  <c r="F148" i="10"/>
  <c r="F149" i="10"/>
  <c r="F154" i="9"/>
  <c r="F149" i="11"/>
  <c r="F154" i="10"/>
  <c r="F152" i="10"/>
  <c r="F155" i="9"/>
  <c r="F153" i="11"/>
  <c r="F154" i="11"/>
  <c r="F153" i="10"/>
  <c r="F157" i="10"/>
  <c r="F151" i="10"/>
  <c r="F155" i="10"/>
  <c r="F148" i="11"/>
  <c r="F152" i="11"/>
  <c r="F156" i="11"/>
  <c r="F153" i="9"/>
  <c r="F149" i="9"/>
  <c r="F157" i="11"/>
  <c r="F157" i="9"/>
  <c r="F156" i="9"/>
  <c r="F152" i="9"/>
  <c r="F150" i="9"/>
  <c r="F148" i="9"/>
  <c r="F151" i="9"/>
  <c r="F150" i="11"/>
  <c r="F151" i="11"/>
  <c r="F126" i="10"/>
  <c r="F129" i="10"/>
  <c r="F127" i="11"/>
  <c r="F128" i="10"/>
  <c r="F130" i="10"/>
  <c r="F126" i="11"/>
  <c r="F131" i="11"/>
  <c r="F134" i="10"/>
  <c r="F134" i="16" s="1"/>
  <c r="F134" i="12" s="1"/>
  <c r="F127" i="10"/>
  <c r="F131" i="10"/>
  <c r="F135" i="10"/>
  <c r="F135" i="11"/>
  <c r="F130" i="9"/>
  <c r="F131" i="9"/>
  <c r="F135" i="9"/>
  <c r="F134" i="9"/>
  <c r="F126" i="9"/>
  <c r="F130" i="11"/>
  <c r="F129" i="9"/>
  <c r="F134" i="11"/>
  <c r="F127" i="9"/>
  <c r="F128" i="9"/>
  <c r="F128" i="11"/>
  <c r="F129" i="11"/>
  <c r="F77" i="10"/>
  <c r="F71" i="10"/>
  <c r="F71" i="11"/>
  <c r="F78" i="11"/>
  <c r="F75" i="10"/>
  <c r="F78" i="9"/>
  <c r="F77" i="9"/>
  <c r="F79" i="10"/>
  <c r="F79" i="16" s="1"/>
  <c r="F79" i="12" s="1"/>
  <c r="F77" i="11"/>
  <c r="F76" i="10"/>
  <c r="F80" i="10"/>
  <c r="F78" i="10"/>
  <c r="F74" i="10"/>
  <c r="F76" i="11"/>
  <c r="F73" i="10"/>
  <c r="F72" i="10"/>
  <c r="F72" i="11"/>
  <c r="F80" i="11"/>
  <c r="F75" i="9"/>
  <c r="F75" i="11"/>
  <c r="F72" i="9"/>
  <c r="F71" i="9"/>
  <c r="F80" i="9"/>
  <c r="F79" i="11"/>
  <c r="F74" i="9"/>
  <c r="F73" i="9"/>
  <c r="F79" i="9"/>
  <c r="F76" i="9"/>
  <c r="F73" i="11"/>
  <c r="F74" i="11"/>
  <c r="F45" i="11"/>
  <c r="F46" i="10"/>
  <c r="F46" i="16" s="1"/>
  <c r="F46" i="12" s="1"/>
  <c r="F43" i="10"/>
  <c r="F47" i="10"/>
  <c r="F45" i="9"/>
  <c r="F44" i="10"/>
  <c r="F38" i="11"/>
  <c r="F44" i="11"/>
  <c r="F42" i="10"/>
  <c r="F45" i="10"/>
  <c r="F38" i="10"/>
  <c r="F44" i="9"/>
  <c r="F39" i="11"/>
  <c r="F43" i="11"/>
  <c r="F40" i="10"/>
  <c r="F41" i="10"/>
  <c r="F39" i="10"/>
  <c r="F42" i="11"/>
  <c r="F47" i="11"/>
  <c r="F42" i="9"/>
  <c r="F43" i="9"/>
  <c r="F47" i="9"/>
  <c r="F46" i="11"/>
  <c r="F40" i="9"/>
  <c r="F41" i="9"/>
  <c r="F38" i="9"/>
  <c r="F39" i="9"/>
  <c r="F46" i="9"/>
  <c r="F40" i="11"/>
  <c r="F41" i="11"/>
  <c r="E144" i="9"/>
  <c r="E137" i="11"/>
  <c r="E142" i="11"/>
  <c r="E143" i="10"/>
  <c r="E142" i="10"/>
  <c r="E140" i="10"/>
  <c r="E144" i="10"/>
  <c r="E141" i="10"/>
  <c r="E145" i="10"/>
  <c r="E145" i="16" s="1"/>
  <c r="E145" i="12" s="1"/>
  <c r="E144" i="11"/>
  <c r="E139" i="10"/>
  <c r="E146" i="10"/>
  <c r="E143" i="9"/>
  <c r="E138" i="11"/>
  <c r="E143" i="11"/>
  <c r="E137" i="10"/>
  <c r="E138" i="10"/>
  <c r="E141" i="9"/>
  <c r="E142" i="9"/>
  <c r="E141" i="11"/>
  <c r="E145" i="11"/>
  <c r="E145" i="9"/>
  <c r="E138" i="9"/>
  <c r="E140" i="9"/>
  <c r="E146" i="9"/>
  <c r="E139" i="9"/>
  <c r="E146" i="11"/>
  <c r="E137" i="9"/>
  <c r="E139" i="11"/>
  <c r="E140" i="11"/>
  <c r="E111" i="11"/>
  <c r="E104" i="10"/>
  <c r="E108" i="10"/>
  <c r="E112" i="10"/>
  <c r="E112" i="16" s="1"/>
  <c r="E112" i="12" s="1"/>
  <c r="E106" i="10"/>
  <c r="E105" i="10"/>
  <c r="E110" i="9"/>
  <c r="E109" i="11"/>
  <c r="E110" i="11"/>
  <c r="E111" i="10"/>
  <c r="E113" i="10"/>
  <c r="E110" i="10"/>
  <c r="E111" i="9"/>
  <c r="E109" i="10"/>
  <c r="E107" i="10"/>
  <c r="E105" i="11"/>
  <c r="E104" i="11"/>
  <c r="E108" i="11"/>
  <c r="E105" i="9"/>
  <c r="E112" i="9"/>
  <c r="E106" i="9"/>
  <c r="E113" i="9"/>
  <c r="E107" i="9"/>
  <c r="E104" i="9"/>
  <c r="E113" i="11"/>
  <c r="E112" i="11"/>
  <c r="E108" i="9"/>
  <c r="E109" i="9"/>
  <c r="E106" i="11"/>
  <c r="E107" i="11"/>
  <c r="E156" i="10"/>
  <c r="E156" i="16" s="1"/>
  <c r="E156" i="12" s="1"/>
  <c r="E153" i="10"/>
  <c r="E155" i="9"/>
  <c r="E154" i="9"/>
  <c r="E149" i="11"/>
  <c r="E148" i="11"/>
  <c r="E150" i="10"/>
  <c r="E154" i="10"/>
  <c r="E152" i="10"/>
  <c r="E148" i="10"/>
  <c r="E155" i="11"/>
  <c r="E154" i="11"/>
  <c r="E157" i="10"/>
  <c r="E155" i="10"/>
  <c r="E153" i="11"/>
  <c r="E149" i="10"/>
  <c r="E151" i="10"/>
  <c r="E150" i="9"/>
  <c r="E156" i="9"/>
  <c r="E153" i="9"/>
  <c r="E157" i="11"/>
  <c r="E156" i="11"/>
  <c r="E152" i="9"/>
  <c r="E152" i="11"/>
  <c r="E151" i="9"/>
  <c r="E149" i="9"/>
  <c r="E157" i="9"/>
  <c r="E148" i="9"/>
  <c r="E150" i="11"/>
  <c r="E151" i="11"/>
  <c r="E90" i="10"/>
  <c r="E90" i="16" s="1"/>
  <c r="E90" i="12" s="1"/>
  <c r="E88" i="11"/>
  <c r="E88" i="10"/>
  <c r="E87" i="10"/>
  <c r="E86" i="10"/>
  <c r="E82" i="11"/>
  <c r="E85" i="10"/>
  <c r="E91" i="10"/>
  <c r="E89" i="10"/>
  <c r="E84" i="10"/>
  <c r="E89" i="9"/>
  <c r="E88" i="9"/>
  <c r="E83" i="11"/>
  <c r="E89" i="11"/>
  <c r="E82" i="10"/>
  <c r="E83" i="10"/>
  <c r="E87" i="11"/>
  <c r="E86" i="11"/>
  <c r="E84" i="9"/>
  <c r="E83" i="9"/>
  <c r="E85" i="9"/>
  <c r="E82" i="9"/>
  <c r="E91" i="11"/>
  <c r="E90" i="11"/>
  <c r="E91" i="9"/>
  <c r="E87" i="9"/>
  <c r="E86" i="9"/>
  <c r="E90" i="9"/>
  <c r="E84" i="11"/>
  <c r="E85" i="11"/>
  <c r="E123" i="10"/>
  <c r="E123" i="16" s="1"/>
  <c r="E123" i="12" s="1"/>
  <c r="E121" i="11"/>
  <c r="E117" i="10"/>
  <c r="E122" i="10"/>
  <c r="E122" i="9"/>
  <c r="E115" i="11"/>
  <c r="E116" i="10"/>
  <c r="E118" i="10"/>
  <c r="E121" i="9"/>
  <c r="E116" i="11"/>
  <c r="E120" i="11"/>
  <c r="E122" i="11"/>
  <c r="E121" i="10"/>
  <c r="E124" i="10"/>
  <c r="E115" i="10"/>
  <c r="E120" i="10"/>
  <c r="E119" i="10"/>
  <c r="E124" i="9"/>
  <c r="E117" i="9"/>
  <c r="E123" i="11"/>
  <c r="E119" i="9"/>
  <c r="E116" i="9"/>
  <c r="E118" i="9"/>
  <c r="E124" i="11"/>
  <c r="E119" i="11"/>
  <c r="E115" i="9"/>
  <c r="E123" i="9"/>
  <c r="E120" i="9"/>
  <c r="E117" i="11"/>
  <c r="E118" i="11"/>
  <c r="E75" i="10"/>
  <c r="E71" i="10"/>
  <c r="E78" i="11"/>
  <c r="E77" i="10"/>
  <c r="E74" i="10"/>
  <c r="E78" i="9"/>
  <c r="E72" i="11"/>
  <c r="E71" i="11"/>
  <c r="E79" i="10"/>
  <c r="E79" i="16" s="1"/>
  <c r="E79" i="12" s="1"/>
  <c r="E76" i="10"/>
  <c r="E73" i="10"/>
  <c r="E72" i="10"/>
  <c r="E78" i="10"/>
  <c r="E80" i="10"/>
  <c r="E77" i="9"/>
  <c r="E77" i="11"/>
  <c r="E76" i="11"/>
  <c r="E79" i="11"/>
  <c r="E71" i="9"/>
  <c r="E74" i="9"/>
  <c r="E80" i="11"/>
  <c r="E75" i="9"/>
  <c r="E80" i="9"/>
  <c r="E76" i="9"/>
  <c r="E75" i="11"/>
  <c r="E79" i="9"/>
  <c r="E73" i="9"/>
  <c r="E72" i="9"/>
  <c r="E73" i="11"/>
  <c r="E74" i="11"/>
  <c r="E134" i="10"/>
  <c r="E134" i="16" s="1"/>
  <c r="E134" i="12" s="1"/>
  <c r="E127" i="10"/>
  <c r="E130" i="10"/>
  <c r="E135" i="10"/>
  <c r="E126" i="11"/>
  <c r="E131" i="10"/>
  <c r="E129" i="10"/>
  <c r="E126" i="10"/>
  <c r="E128" i="10"/>
  <c r="E127" i="11"/>
  <c r="E131" i="11"/>
  <c r="E135" i="11"/>
  <c r="E129" i="9"/>
  <c r="E130" i="11"/>
  <c r="E135" i="9"/>
  <c r="E130" i="9"/>
  <c r="E134" i="9"/>
  <c r="E127" i="9"/>
  <c r="E131" i="9"/>
  <c r="E134" i="11"/>
  <c r="E128" i="9"/>
  <c r="E126" i="9"/>
  <c r="E128" i="11"/>
  <c r="E129" i="11"/>
  <c r="E102" i="10"/>
  <c r="E98" i="10"/>
  <c r="E96" i="10"/>
  <c r="E98" i="11"/>
  <c r="E101" i="10"/>
  <c r="E101" i="16" s="1"/>
  <c r="E101" i="12" s="1"/>
  <c r="E93" i="10"/>
  <c r="E97" i="10"/>
  <c r="E95" i="10"/>
  <c r="E94" i="10"/>
  <c r="E94" i="11"/>
  <c r="E93" i="11"/>
  <c r="E101" i="11"/>
  <c r="E101" i="9"/>
  <c r="E98" i="9"/>
  <c r="E102" i="11"/>
  <c r="E95" i="9"/>
  <c r="E93" i="9"/>
  <c r="E97" i="11"/>
  <c r="E97" i="9"/>
  <c r="E94" i="9"/>
  <c r="E102" i="9"/>
  <c r="E96" i="9"/>
  <c r="E95" i="11"/>
  <c r="E96" i="11"/>
  <c r="E67" i="11"/>
  <c r="E64" i="10"/>
  <c r="E66" i="10"/>
  <c r="E62" i="10"/>
  <c r="E67" i="10"/>
  <c r="E69" i="10"/>
  <c r="E67" i="9"/>
  <c r="E63" i="10"/>
  <c r="E61" i="10"/>
  <c r="E61" i="11"/>
  <c r="E68" i="10"/>
  <c r="E68" i="16" s="1"/>
  <c r="E68" i="12" s="1"/>
  <c r="E66" i="11"/>
  <c r="E65" i="10"/>
  <c r="E60" i="10"/>
  <c r="E66" i="9"/>
  <c r="E60" i="11"/>
  <c r="E65" i="11"/>
  <c r="E68" i="11"/>
  <c r="E64" i="9"/>
  <c r="E61" i="9"/>
  <c r="E62" i="9"/>
  <c r="E60" i="9"/>
  <c r="E65" i="9"/>
  <c r="E69" i="11"/>
  <c r="E64" i="11"/>
  <c r="E69" i="9"/>
  <c r="E68" i="9"/>
  <c r="E63" i="9"/>
  <c r="E62" i="11"/>
  <c r="E63" i="11"/>
  <c r="E55" i="11"/>
  <c r="E56" i="11"/>
  <c r="E49" i="10"/>
  <c r="E52" i="10"/>
  <c r="E54" i="10"/>
  <c r="E56" i="9"/>
  <c r="E56" i="10"/>
  <c r="E50" i="10"/>
  <c r="E55" i="10"/>
  <c r="E53" i="10"/>
  <c r="E55" i="9"/>
  <c r="E49" i="11"/>
  <c r="E51" i="10"/>
  <c r="E54" i="11"/>
  <c r="E57" i="11"/>
  <c r="E57" i="10"/>
  <c r="E57" i="16" s="1"/>
  <c r="E57" i="12" s="1"/>
  <c r="E58" i="10"/>
  <c r="E50" i="11"/>
  <c r="E53" i="11"/>
  <c r="E58" i="9"/>
  <c r="E54" i="9"/>
  <c r="E49" i="9"/>
  <c r="E50" i="9"/>
  <c r="E58" i="11"/>
  <c r="E53" i="9"/>
  <c r="E57" i="9"/>
  <c r="E52" i="9"/>
  <c r="E51" i="9"/>
  <c r="E51" i="11"/>
  <c r="E52" i="11"/>
  <c r="E40" i="10"/>
  <c r="E39" i="10"/>
  <c r="E45" i="9"/>
  <c r="E47" i="10"/>
  <c r="E39" i="11"/>
  <c r="E38" i="11"/>
  <c r="E46" i="10"/>
  <c r="E46" i="16" s="1"/>
  <c r="E46" i="12" s="1"/>
  <c r="E44" i="11"/>
  <c r="E45" i="11"/>
  <c r="E43" i="10"/>
  <c r="E41" i="10"/>
  <c r="E42" i="10"/>
  <c r="E43" i="11"/>
  <c r="E44" i="10"/>
  <c r="E38" i="10"/>
  <c r="E45" i="10"/>
  <c r="E44" i="9"/>
  <c r="E47" i="9"/>
  <c r="E41" i="9"/>
  <c r="E46" i="11"/>
  <c r="E42" i="9"/>
  <c r="E43" i="9"/>
  <c r="E38" i="9"/>
  <c r="E39" i="9"/>
  <c r="E46" i="9"/>
  <c r="E47" i="11"/>
  <c r="E42" i="11"/>
  <c r="E40" i="9"/>
  <c r="E40" i="11"/>
  <c r="E41" i="11"/>
  <c r="E35" i="10"/>
  <c r="E35" i="16" s="1"/>
  <c r="E35" i="12" s="1"/>
  <c r="E34" i="11"/>
  <c r="E34" i="10"/>
  <c r="E32" i="10"/>
  <c r="E30" i="10"/>
  <c r="E36" i="10"/>
  <c r="E28" i="10"/>
  <c r="E33" i="9"/>
  <c r="E28" i="11"/>
  <c r="E32" i="11"/>
  <c r="E33" i="11"/>
  <c r="E33" i="10"/>
  <c r="E31" i="10"/>
  <c r="E27" i="10"/>
  <c r="E29" i="10"/>
  <c r="E34" i="9"/>
  <c r="E27" i="11"/>
  <c r="E31" i="9"/>
  <c r="E35" i="9"/>
  <c r="E32" i="9"/>
  <c r="E30" i="9"/>
  <c r="E27" i="9"/>
  <c r="E28" i="9"/>
  <c r="E29" i="9"/>
  <c r="E31" i="11"/>
  <c r="E35" i="11"/>
  <c r="E36" i="9"/>
  <c r="E36" i="11"/>
  <c r="E29" i="11"/>
  <c r="E30" i="11"/>
  <c r="E16" i="10"/>
  <c r="E18" i="10"/>
  <c r="E17" i="11"/>
  <c r="E21" i="10"/>
  <c r="E25" i="10"/>
  <c r="E16" i="11"/>
  <c r="E24" i="10"/>
  <c r="E19" i="10"/>
  <c r="E20" i="10"/>
  <c r="E21" i="11"/>
  <c r="E17" i="10"/>
  <c r="E18" i="11"/>
  <c r="E20" i="11"/>
  <c r="E25" i="11"/>
  <c r="E19" i="9"/>
  <c r="E24" i="11"/>
  <c r="E20" i="9"/>
  <c r="E17" i="9"/>
  <c r="E16" i="9"/>
  <c r="E18" i="9"/>
  <c r="E25" i="9"/>
  <c r="E21" i="9"/>
  <c r="E24" i="9"/>
  <c r="E19" i="11"/>
  <c r="E169" i="7"/>
  <c r="E13" i="10"/>
  <c r="E11" i="11"/>
  <c r="E12" i="11"/>
  <c r="E6" i="10"/>
  <c r="E11" i="10"/>
  <c r="E12" i="10"/>
  <c r="E11" i="9"/>
  <c r="E12" i="9"/>
  <c r="E6" i="11"/>
  <c r="E10" i="11"/>
  <c r="E14" i="10"/>
  <c r="E7" i="10"/>
  <c r="E9" i="10"/>
  <c r="E5" i="11"/>
  <c r="E10" i="10"/>
  <c r="E5" i="10"/>
  <c r="E8" i="10"/>
  <c r="E8" i="9"/>
  <c r="E10" i="9"/>
  <c r="E13" i="11"/>
  <c r="E7" i="9"/>
  <c r="E6" i="9"/>
  <c r="E14" i="9"/>
  <c r="E5" i="9"/>
  <c r="E9" i="11"/>
  <c r="E14" i="11"/>
  <c r="E9" i="9"/>
  <c r="E13" i="9"/>
  <c r="E7" i="11"/>
  <c r="E8" i="11"/>
  <c r="D154" i="11"/>
  <c r="D148" i="10"/>
  <c r="D149" i="10"/>
  <c r="D152" i="10"/>
  <c r="D155" i="9"/>
  <c r="D155" i="10"/>
  <c r="D154" i="10"/>
  <c r="D148" i="11"/>
  <c r="D153" i="10"/>
  <c r="D157" i="10"/>
  <c r="D151" i="10"/>
  <c r="D154" i="9"/>
  <c r="D149" i="11"/>
  <c r="D153" i="11"/>
  <c r="D156" i="10"/>
  <c r="D156" i="16" s="1"/>
  <c r="D156" i="12" s="1"/>
  <c r="D155" i="11"/>
  <c r="D150" i="10"/>
  <c r="D150" i="11"/>
  <c r="D157" i="11"/>
  <c r="D151" i="9"/>
  <c r="D148" i="9"/>
  <c r="D150" i="9"/>
  <c r="D152" i="11"/>
  <c r="D152" i="9"/>
  <c r="D149" i="9"/>
  <c r="D153" i="9"/>
  <c r="D156" i="9"/>
  <c r="D157" i="9"/>
  <c r="D156" i="11"/>
  <c r="D151" i="11"/>
  <c r="D145" i="10"/>
  <c r="D145" i="16" s="1"/>
  <c r="D145" i="12" s="1"/>
  <c r="D140" i="10"/>
  <c r="D139" i="10"/>
  <c r="D144" i="10"/>
  <c r="D143" i="11"/>
  <c r="D143" i="10"/>
  <c r="D138" i="10"/>
  <c r="D141" i="10"/>
  <c r="D137" i="11"/>
  <c r="D142" i="11"/>
  <c r="D137" i="10"/>
  <c r="D146" i="10"/>
  <c r="D144" i="11"/>
  <c r="D142" i="10"/>
  <c r="D144" i="9"/>
  <c r="D143" i="9"/>
  <c r="D138" i="11"/>
  <c r="D139" i="11"/>
  <c r="D141" i="11"/>
  <c r="D145" i="9"/>
  <c r="D146" i="11"/>
  <c r="D146" i="9"/>
  <c r="D145" i="11"/>
  <c r="D141" i="9"/>
  <c r="D138" i="9"/>
  <c r="D139" i="9"/>
  <c r="D142" i="9"/>
  <c r="D140" i="9"/>
  <c r="D137" i="9"/>
  <c r="D140" i="11"/>
  <c r="D134" i="10"/>
  <c r="D134" i="16" s="1"/>
  <c r="D134" i="12" s="1"/>
  <c r="D130" i="10"/>
  <c r="D135" i="10"/>
  <c r="D127" i="11"/>
  <c r="D126" i="11"/>
  <c r="D131" i="10"/>
  <c r="D127" i="10"/>
  <c r="D131" i="11"/>
  <c r="D129" i="10"/>
  <c r="D128" i="10"/>
  <c r="D126" i="10"/>
  <c r="D134" i="11"/>
  <c r="D127" i="9"/>
  <c r="D131" i="9"/>
  <c r="D135" i="9"/>
  <c r="D130" i="9"/>
  <c r="D126" i="9"/>
  <c r="D128" i="9"/>
  <c r="D135" i="11"/>
  <c r="D128" i="11"/>
  <c r="D130" i="11"/>
  <c r="D134" i="9"/>
  <c r="D129" i="9"/>
  <c r="D129" i="11"/>
  <c r="D116" i="10"/>
  <c r="D121" i="10"/>
  <c r="D124" i="10"/>
  <c r="D122" i="9"/>
  <c r="D123" i="10"/>
  <c r="D123" i="16" s="1"/>
  <c r="D123" i="12" s="1"/>
  <c r="D120" i="10"/>
  <c r="D115" i="10"/>
  <c r="D118" i="10"/>
  <c r="D122" i="11"/>
  <c r="D119" i="10"/>
  <c r="D117" i="10"/>
  <c r="D122" i="10"/>
  <c r="D121" i="11"/>
  <c r="D121" i="9"/>
  <c r="D116" i="11"/>
  <c r="D115" i="11"/>
  <c r="D120" i="11"/>
  <c r="D123" i="11"/>
  <c r="D119" i="9"/>
  <c r="D123" i="9"/>
  <c r="D115" i="9"/>
  <c r="D117" i="9"/>
  <c r="D120" i="9"/>
  <c r="D124" i="9"/>
  <c r="D119" i="11"/>
  <c r="D124" i="11"/>
  <c r="D116" i="9"/>
  <c r="D118" i="9"/>
  <c r="D117" i="11"/>
  <c r="D118" i="11"/>
  <c r="D106" i="10"/>
  <c r="D108" i="10"/>
  <c r="D109" i="10"/>
  <c r="D104" i="10"/>
  <c r="D104" i="11"/>
  <c r="D110" i="11"/>
  <c r="D111" i="11"/>
  <c r="D110" i="10"/>
  <c r="D105" i="10"/>
  <c r="D113" i="10"/>
  <c r="D111" i="10"/>
  <c r="D111" i="9"/>
  <c r="D109" i="11"/>
  <c r="D112" i="10"/>
  <c r="D112" i="16" s="1"/>
  <c r="D112" i="12" s="1"/>
  <c r="D107" i="10"/>
  <c r="D110" i="9"/>
  <c r="D105" i="11"/>
  <c r="D105" i="9"/>
  <c r="D106" i="9"/>
  <c r="D107" i="9"/>
  <c r="D112" i="11"/>
  <c r="D108" i="9"/>
  <c r="D109" i="9"/>
  <c r="D106" i="11"/>
  <c r="D113" i="11"/>
  <c r="D112" i="9"/>
  <c r="D104" i="9"/>
  <c r="D108" i="11"/>
  <c r="D113" i="9"/>
  <c r="D107" i="11"/>
  <c r="D101" i="10"/>
  <c r="D101" i="16" s="1"/>
  <c r="D101" i="12" s="1"/>
  <c r="D95" i="10"/>
  <c r="D98" i="10"/>
  <c r="D94" i="10"/>
  <c r="D98" i="11"/>
  <c r="D96" i="10"/>
  <c r="D93" i="10"/>
  <c r="D93" i="11"/>
  <c r="D97" i="10"/>
  <c r="D94" i="11"/>
  <c r="D102" i="10"/>
  <c r="D102" i="9"/>
  <c r="D97" i="9"/>
  <c r="D94" i="9"/>
  <c r="D96" i="9"/>
  <c r="D101" i="9"/>
  <c r="D98" i="9"/>
  <c r="D93" i="9"/>
  <c r="D95" i="11"/>
  <c r="D102" i="11"/>
  <c r="D97" i="11"/>
  <c r="D101" i="11"/>
  <c r="D95" i="9"/>
  <c r="D96" i="11"/>
  <c r="D90" i="10"/>
  <c r="D90" i="16" s="1"/>
  <c r="D90" i="12" s="1"/>
  <c r="D89" i="10"/>
  <c r="D91" i="10"/>
  <c r="D89" i="9"/>
  <c r="D88" i="9"/>
  <c r="D83" i="11"/>
  <c r="D88" i="10"/>
  <c r="D86" i="10"/>
  <c r="D86" i="11"/>
  <c r="D89" i="11"/>
  <c r="D82" i="10"/>
  <c r="D87" i="10"/>
  <c r="D85" i="10"/>
  <c r="D83" i="10"/>
  <c r="D82" i="11"/>
  <c r="D88" i="11"/>
  <c r="D84" i="10"/>
  <c r="D87" i="11"/>
  <c r="D90" i="11"/>
  <c r="D91" i="9"/>
  <c r="D83" i="9"/>
  <c r="D87" i="9"/>
  <c r="D84" i="11"/>
  <c r="D91" i="11"/>
  <c r="D84" i="9"/>
  <c r="D86" i="9"/>
  <c r="D82" i="9"/>
  <c r="D90" i="9"/>
  <c r="D85" i="9"/>
  <c r="D85" i="11"/>
  <c r="D78" i="10"/>
  <c r="D76" i="11"/>
  <c r="D77" i="11"/>
  <c r="D78" i="11"/>
  <c r="D71" i="10"/>
  <c r="D72" i="10"/>
  <c r="D80" i="10"/>
  <c r="D72" i="11"/>
  <c r="D79" i="10"/>
  <c r="D79" i="16" s="1"/>
  <c r="D79" i="12" s="1"/>
  <c r="D75" i="10"/>
  <c r="D76" i="10"/>
  <c r="D78" i="9"/>
  <c r="D74" i="10"/>
  <c r="D73" i="10"/>
  <c r="D77" i="10"/>
  <c r="D77" i="9"/>
  <c r="D71" i="11"/>
  <c r="D75" i="11"/>
  <c r="D72" i="9"/>
  <c r="D74" i="9"/>
  <c r="D75" i="9"/>
  <c r="D73" i="11"/>
  <c r="D71" i="9"/>
  <c r="D73" i="9"/>
  <c r="D79" i="9"/>
  <c r="D80" i="11"/>
  <c r="D79" i="11"/>
  <c r="D80" i="9"/>
  <c r="D76" i="9"/>
  <c r="D74" i="11"/>
  <c r="D68" i="10"/>
  <c r="D68" i="16" s="1"/>
  <c r="D68" i="12" s="1"/>
  <c r="D66" i="11"/>
  <c r="D60" i="10"/>
  <c r="D61" i="10"/>
  <c r="D66" i="9"/>
  <c r="D61" i="11"/>
  <c r="D65" i="11"/>
  <c r="D69" i="10"/>
  <c r="D67" i="9"/>
  <c r="D63" i="10"/>
  <c r="D62" i="10"/>
  <c r="D65" i="10"/>
  <c r="D64" i="10"/>
  <c r="D67" i="11"/>
  <c r="D66" i="10"/>
  <c r="D67" i="10"/>
  <c r="D60" i="11"/>
  <c r="D68" i="11"/>
  <c r="D69" i="9"/>
  <c r="D68" i="9"/>
  <c r="D65" i="9"/>
  <c r="D64" i="9"/>
  <c r="D62" i="11"/>
  <c r="D61" i="9"/>
  <c r="D62" i="9"/>
  <c r="D69" i="11"/>
  <c r="D64" i="11"/>
  <c r="D63" i="9"/>
  <c r="D60" i="9"/>
  <c r="D63" i="11"/>
  <c r="D56" i="11"/>
  <c r="D49" i="11"/>
  <c r="D54" i="11"/>
  <c r="D55" i="11"/>
  <c r="D51" i="10"/>
  <c r="D52" i="10"/>
  <c r="D56" i="10"/>
  <c r="D53" i="10"/>
  <c r="D50" i="10"/>
  <c r="D55" i="9"/>
  <c r="D57" i="10"/>
  <c r="D57" i="16" s="1"/>
  <c r="D57" i="12" s="1"/>
  <c r="D58" i="10"/>
  <c r="D54" i="10"/>
  <c r="D55" i="10"/>
  <c r="D49" i="10"/>
  <c r="D56" i="9"/>
  <c r="D50" i="11"/>
  <c r="D58" i="11"/>
  <c r="D50" i="9"/>
  <c r="D49" i="9"/>
  <c r="D54" i="9"/>
  <c r="D51" i="11"/>
  <c r="D58" i="9"/>
  <c r="D52" i="9"/>
  <c r="D53" i="9"/>
  <c r="D51" i="9"/>
  <c r="D57" i="9"/>
  <c r="D53" i="11"/>
  <c r="D57" i="11"/>
  <c r="D52" i="11"/>
  <c r="D45" i="11"/>
  <c r="D44" i="10"/>
  <c r="D40" i="10"/>
  <c r="D41" i="10"/>
  <c r="D42" i="10"/>
  <c r="D38" i="10"/>
  <c r="D38" i="11"/>
  <c r="D46" i="10"/>
  <c r="D46" i="16" s="1"/>
  <c r="D46" i="12" s="1"/>
  <c r="D43" i="10"/>
  <c r="D44" i="9"/>
  <c r="D39" i="11"/>
  <c r="D43" i="11"/>
  <c r="D44" i="11"/>
  <c r="D39" i="10"/>
  <c r="D45" i="9"/>
  <c r="D47" i="10"/>
  <c r="D45" i="10"/>
  <c r="D38" i="9"/>
  <c r="D47" i="11"/>
  <c r="D40" i="9"/>
  <c r="D42" i="11"/>
  <c r="D39" i="9"/>
  <c r="D46" i="9"/>
  <c r="D47" i="9"/>
  <c r="D40" i="11"/>
  <c r="D46" i="11"/>
  <c r="D42" i="9"/>
  <c r="D41" i="9"/>
  <c r="D43" i="9"/>
  <c r="D41" i="11"/>
  <c r="D35" i="10"/>
  <c r="D35" i="16" s="1"/>
  <c r="D35" i="12" s="1"/>
  <c r="D33" i="11"/>
  <c r="D29" i="10"/>
  <c r="D34" i="10"/>
  <c r="D32" i="10"/>
  <c r="D33" i="9"/>
  <c r="D27" i="11"/>
  <c r="D32" i="11"/>
  <c r="D33" i="10"/>
  <c r="D36" i="10"/>
  <c r="D34" i="9"/>
  <c r="D28" i="11"/>
  <c r="D34" i="11"/>
  <c r="D31" i="10"/>
  <c r="D27" i="10"/>
  <c r="D28" i="10"/>
  <c r="D30" i="10"/>
  <c r="D29" i="11"/>
  <c r="D35" i="11"/>
  <c r="D31" i="11"/>
  <c r="D30" i="9"/>
  <c r="D31" i="9"/>
  <c r="D35" i="9"/>
  <c r="D29" i="9"/>
  <c r="D36" i="9"/>
  <c r="D36" i="11"/>
  <c r="D27" i="9"/>
  <c r="D28" i="9"/>
  <c r="D32" i="9"/>
  <c r="D30" i="11"/>
  <c r="D18" i="10"/>
  <c r="D19" i="10"/>
  <c r="D17" i="11"/>
  <c r="D21" i="11"/>
  <c r="D21" i="10"/>
  <c r="D25" i="10"/>
  <c r="D17" i="10"/>
  <c r="D24" i="10"/>
  <c r="D16" i="10"/>
  <c r="D20" i="10"/>
  <c r="D16" i="11"/>
  <c r="D18" i="11"/>
  <c r="D25" i="11"/>
  <c r="D20" i="9"/>
  <c r="D18" i="9"/>
  <c r="D21" i="9"/>
  <c r="D19" i="9"/>
  <c r="D17" i="9"/>
  <c r="D24" i="9"/>
  <c r="D20" i="11"/>
  <c r="D24" i="11"/>
  <c r="D25" i="9"/>
  <c r="D16" i="9"/>
  <c r="D19" i="11"/>
  <c r="D169" i="7"/>
  <c r="D11" i="11"/>
  <c r="D9" i="10"/>
  <c r="D12" i="9"/>
  <c r="D10" i="10"/>
  <c r="D7" i="10"/>
  <c r="D12" i="10"/>
  <c r="D6" i="10"/>
  <c r="D14" i="10"/>
  <c r="D11" i="9"/>
  <c r="D6" i="11"/>
  <c r="D12" i="11"/>
  <c r="D11" i="10"/>
  <c r="D5" i="10"/>
  <c r="D10" i="11"/>
  <c r="D13" i="10"/>
  <c r="D8" i="10"/>
  <c r="D5" i="11"/>
  <c r="D9" i="11"/>
  <c r="D9" i="9"/>
  <c r="D10" i="9"/>
  <c r="D7" i="11"/>
  <c r="D14" i="11"/>
  <c r="D14" i="9"/>
  <c r="D5" i="9"/>
  <c r="D7" i="9"/>
  <c r="D13" i="11"/>
  <c r="D6" i="9"/>
  <c r="D8" i="9"/>
  <c r="D13" i="9"/>
  <c r="D8" i="11"/>
  <c r="C145" i="10"/>
  <c r="C145" i="16" s="1"/>
  <c r="C145" i="12" s="1"/>
  <c r="C146" i="10"/>
  <c r="C138" i="10"/>
  <c r="C144" i="9"/>
  <c r="C143" i="9"/>
  <c r="C139" i="10"/>
  <c r="C142" i="11"/>
  <c r="C144" i="11"/>
  <c r="C142" i="10"/>
  <c r="C143" i="10"/>
  <c r="C144" i="10"/>
  <c r="C140" i="10"/>
  <c r="C141" i="10"/>
  <c r="C137" i="10"/>
  <c r="C138" i="11"/>
  <c r="C137" i="11"/>
  <c r="C143" i="11"/>
  <c r="C146" i="11"/>
  <c r="C145" i="11"/>
  <c r="C146" i="9"/>
  <c r="C141" i="9"/>
  <c r="C138" i="9"/>
  <c r="C145" i="9"/>
  <c r="C142" i="9"/>
  <c r="C137" i="9"/>
  <c r="C139" i="11"/>
  <c r="C141" i="11"/>
  <c r="C139" i="9"/>
  <c r="C140" i="9"/>
  <c r="C140" i="11"/>
  <c r="C90" i="10"/>
  <c r="C90" i="16" s="1"/>
  <c r="C90" i="12" s="1"/>
  <c r="C89" i="11"/>
  <c r="C88" i="10"/>
  <c r="C87" i="10"/>
  <c r="C85" i="10"/>
  <c r="C86" i="10"/>
  <c r="C91" i="10"/>
  <c r="C88" i="11"/>
  <c r="C89" i="9"/>
  <c r="C83" i="10"/>
  <c r="C82" i="10"/>
  <c r="C88" i="9"/>
  <c r="C89" i="10"/>
  <c r="C84" i="10"/>
  <c r="C83" i="11"/>
  <c r="C82" i="11"/>
  <c r="C87" i="11"/>
  <c r="C87" i="9"/>
  <c r="C86" i="11"/>
  <c r="C91" i="11"/>
  <c r="C90" i="11"/>
  <c r="C83" i="9"/>
  <c r="C84" i="11"/>
  <c r="C82" i="9"/>
  <c r="C85" i="9"/>
  <c r="C90" i="9"/>
  <c r="C91" i="9"/>
  <c r="C86" i="9"/>
  <c r="C84" i="9"/>
  <c r="C85" i="11"/>
  <c r="C69" i="10"/>
  <c r="C67" i="11"/>
  <c r="C66" i="10"/>
  <c r="C65" i="10"/>
  <c r="C60" i="10"/>
  <c r="C61" i="10"/>
  <c r="C65" i="11"/>
  <c r="C66" i="9"/>
  <c r="C60" i="11"/>
  <c r="C61" i="11"/>
  <c r="C68" i="10"/>
  <c r="C68" i="16" s="1"/>
  <c r="C68" i="12" s="1"/>
  <c r="C67" i="9"/>
  <c r="C62" i="10"/>
  <c r="C63" i="10"/>
  <c r="C67" i="10"/>
  <c r="C64" i="10"/>
  <c r="C66" i="11"/>
  <c r="C64" i="11"/>
  <c r="C64" i="9"/>
  <c r="C63" i="9"/>
  <c r="C65" i="9"/>
  <c r="C62" i="9"/>
  <c r="C62" i="11"/>
  <c r="C68" i="11"/>
  <c r="C69" i="9"/>
  <c r="C69" i="11"/>
  <c r="C68" i="9"/>
  <c r="C61" i="9"/>
  <c r="C60" i="9"/>
  <c r="C63" i="11"/>
  <c r="C33" i="10"/>
  <c r="C33" i="11"/>
  <c r="C34" i="11"/>
  <c r="C36" i="10"/>
  <c r="C31" i="10"/>
  <c r="C27" i="10"/>
  <c r="C28" i="11"/>
  <c r="C32" i="11"/>
  <c r="C29" i="11"/>
  <c r="C32" i="10"/>
  <c r="C34" i="10"/>
  <c r="C28" i="10"/>
  <c r="C34" i="9"/>
  <c r="C27" i="11"/>
  <c r="C35" i="10"/>
  <c r="C35" i="16" s="1"/>
  <c r="C35" i="12" s="1"/>
  <c r="C29" i="10"/>
  <c r="C30" i="10"/>
  <c r="C33" i="9"/>
  <c r="C36" i="11"/>
  <c r="C36" i="9"/>
  <c r="C29" i="9"/>
  <c r="C28" i="9"/>
  <c r="C35" i="9"/>
  <c r="C31" i="11"/>
  <c r="C35" i="11"/>
  <c r="C30" i="9"/>
  <c r="C27" i="9"/>
  <c r="C32" i="9"/>
  <c r="C31" i="9"/>
  <c r="C30" i="11"/>
  <c r="C169" i="7"/>
  <c r="C12" i="10"/>
  <c r="C6" i="10"/>
  <c r="C14" i="10"/>
  <c r="C7" i="10"/>
  <c r="C6" i="11"/>
  <c r="C8" i="10"/>
  <c r="C11" i="9"/>
  <c r="C5" i="11"/>
  <c r="C13" i="10"/>
  <c r="C12" i="11"/>
  <c r="C11" i="10"/>
  <c r="C10" i="10"/>
  <c r="C9" i="10"/>
  <c r="C5" i="10"/>
  <c r="C11" i="11"/>
  <c r="C12" i="9"/>
  <c r="C10" i="11"/>
  <c r="C13" i="9"/>
  <c r="C13" i="11"/>
  <c r="C9" i="9"/>
  <c r="C5" i="9"/>
  <c r="C7" i="9"/>
  <c r="C10" i="9"/>
  <c r="C7" i="11"/>
  <c r="C14" i="11"/>
  <c r="C14" i="9"/>
  <c r="C6" i="9"/>
  <c r="C9" i="11"/>
  <c r="C8" i="9"/>
  <c r="C8" i="11"/>
  <c r="C109" i="10"/>
  <c r="C105" i="10"/>
  <c r="C108" i="10"/>
  <c r="C104" i="10"/>
  <c r="C111" i="10"/>
  <c r="C110" i="11"/>
  <c r="C110" i="9"/>
  <c r="C104" i="11"/>
  <c r="C109" i="11"/>
  <c r="C111" i="9"/>
  <c r="C106" i="10"/>
  <c r="C107" i="10"/>
  <c r="C105" i="11"/>
  <c r="C112" i="10"/>
  <c r="C112" i="16" s="1"/>
  <c r="C112" i="12" s="1"/>
  <c r="C111" i="11"/>
  <c r="C113" i="10"/>
  <c r="C110" i="10"/>
  <c r="C112" i="11"/>
  <c r="C106" i="9"/>
  <c r="C109" i="9"/>
  <c r="C106" i="11"/>
  <c r="C113" i="11"/>
  <c r="C104" i="9"/>
  <c r="C113" i="9"/>
  <c r="C108" i="9"/>
  <c r="C107" i="9"/>
  <c r="C108" i="11"/>
  <c r="C105" i="9"/>
  <c r="C112" i="9"/>
  <c r="C107" i="11"/>
  <c r="C53" i="10"/>
  <c r="C50" i="10"/>
  <c r="C54" i="10"/>
  <c r="C55" i="10"/>
  <c r="C56" i="10"/>
  <c r="C49" i="10"/>
  <c r="C56" i="9"/>
  <c r="C57" i="10"/>
  <c r="C57" i="16" s="1"/>
  <c r="C57" i="12" s="1"/>
  <c r="C52" i="10"/>
  <c r="C50" i="11"/>
  <c r="C49" i="11"/>
  <c r="C58" i="10"/>
  <c r="C55" i="11"/>
  <c r="C55" i="9"/>
  <c r="C56" i="11"/>
  <c r="C51" i="10"/>
  <c r="C54" i="11"/>
  <c r="C51" i="9"/>
  <c r="C58" i="9"/>
  <c r="C52" i="9"/>
  <c r="C51" i="11"/>
  <c r="C57" i="9"/>
  <c r="C53" i="11"/>
  <c r="C53" i="9"/>
  <c r="C50" i="9"/>
  <c r="C54" i="9"/>
  <c r="C58" i="11"/>
  <c r="C57" i="11"/>
  <c r="C49" i="9"/>
  <c r="C52" i="11"/>
  <c r="C150" i="10"/>
  <c r="C155" i="10"/>
  <c r="C155" i="9"/>
  <c r="C152" i="10"/>
  <c r="C148" i="10"/>
  <c r="C154" i="11"/>
  <c r="C148" i="11"/>
  <c r="C154" i="10"/>
  <c r="C157" i="10"/>
  <c r="C149" i="10"/>
  <c r="C151" i="10"/>
  <c r="C156" i="10"/>
  <c r="C156" i="16" s="1"/>
  <c r="C156" i="12" s="1"/>
  <c r="C155" i="11"/>
  <c r="C153" i="10"/>
  <c r="C154" i="9"/>
  <c r="C149" i="11"/>
  <c r="C153" i="11"/>
  <c r="C152" i="11"/>
  <c r="C156" i="11"/>
  <c r="C156" i="9"/>
  <c r="C153" i="9"/>
  <c r="C157" i="11"/>
  <c r="C152" i="9"/>
  <c r="C149" i="9"/>
  <c r="C148" i="9"/>
  <c r="C157" i="9"/>
  <c r="C151" i="9"/>
  <c r="C150" i="11"/>
  <c r="C150" i="9"/>
  <c r="C151" i="11"/>
  <c r="C134" i="10"/>
  <c r="C134" i="16" s="1"/>
  <c r="C134" i="12" s="1"/>
  <c r="C126" i="10"/>
  <c r="C128" i="10"/>
  <c r="C135" i="10"/>
  <c r="C131" i="10"/>
  <c r="C129" i="10"/>
  <c r="C130" i="10"/>
  <c r="C127" i="11"/>
  <c r="C127" i="10"/>
  <c r="C126" i="11"/>
  <c r="C131" i="11"/>
  <c r="C128" i="11"/>
  <c r="C134" i="11"/>
  <c r="C129" i="9"/>
  <c r="C134" i="9"/>
  <c r="C127" i="9"/>
  <c r="C126" i="9"/>
  <c r="C128" i="9"/>
  <c r="C130" i="11"/>
  <c r="C135" i="11"/>
  <c r="C135" i="9"/>
  <c r="C130" i="9"/>
  <c r="C131" i="9"/>
  <c r="C129" i="11"/>
  <c r="C101" i="10"/>
  <c r="C101" i="16" s="1"/>
  <c r="C101" i="12" s="1"/>
  <c r="C98" i="10"/>
  <c r="C93" i="10"/>
  <c r="C94" i="11"/>
  <c r="C95" i="10"/>
  <c r="C94" i="10"/>
  <c r="C96" i="10"/>
  <c r="C93" i="11"/>
  <c r="C97" i="10"/>
  <c r="C102" i="10"/>
  <c r="C98" i="11"/>
  <c r="C95" i="11"/>
  <c r="C97" i="11"/>
  <c r="C94" i="9"/>
  <c r="C95" i="9"/>
  <c r="C101" i="11"/>
  <c r="C102" i="11"/>
  <c r="C97" i="9"/>
  <c r="C102" i="9"/>
  <c r="C101" i="9"/>
  <c r="C98" i="9"/>
  <c r="C96" i="9"/>
  <c r="C93" i="9"/>
  <c r="C96" i="11"/>
  <c r="C79" i="10"/>
  <c r="C79" i="16" s="1"/>
  <c r="C79" i="12" s="1"/>
  <c r="C78" i="10"/>
  <c r="C72" i="11"/>
  <c r="C77" i="11"/>
  <c r="C76" i="10"/>
  <c r="C80" i="10"/>
  <c r="C77" i="9"/>
  <c r="C78" i="11"/>
  <c r="C77" i="10"/>
  <c r="C71" i="10"/>
  <c r="C74" i="10"/>
  <c r="C73" i="10"/>
  <c r="C75" i="10"/>
  <c r="C72" i="10"/>
  <c r="C78" i="9"/>
  <c r="C71" i="11"/>
  <c r="C76" i="11"/>
  <c r="C79" i="11"/>
  <c r="C74" i="9"/>
  <c r="C75" i="11"/>
  <c r="C72" i="9"/>
  <c r="C73" i="9"/>
  <c r="C73" i="11"/>
  <c r="C79" i="9"/>
  <c r="C76" i="9"/>
  <c r="C80" i="9"/>
  <c r="C80" i="11"/>
  <c r="C75" i="9"/>
  <c r="C71" i="9"/>
  <c r="C74" i="11"/>
  <c r="C43" i="10"/>
  <c r="C39" i="11"/>
  <c r="C38" i="11"/>
  <c r="C46" i="10"/>
  <c r="C46" i="16" s="1"/>
  <c r="C46" i="12" s="1"/>
  <c r="C45" i="11"/>
  <c r="C40" i="10"/>
  <c r="C42" i="10"/>
  <c r="C47" i="10"/>
  <c r="C41" i="10"/>
  <c r="C44" i="10"/>
  <c r="C39" i="10"/>
  <c r="C44" i="11"/>
  <c r="C44" i="9"/>
  <c r="C43" i="11"/>
  <c r="C45" i="10"/>
  <c r="C38" i="10"/>
  <c r="C45" i="9"/>
  <c r="C43" i="9"/>
  <c r="C47" i="11"/>
  <c r="C42" i="9"/>
  <c r="C46" i="9"/>
  <c r="C38" i="9"/>
  <c r="C40" i="9"/>
  <c r="C47" i="9"/>
  <c r="C41" i="9"/>
  <c r="C46" i="11"/>
  <c r="C39" i="9"/>
  <c r="C40" i="11"/>
  <c r="C42" i="11"/>
  <c r="C41" i="11"/>
  <c r="C20" i="10"/>
  <c r="C16" i="10"/>
  <c r="C19" i="10"/>
  <c r="C16" i="11"/>
  <c r="C21" i="11"/>
  <c r="C24" i="10"/>
  <c r="C21" i="10"/>
  <c r="C25" i="10"/>
  <c r="C17" i="11"/>
  <c r="C18" i="10"/>
  <c r="C17" i="10"/>
  <c r="C24" i="9"/>
  <c r="C18" i="11"/>
  <c r="C21" i="9"/>
  <c r="C25" i="9"/>
  <c r="C25" i="11"/>
  <c r="C20" i="11"/>
  <c r="C24" i="11"/>
  <c r="C20" i="9"/>
  <c r="C19" i="9"/>
  <c r="C18" i="9"/>
  <c r="C17" i="9"/>
  <c r="C16" i="9"/>
  <c r="C19" i="11"/>
  <c r="C115" i="10"/>
  <c r="C122" i="9"/>
  <c r="C119" i="10"/>
  <c r="C122" i="10"/>
  <c r="C116" i="10"/>
  <c r="C121" i="9"/>
  <c r="C120" i="11"/>
  <c r="C123" i="10"/>
  <c r="C123" i="16" s="1"/>
  <c r="C123" i="12" s="1"/>
  <c r="C120" i="10"/>
  <c r="C118" i="10"/>
  <c r="C121" i="11"/>
  <c r="C116" i="11"/>
  <c r="C115" i="11"/>
  <c r="C122" i="11"/>
  <c r="C117" i="10"/>
  <c r="C121" i="10"/>
  <c r="C124" i="10"/>
  <c r="C117" i="11"/>
  <c r="C124" i="11"/>
  <c r="C115" i="9"/>
  <c r="C124" i="9"/>
  <c r="C118" i="9"/>
  <c r="C123" i="9"/>
  <c r="C119" i="11"/>
  <c r="C123" i="11"/>
  <c r="C119" i="9"/>
  <c r="C116" i="9"/>
  <c r="C117" i="9"/>
  <c r="C120" i="9"/>
  <c r="C118" i="11"/>
  <c r="H110" i="10"/>
  <c r="H111" i="10"/>
  <c r="H108" i="10"/>
  <c r="H105" i="10"/>
  <c r="H109" i="11"/>
  <c r="H109" i="10"/>
  <c r="H113" i="10"/>
  <c r="H112" i="10"/>
  <c r="H112" i="16" s="1"/>
  <c r="H112" i="12" s="1"/>
  <c r="H110" i="11"/>
  <c r="H111" i="9"/>
  <c r="H105" i="11"/>
  <c r="H111" i="11"/>
  <c r="H106" i="10"/>
  <c r="H104" i="10"/>
  <c r="H107" i="10"/>
  <c r="H110" i="9"/>
  <c r="H104" i="11"/>
  <c r="H108" i="11"/>
  <c r="H108" i="9"/>
  <c r="H107" i="9"/>
  <c r="H109" i="9"/>
  <c r="H104" i="9"/>
  <c r="H112" i="9"/>
  <c r="H106" i="11"/>
  <c r="H113" i="11"/>
  <c r="H106" i="9"/>
  <c r="H112" i="11"/>
  <c r="H105" i="9"/>
  <c r="H113" i="9"/>
  <c r="H107" i="11"/>
  <c r="H66" i="11"/>
  <c r="H61" i="10"/>
  <c r="H60" i="10"/>
  <c r="H69" i="10"/>
  <c r="H64" i="10"/>
  <c r="H61" i="11"/>
  <c r="H63" i="10"/>
  <c r="H65" i="10"/>
  <c r="H68" i="10"/>
  <c r="H68" i="16" s="1"/>
  <c r="H68" i="12" s="1"/>
  <c r="H67" i="11"/>
  <c r="H67" i="10"/>
  <c r="H66" i="10"/>
  <c r="H62" i="10"/>
  <c r="H66" i="9"/>
  <c r="H67" i="9"/>
  <c r="H60" i="11"/>
  <c r="H65" i="11"/>
  <c r="H62" i="11"/>
  <c r="H64" i="11"/>
  <c r="H69" i="9"/>
  <c r="H62" i="9"/>
  <c r="H68" i="9"/>
  <c r="H68" i="11"/>
  <c r="H61" i="9"/>
  <c r="H63" i="9"/>
  <c r="H69" i="11"/>
  <c r="H60" i="9"/>
  <c r="H65" i="9"/>
  <c r="H64" i="9"/>
  <c r="H63" i="11"/>
  <c r="H46" i="10"/>
  <c r="H46" i="16" s="1"/>
  <c r="H46" i="12" s="1"/>
  <c r="H43" i="10"/>
  <c r="H41" i="10"/>
  <c r="H39" i="11"/>
  <c r="H38" i="10"/>
  <c r="H45" i="11"/>
  <c r="H44" i="11"/>
  <c r="H44" i="10"/>
  <c r="H39" i="10"/>
  <c r="H45" i="9"/>
  <c r="H43" i="11"/>
  <c r="H42" i="10"/>
  <c r="H40" i="10"/>
  <c r="H45" i="10"/>
  <c r="H47" i="10"/>
  <c r="H44" i="9"/>
  <c r="H38" i="11"/>
  <c r="H39" i="9"/>
  <c r="H43" i="9"/>
  <c r="H40" i="9"/>
  <c r="H46" i="9"/>
  <c r="H47" i="9"/>
  <c r="H42" i="11"/>
  <c r="H42" i="9"/>
  <c r="H41" i="9"/>
  <c r="H47" i="11"/>
  <c r="H46" i="11"/>
  <c r="H38" i="9"/>
  <c r="H40" i="11"/>
  <c r="H41" i="11"/>
  <c r="H142" i="10"/>
  <c r="H137" i="11"/>
  <c r="H137" i="10"/>
  <c r="H145" i="10"/>
  <c r="H145" i="16" s="1"/>
  <c r="H145" i="12" s="1"/>
  <c r="H143" i="11"/>
  <c r="H144" i="11"/>
  <c r="H146" i="10"/>
  <c r="H139" i="10"/>
  <c r="H144" i="10"/>
  <c r="H138" i="10"/>
  <c r="H141" i="10"/>
  <c r="H143" i="9"/>
  <c r="H142" i="11"/>
  <c r="H143" i="10"/>
  <c r="H140" i="10"/>
  <c r="H144" i="9"/>
  <c r="H138" i="11"/>
  <c r="H139" i="9"/>
  <c r="H139" i="11"/>
  <c r="H141" i="11"/>
  <c r="H141" i="9"/>
  <c r="H140" i="9"/>
  <c r="H145" i="9"/>
  <c r="H146" i="11"/>
  <c r="H146" i="9"/>
  <c r="H137" i="9"/>
  <c r="H142" i="9"/>
  <c r="H145" i="11"/>
  <c r="H138" i="9"/>
  <c r="H140" i="11"/>
  <c r="H94" i="10"/>
  <c r="H98" i="11"/>
  <c r="H93" i="10"/>
  <c r="H102" i="10"/>
  <c r="H101" i="10"/>
  <c r="H101" i="16" s="1"/>
  <c r="H101" i="12" s="1"/>
  <c r="H96" i="10"/>
  <c r="H95" i="10"/>
  <c r="H98" i="10"/>
  <c r="H97" i="10"/>
  <c r="H93" i="11"/>
  <c r="H94" i="11"/>
  <c r="H94" i="9"/>
  <c r="H102" i="11"/>
  <c r="H101" i="11"/>
  <c r="H102" i="9"/>
  <c r="H97" i="9"/>
  <c r="H95" i="9"/>
  <c r="H101" i="9"/>
  <c r="H96" i="9"/>
  <c r="H95" i="11"/>
  <c r="H97" i="11"/>
  <c r="H93" i="9"/>
  <c r="H98" i="9"/>
  <c r="H96" i="11"/>
  <c r="H88" i="11"/>
  <c r="H84" i="10"/>
  <c r="H85" i="10"/>
  <c r="H90" i="10"/>
  <c r="H90" i="16" s="1"/>
  <c r="H90" i="12" s="1"/>
  <c r="H89" i="10"/>
  <c r="H87" i="11"/>
  <c r="H89" i="11"/>
  <c r="H87" i="10"/>
  <c r="H88" i="10"/>
  <c r="H82" i="10"/>
  <c r="H86" i="10"/>
  <c r="H91" i="10"/>
  <c r="H83" i="10"/>
  <c r="H89" i="9"/>
  <c r="H83" i="11"/>
  <c r="H82" i="11"/>
  <c r="H88" i="9"/>
  <c r="H91" i="11"/>
  <c r="H86" i="9"/>
  <c r="H87" i="9"/>
  <c r="H84" i="11"/>
  <c r="H90" i="11"/>
  <c r="H82" i="9"/>
  <c r="H85" i="9"/>
  <c r="H86" i="11"/>
  <c r="H84" i="9"/>
  <c r="H83" i="9"/>
  <c r="H91" i="9"/>
  <c r="H90" i="9"/>
  <c r="H85" i="11"/>
  <c r="H32" i="10"/>
  <c r="H36" i="10"/>
  <c r="H33" i="9"/>
  <c r="H34" i="9"/>
  <c r="H28" i="11"/>
  <c r="H33" i="11"/>
  <c r="H33" i="10"/>
  <c r="H28" i="10"/>
  <c r="H27" i="11"/>
  <c r="H35" i="10"/>
  <c r="H35" i="16" s="1"/>
  <c r="H35" i="12" s="1"/>
  <c r="H34" i="11"/>
  <c r="H29" i="10"/>
  <c r="H31" i="10"/>
  <c r="H32" i="11"/>
  <c r="H30" i="10"/>
  <c r="H34" i="10"/>
  <c r="H27" i="10"/>
  <c r="H31" i="11"/>
  <c r="H32" i="9"/>
  <c r="H35" i="11"/>
  <c r="H31" i="9"/>
  <c r="H27" i="9"/>
  <c r="H29" i="11"/>
  <c r="H36" i="11"/>
  <c r="H28" i="9"/>
  <c r="H29" i="9"/>
  <c r="H30" i="9"/>
  <c r="H36" i="9"/>
  <c r="H35" i="9"/>
  <c r="H30" i="11"/>
  <c r="H124" i="10"/>
  <c r="H118" i="10"/>
  <c r="H116" i="11"/>
  <c r="H119" i="10"/>
  <c r="H122" i="10"/>
  <c r="H121" i="11"/>
  <c r="H121" i="10"/>
  <c r="H117" i="10"/>
  <c r="H122" i="9"/>
  <c r="H115" i="11"/>
  <c r="H120" i="11"/>
  <c r="H121" i="9"/>
  <c r="H123" i="10"/>
  <c r="H123" i="16" s="1"/>
  <c r="H123" i="12" s="1"/>
  <c r="H122" i="11"/>
  <c r="H120" i="10"/>
  <c r="H116" i="10"/>
  <c r="H115" i="10"/>
  <c r="H117" i="11"/>
  <c r="H119" i="11"/>
  <c r="H119" i="9"/>
  <c r="H118" i="9"/>
  <c r="H117" i="9"/>
  <c r="H124" i="11"/>
  <c r="H116" i="9"/>
  <c r="H120" i="9"/>
  <c r="H123" i="9"/>
  <c r="H123" i="11"/>
  <c r="H124" i="9"/>
  <c r="H115" i="9"/>
  <c r="H118" i="11"/>
  <c r="H79" i="10"/>
  <c r="H79" i="16" s="1"/>
  <c r="H79" i="12" s="1"/>
  <c r="H78" i="11"/>
  <c r="H76" i="10"/>
  <c r="H78" i="10"/>
  <c r="H78" i="9"/>
  <c r="H77" i="9"/>
  <c r="H77" i="11"/>
  <c r="H80" i="10"/>
  <c r="H73" i="10"/>
  <c r="H72" i="10"/>
  <c r="H75" i="10"/>
  <c r="H71" i="11"/>
  <c r="H74" i="10"/>
  <c r="H71" i="10"/>
  <c r="H77" i="10"/>
  <c r="H72" i="11"/>
  <c r="H76" i="11"/>
  <c r="H79" i="11"/>
  <c r="H76" i="9"/>
  <c r="H79" i="9"/>
  <c r="H80" i="11"/>
  <c r="H73" i="9"/>
  <c r="H71" i="9"/>
  <c r="H75" i="9"/>
  <c r="H80" i="9"/>
  <c r="H74" i="9"/>
  <c r="H73" i="11"/>
  <c r="H75" i="11"/>
  <c r="H72" i="9"/>
  <c r="H74" i="11"/>
  <c r="H169" i="7"/>
  <c r="H14" i="10"/>
  <c r="H11" i="9"/>
  <c r="H12" i="11"/>
  <c r="H7" i="10"/>
  <c r="H11" i="10"/>
  <c r="H10" i="10"/>
  <c r="H6" i="10"/>
  <c r="H5" i="10"/>
  <c r="H9" i="10"/>
  <c r="H12" i="10"/>
  <c r="H12" i="9"/>
  <c r="H6" i="11"/>
  <c r="H5" i="11"/>
  <c r="H10" i="11"/>
  <c r="H13" i="10"/>
  <c r="H11" i="11"/>
  <c r="H8" i="10"/>
  <c r="H7" i="11"/>
  <c r="H13" i="11"/>
  <c r="H8" i="9"/>
  <c r="H9" i="9"/>
  <c r="H5" i="9"/>
  <c r="H14" i="9"/>
  <c r="H10" i="9"/>
  <c r="H7" i="9"/>
  <c r="H13" i="9"/>
  <c r="H14" i="11"/>
  <c r="H9" i="11"/>
  <c r="H6" i="9"/>
  <c r="H8" i="11"/>
  <c r="H150" i="10"/>
  <c r="H154" i="10"/>
  <c r="H149" i="10"/>
  <c r="H152" i="10"/>
  <c r="H156" i="10"/>
  <c r="H156" i="16" s="1"/>
  <c r="H156" i="12" s="1"/>
  <c r="H155" i="10"/>
  <c r="H157" i="10"/>
  <c r="H148" i="10"/>
  <c r="H154" i="11"/>
  <c r="H151" i="10"/>
  <c r="H153" i="11"/>
  <c r="H155" i="11"/>
  <c r="H153" i="10"/>
  <c r="H154" i="9"/>
  <c r="H155" i="9"/>
  <c r="H149" i="11"/>
  <c r="H148" i="11"/>
  <c r="H152" i="9"/>
  <c r="H150" i="9"/>
  <c r="H156" i="9"/>
  <c r="H151" i="9"/>
  <c r="H149" i="9"/>
  <c r="H157" i="11"/>
  <c r="H150" i="11"/>
  <c r="H152" i="11"/>
  <c r="H156" i="11"/>
  <c r="H148" i="9"/>
  <c r="H153" i="9"/>
  <c r="H157" i="9"/>
  <c r="H151" i="11"/>
  <c r="H130" i="10"/>
  <c r="H129" i="10"/>
  <c r="H126" i="11"/>
  <c r="H134" i="10"/>
  <c r="H134" i="16" s="1"/>
  <c r="H134" i="12" s="1"/>
  <c r="H127" i="10"/>
  <c r="H131" i="10"/>
  <c r="H128" i="10"/>
  <c r="H126" i="10"/>
  <c r="H135" i="10"/>
  <c r="H131" i="11"/>
  <c r="H127" i="11"/>
  <c r="H135" i="11"/>
  <c r="H129" i="9"/>
  <c r="H130" i="11"/>
  <c r="H134" i="9"/>
  <c r="H130" i="9"/>
  <c r="H131" i="9"/>
  <c r="H128" i="11"/>
  <c r="H134" i="11"/>
  <c r="H135" i="9"/>
  <c r="H127" i="9"/>
  <c r="H126" i="9"/>
  <c r="H128" i="9"/>
  <c r="H129" i="11"/>
  <c r="H52" i="10"/>
  <c r="H51" i="10"/>
  <c r="H55" i="10"/>
  <c r="H50" i="10"/>
  <c r="H56" i="10"/>
  <c r="H56" i="9"/>
  <c r="H50" i="11"/>
  <c r="H57" i="10"/>
  <c r="H57" i="16" s="1"/>
  <c r="H57" i="12" s="1"/>
  <c r="H53" i="10"/>
  <c r="H58" i="11"/>
  <c r="H55" i="11"/>
  <c r="H56" i="11"/>
  <c r="H49" i="10"/>
  <c r="H54" i="10"/>
  <c r="H58" i="10"/>
  <c r="H49" i="11"/>
  <c r="H54" i="11"/>
  <c r="H55" i="9"/>
  <c r="H53" i="9"/>
  <c r="H54" i="9"/>
  <c r="H58" i="9"/>
  <c r="H52" i="9"/>
  <c r="H51" i="11"/>
  <c r="H57" i="11"/>
  <c r="H53" i="11"/>
  <c r="H49" i="9"/>
  <c r="H51" i="9"/>
  <c r="H50" i="9"/>
  <c r="H57" i="9"/>
  <c r="H52" i="11"/>
  <c r="H16" i="10"/>
  <c r="H17" i="10"/>
  <c r="H16" i="11"/>
  <c r="H21" i="11"/>
  <c r="H24" i="10"/>
  <c r="H18" i="10"/>
  <c r="H19" i="10"/>
  <c r="H21" i="10"/>
  <c r="H20" i="10"/>
  <c r="H17" i="11"/>
  <c r="H25" i="10"/>
  <c r="H18" i="11"/>
  <c r="H24" i="11"/>
  <c r="H20" i="9"/>
  <c r="H17" i="9"/>
  <c r="H19" i="9"/>
  <c r="H25" i="9"/>
  <c r="H18" i="9"/>
  <c r="H21" i="9"/>
  <c r="H16" i="9"/>
  <c r="H20" i="11"/>
  <c r="H25" i="11"/>
  <c r="H24" i="9"/>
  <c r="H19" i="11"/>
  <c r="K165" i="11" l="1"/>
  <c r="K165" i="17" s="1"/>
  <c r="K132" i="17" s="1"/>
  <c r="J165" i="9"/>
  <c r="J165" i="18" s="1"/>
  <c r="J165" i="10"/>
  <c r="J165" i="16" s="1"/>
  <c r="I165" i="11"/>
  <c r="I165" i="17" s="1"/>
  <c r="J165" i="11"/>
  <c r="J165" i="17" s="1"/>
  <c r="K165" i="9"/>
  <c r="K165" i="18" s="1"/>
  <c r="I165" i="9"/>
  <c r="I165" i="18" s="1"/>
  <c r="K165" i="10"/>
  <c r="K165" i="16" s="1"/>
  <c r="I165" i="10"/>
  <c r="I165" i="16" s="1"/>
  <c r="I132" i="16" s="1"/>
  <c r="J100" i="4"/>
  <c r="K100" i="4" s="1"/>
  <c r="I159" i="3"/>
  <c r="I181" i="9" s="1"/>
  <c r="J5" i="3"/>
  <c r="J22" i="3"/>
  <c r="I187" i="9"/>
  <c r="J7" i="3"/>
  <c r="I161" i="3"/>
  <c r="I183" i="9" s="1"/>
  <c r="I164" i="4"/>
  <c r="I186" i="10" s="1"/>
  <c r="J10" i="4"/>
  <c r="I168" i="3"/>
  <c r="I190" i="9" s="1"/>
  <c r="J14" i="3"/>
  <c r="J12" i="3"/>
  <c r="I188" i="9"/>
  <c r="I166" i="3"/>
  <c r="I167" i="3"/>
  <c r="I189" i="9" s="1"/>
  <c r="J13" i="3"/>
  <c r="J100" i="3"/>
  <c r="I187" i="10"/>
  <c r="J22" i="4"/>
  <c r="I162" i="4"/>
  <c r="I184" i="10" s="1"/>
  <c r="J8" i="4"/>
  <c r="I168" i="4"/>
  <c r="I190" i="10" s="1"/>
  <c r="J14" i="4"/>
  <c r="J56" i="3"/>
  <c r="J23" i="3"/>
  <c r="I160" i="4"/>
  <c r="I182" i="10" s="1"/>
  <c r="J6" i="4"/>
  <c r="I163" i="4"/>
  <c r="I185" i="10" s="1"/>
  <c r="J9" i="4"/>
  <c r="I167" i="4"/>
  <c r="I189" i="10" s="1"/>
  <c r="J13" i="4"/>
  <c r="I159" i="4"/>
  <c r="I181" i="10" s="1"/>
  <c r="J5" i="4"/>
  <c r="J11" i="3"/>
  <c r="I165" i="3"/>
  <c r="J99" i="3"/>
  <c r="I160" i="3"/>
  <c r="I182" i="9" s="1"/>
  <c r="J6" i="3"/>
  <c r="J7" i="4"/>
  <c r="I161" i="4"/>
  <c r="I183" i="10" s="1"/>
  <c r="J23" i="4"/>
  <c r="I162" i="3"/>
  <c r="I184" i="9" s="1"/>
  <c r="J8" i="3"/>
  <c r="J12" i="4"/>
  <c r="I188" i="10"/>
  <c r="I166" i="4"/>
  <c r="I163" i="3"/>
  <c r="I185" i="9" s="1"/>
  <c r="J9" i="3"/>
  <c r="I164" i="3"/>
  <c r="I186" i="9" s="1"/>
  <c r="J10" i="3"/>
  <c r="J11" i="4"/>
  <c r="I165" i="4"/>
  <c r="J99" i="4"/>
  <c r="J22" i="5"/>
  <c r="I187" i="11"/>
  <c r="J5" i="5"/>
  <c r="I159" i="5"/>
  <c r="I181" i="11" s="1"/>
  <c r="I167" i="5"/>
  <c r="I189" i="11" s="1"/>
  <c r="J13" i="5"/>
  <c r="J23" i="5"/>
  <c r="J14" i="5"/>
  <c r="I168" i="5"/>
  <c r="I190" i="11" s="1"/>
  <c r="I161" i="5"/>
  <c r="I183" i="11" s="1"/>
  <c r="J7" i="5"/>
  <c r="J6" i="5"/>
  <c r="I160" i="5"/>
  <c r="I182" i="11" s="1"/>
  <c r="J10" i="5"/>
  <c r="I164" i="5"/>
  <c r="I186" i="11" s="1"/>
  <c r="I162" i="5"/>
  <c r="I184" i="11" s="1"/>
  <c r="J8" i="5"/>
  <c r="J99" i="5"/>
  <c r="I163" i="5"/>
  <c r="I185" i="11" s="1"/>
  <c r="J9" i="5"/>
  <c r="J12" i="5"/>
  <c r="I166" i="5"/>
  <c r="I188" i="11"/>
  <c r="J11" i="5"/>
  <c r="I165" i="5"/>
  <c r="J100" i="5"/>
  <c r="D162" i="11"/>
  <c r="D167" i="11"/>
  <c r="D168" i="11"/>
  <c r="D163" i="11"/>
  <c r="D164" i="11"/>
  <c r="D160" i="11"/>
  <c r="D166" i="10"/>
  <c r="D166" i="16" s="1"/>
  <c r="O177" i="10" s="1"/>
  <c r="D163" i="10"/>
  <c r="E161" i="11"/>
  <c r="E163" i="11"/>
  <c r="E161" i="9"/>
  <c r="E162" i="10"/>
  <c r="E163" i="10"/>
  <c r="E160" i="11"/>
  <c r="D167" i="9"/>
  <c r="D161" i="9"/>
  <c r="D161" i="11"/>
  <c r="D159" i="11"/>
  <c r="E167" i="9"/>
  <c r="E159" i="9"/>
  <c r="E167" i="11"/>
  <c r="E159" i="10"/>
  <c r="E161" i="10"/>
  <c r="E166" i="9"/>
  <c r="E166" i="18" s="1"/>
  <c r="P177" i="9" s="1"/>
  <c r="D162" i="9"/>
  <c r="D159" i="9"/>
  <c r="D164" i="9"/>
  <c r="D162" i="10"/>
  <c r="D168" i="10"/>
  <c r="D164" i="10"/>
  <c r="E163" i="9"/>
  <c r="E168" i="9"/>
  <c r="E164" i="9"/>
  <c r="E164" i="10"/>
  <c r="E168" i="10"/>
  <c r="E166" i="11"/>
  <c r="E166" i="17" s="1"/>
  <c r="P177" i="11" s="1"/>
  <c r="D160" i="9"/>
  <c r="D168" i="9"/>
  <c r="D163" i="9"/>
  <c r="D166" i="11"/>
  <c r="D166" i="17" s="1"/>
  <c r="O177" i="11" s="1"/>
  <c r="D160" i="10"/>
  <c r="D166" i="9"/>
  <c r="D166" i="18" s="1"/>
  <c r="O177" i="9" s="1"/>
  <c r="E162" i="11"/>
  <c r="E168" i="11"/>
  <c r="E160" i="9"/>
  <c r="E162" i="9"/>
  <c r="E159" i="11"/>
  <c r="E164" i="11"/>
  <c r="E166" i="10"/>
  <c r="E166" i="16" s="1"/>
  <c r="G160" i="9"/>
  <c r="G159" i="9"/>
  <c r="G162" i="9"/>
  <c r="G166" i="10"/>
  <c r="G166" i="16" s="1"/>
  <c r="G160" i="10"/>
  <c r="G159" i="11"/>
  <c r="G168" i="10"/>
  <c r="D159" i="10"/>
  <c r="D161" i="10"/>
  <c r="G162" i="11"/>
  <c r="G163" i="9"/>
  <c r="G163" i="11"/>
  <c r="G168" i="11"/>
  <c r="G167" i="10"/>
  <c r="G13" i="16"/>
  <c r="G13" i="12" s="1"/>
  <c r="G162" i="10"/>
  <c r="G166" i="9"/>
  <c r="G166" i="18" s="1"/>
  <c r="G164" i="10"/>
  <c r="G161" i="11"/>
  <c r="G167" i="11"/>
  <c r="G164" i="9"/>
  <c r="G160" i="11"/>
  <c r="G161" i="10"/>
  <c r="G161" i="9"/>
  <c r="G168" i="9"/>
  <c r="G167" i="9"/>
  <c r="G164" i="11"/>
  <c r="G163" i="10"/>
  <c r="G166" i="11"/>
  <c r="G159" i="10"/>
  <c r="E160" i="10"/>
  <c r="F160" i="9"/>
  <c r="F163" i="9"/>
  <c r="F163" i="11"/>
  <c r="F159" i="10"/>
  <c r="F162" i="10"/>
  <c r="F160" i="11"/>
  <c r="F161" i="10"/>
  <c r="F162" i="11"/>
  <c r="F168" i="9"/>
  <c r="F164" i="9"/>
  <c r="F167" i="9"/>
  <c r="F166" i="11"/>
  <c r="F167" i="10"/>
  <c r="F13" i="16"/>
  <c r="F13" i="12" s="1"/>
  <c r="F161" i="11"/>
  <c r="F168" i="11"/>
  <c r="F161" i="9"/>
  <c r="F163" i="10"/>
  <c r="F164" i="10"/>
  <c r="F164" i="11"/>
  <c r="F160" i="10"/>
  <c r="F159" i="9"/>
  <c r="F162" i="9"/>
  <c r="F167" i="11"/>
  <c r="F166" i="10"/>
  <c r="F166" i="16" s="1"/>
  <c r="F168" i="10"/>
  <c r="F159" i="11"/>
  <c r="F166" i="9"/>
  <c r="F166" i="18" s="1"/>
  <c r="E167" i="10"/>
  <c r="E13" i="16"/>
  <c r="E13" i="12" s="1"/>
  <c r="D167" i="10"/>
  <c r="D13" i="16"/>
  <c r="D13" i="12" s="1"/>
  <c r="C160" i="9"/>
  <c r="C164" i="9"/>
  <c r="C167" i="11"/>
  <c r="C168" i="10"/>
  <c r="C162" i="11"/>
  <c r="C168" i="9"/>
  <c r="C161" i="9"/>
  <c r="C167" i="9"/>
  <c r="C159" i="10"/>
  <c r="C166" i="11"/>
  <c r="C162" i="10"/>
  <c r="C160" i="10"/>
  <c r="C162" i="9"/>
  <c r="C168" i="11"/>
  <c r="C159" i="9"/>
  <c r="C164" i="11"/>
  <c r="C163" i="10"/>
  <c r="C167" i="10"/>
  <c r="C13" i="16"/>
  <c r="C13" i="12" s="1"/>
  <c r="C160" i="11"/>
  <c r="C166" i="10"/>
  <c r="C166" i="16" s="1"/>
  <c r="C163" i="11"/>
  <c r="C161" i="11"/>
  <c r="C163" i="9"/>
  <c r="C166" i="9"/>
  <c r="C166" i="18" s="1"/>
  <c r="C164" i="10"/>
  <c r="C159" i="11"/>
  <c r="C161" i="10"/>
  <c r="H168" i="11"/>
  <c r="H168" i="9"/>
  <c r="H168" i="18" s="1"/>
  <c r="H167" i="11"/>
  <c r="H167" i="10"/>
  <c r="S178" i="10" s="1"/>
  <c r="H13" i="16"/>
  <c r="H13" i="12" s="1"/>
  <c r="H166" i="9"/>
  <c r="H166" i="18" s="1"/>
  <c r="H160" i="10"/>
  <c r="H160" i="16" s="1"/>
  <c r="H166" i="11"/>
  <c r="H162" i="11"/>
  <c r="H167" i="9"/>
  <c r="H167" i="18" s="1"/>
  <c r="H159" i="9"/>
  <c r="H159" i="18" s="1"/>
  <c r="H161" i="11"/>
  <c r="H164" i="11"/>
  <c r="H166" i="10"/>
  <c r="H166" i="16" s="1"/>
  <c r="H164" i="10"/>
  <c r="H164" i="16" s="1"/>
  <c r="H160" i="9"/>
  <c r="H160" i="18" s="1"/>
  <c r="H161" i="9"/>
  <c r="H161" i="18" s="1"/>
  <c r="H163" i="9"/>
  <c r="H163" i="18" s="1"/>
  <c r="H162" i="10"/>
  <c r="H162" i="16" s="1"/>
  <c r="H159" i="11"/>
  <c r="H163" i="10"/>
  <c r="H163" i="16" s="1"/>
  <c r="H168" i="10"/>
  <c r="H165" i="17"/>
  <c r="H44" i="17" s="1"/>
  <c r="H44" i="13" s="1"/>
  <c r="H165" i="16"/>
  <c r="H55" i="16" s="1"/>
  <c r="H55" i="12" s="1"/>
  <c r="H165" i="18"/>
  <c r="S176" i="9" s="1"/>
  <c r="H163" i="11"/>
  <c r="H164" i="9"/>
  <c r="H162" i="9"/>
  <c r="H162" i="18" s="1"/>
  <c r="H160" i="11"/>
  <c r="H159" i="10"/>
  <c r="H159" i="16" s="1"/>
  <c r="H161" i="10"/>
  <c r="H161" i="16" s="1"/>
  <c r="J132" i="16" l="1"/>
  <c r="J132" i="12" s="1"/>
  <c r="J11" i="16"/>
  <c r="J11" i="12" s="1"/>
  <c r="J44" i="16"/>
  <c r="J44" i="12" s="1"/>
  <c r="J121" i="16"/>
  <c r="J121" i="12" s="1"/>
  <c r="J143" i="16"/>
  <c r="J143" i="12" s="1"/>
  <c r="J154" i="16"/>
  <c r="J154" i="12" s="1"/>
  <c r="J77" i="16"/>
  <c r="J77" i="12" s="1"/>
  <c r="J110" i="16"/>
  <c r="J110" i="12" s="1"/>
  <c r="J33" i="16"/>
  <c r="J33" i="12" s="1"/>
  <c r="J55" i="16"/>
  <c r="J55" i="12" s="1"/>
  <c r="J66" i="16"/>
  <c r="J66" i="12" s="1"/>
  <c r="J88" i="16"/>
  <c r="J88" i="12" s="1"/>
  <c r="J110" i="18"/>
  <c r="J110" i="6" s="1"/>
  <c r="J103" i="6" s="1"/>
  <c r="J77" i="18"/>
  <c r="J77" i="6" s="1"/>
  <c r="J70" i="6" s="1"/>
  <c r="J88" i="18"/>
  <c r="J88" i="6" s="1"/>
  <c r="J81" i="6" s="1"/>
  <c r="J121" i="18"/>
  <c r="J121" i="6" s="1"/>
  <c r="J114" i="6" s="1"/>
  <c r="J66" i="18"/>
  <c r="J66" i="6" s="1"/>
  <c r="J59" i="6" s="1"/>
  <c r="J55" i="18"/>
  <c r="J55" i="6" s="1"/>
  <c r="J48" i="6" s="1"/>
  <c r="J44" i="18"/>
  <c r="J44" i="6" s="1"/>
  <c r="J37" i="6" s="1"/>
  <c r="J143" i="18"/>
  <c r="J143" i="6" s="1"/>
  <c r="J136" i="6" s="1"/>
  <c r="J11" i="18"/>
  <c r="J11" i="6" s="1"/>
  <c r="J4" i="6" s="1"/>
  <c r="J154" i="18"/>
  <c r="J154" i="6" s="1"/>
  <c r="J147" i="6" s="1"/>
  <c r="J33" i="18"/>
  <c r="J33" i="6" s="1"/>
  <c r="J26" i="6" s="1"/>
  <c r="I143" i="18"/>
  <c r="I143" i="6" s="1"/>
  <c r="I136" i="6" s="1"/>
  <c r="I33" i="18"/>
  <c r="I33" i="6" s="1"/>
  <c r="I26" i="6" s="1"/>
  <c r="I88" i="18"/>
  <c r="I88" i="6" s="1"/>
  <c r="I81" i="6" s="1"/>
  <c r="I121" i="18"/>
  <c r="I121" i="6" s="1"/>
  <c r="I114" i="6" s="1"/>
  <c r="I77" i="18"/>
  <c r="I77" i="6" s="1"/>
  <c r="I70" i="6" s="1"/>
  <c r="I11" i="18"/>
  <c r="I11" i="6" s="1"/>
  <c r="I4" i="6" s="1"/>
  <c r="I44" i="18"/>
  <c r="I44" i="6" s="1"/>
  <c r="I37" i="6" s="1"/>
  <c r="I66" i="18"/>
  <c r="I66" i="6" s="1"/>
  <c r="I59" i="6" s="1"/>
  <c r="I154" i="18"/>
  <c r="I154" i="6" s="1"/>
  <c r="I147" i="6" s="1"/>
  <c r="I110" i="18"/>
  <c r="I110" i="6" s="1"/>
  <c r="I103" i="6" s="1"/>
  <c r="I55" i="18"/>
  <c r="I55" i="6" s="1"/>
  <c r="I48" i="6" s="1"/>
  <c r="I132" i="17"/>
  <c r="I132" i="13" s="1"/>
  <c r="I110" i="17"/>
  <c r="I110" i="13" s="1"/>
  <c r="I154" i="17"/>
  <c r="I154" i="13" s="1"/>
  <c r="I143" i="17"/>
  <c r="I143" i="13" s="1"/>
  <c r="I33" i="17"/>
  <c r="I33" i="13" s="1"/>
  <c r="I88" i="17"/>
  <c r="I88" i="13" s="1"/>
  <c r="I121" i="17"/>
  <c r="I121" i="13" s="1"/>
  <c r="I44" i="17"/>
  <c r="I44" i="13" s="1"/>
  <c r="I55" i="17"/>
  <c r="I55" i="13" s="1"/>
  <c r="I66" i="17"/>
  <c r="I66" i="13" s="1"/>
  <c r="I77" i="17"/>
  <c r="I77" i="13" s="1"/>
  <c r="I11" i="17"/>
  <c r="I11" i="13" s="1"/>
  <c r="J132" i="17"/>
  <c r="J132" i="13" s="1"/>
  <c r="J121" i="17"/>
  <c r="J121" i="13" s="1"/>
  <c r="J66" i="17"/>
  <c r="J66" i="13" s="1"/>
  <c r="J77" i="17"/>
  <c r="J77" i="13" s="1"/>
  <c r="J11" i="17"/>
  <c r="J11" i="13" s="1"/>
  <c r="J143" i="17"/>
  <c r="J143" i="13" s="1"/>
  <c r="J88" i="17"/>
  <c r="J88" i="13" s="1"/>
  <c r="J55" i="17"/>
  <c r="J55" i="13" s="1"/>
  <c r="J110" i="17"/>
  <c r="J110" i="13" s="1"/>
  <c r="J44" i="17"/>
  <c r="J44" i="13" s="1"/>
  <c r="J33" i="17"/>
  <c r="J33" i="13" s="1"/>
  <c r="J154" i="17"/>
  <c r="J154" i="13" s="1"/>
  <c r="K100" i="3"/>
  <c r="K11" i="3"/>
  <c r="J165" i="3"/>
  <c r="K22" i="4"/>
  <c r="J187" i="10"/>
  <c r="J167" i="3"/>
  <c r="J189" i="9" s="1"/>
  <c r="K13" i="3"/>
  <c r="K167" i="3" s="1"/>
  <c r="K189" i="9" s="1"/>
  <c r="K12" i="3"/>
  <c r="J166" i="3"/>
  <c r="J188" i="9"/>
  <c r="J162" i="3"/>
  <c r="J184" i="9" s="1"/>
  <c r="K8" i="3"/>
  <c r="K162" i="3" s="1"/>
  <c r="K184" i="9" s="1"/>
  <c r="J159" i="4"/>
  <c r="J181" i="10" s="1"/>
  <c r="K5" i="4"/>
  <c r="K159" i="4" s="1"/>
  <c r="K181" i="10" s="1"/>
  <c r="J163" i="4"/>
  <c r="J185" i="10" s="1"/>
  <c r="K9" i="4"/>
  <c r="K163" i="4" s="1"/>
  <c r="K185" i="10" s="1"/>
  <c r="K8" i="4"/>
  <c r="K162" i="4" s="1"/>
  <c r="K184" i="10" s="1"/>
  <c r="J162" i="4"/>
  <c r="J184" i="10" s="1"/>
  <c r="K14" i="3"/>
  <c r="K168" i="3" s="1"/>
  <c r="K190" i="9" s="1"/>
  <c r="J168" i="3"/>
  <c r="J190" i="9" s="1"/>
  <c r="K22" i="3"/>
  <c r="J187" i="9"/>
  <c r="J164" i="3"/>
  <c r="J186" i="9" s="1"/>
  <c r="K10" i="3"/>
  <c r="K164" i="3" s="1"/>
  <c r="K186" i="9" s="1"/>
  <c r="J161" i="4"/>
  <c r="J183" i="10" s="1"/>
  <c r="K7" i="4"/>
  <c r="K161" i="4" s="1"/>
  <c r="K183" i="10" s="1"/>
  <c r="K99" i="3"/>
  <c r="K23" i="3"/>
  <c r="K7" i="3"/>
  <c r="K161" i="3" s="1"/>
  <c r="K183" i="9" s="1"/>
  <c r="J161" i="3"/>
  <c r="J183" i="9" s="1"/>
  <c r="K5" i="3"/>
  <c r="K159" i="3" s="1"/>
  <c r="K181" i="9" s="1"/>
  <c r="J159" i="3"/>
  <c r="J181" i="9" s="1"/>
  <c r="J163" i="3"/>
  <c r="J185" i="9" s="1"/>
  <c r="K9" i="3"/>
  <c r="K163" i="3" s="1"/>
  <c r="K185" i="9" s="1"/>
  <c r="J188" i="10"/>
  <c r="J166" i="4"/>
  <c r="K12" i="4"/>
  <c r="K23" i="4"/>
  <c r="K56" i="3"/>
  <c r="K11" i="4"/>
  <c r="J165" i="4"/>
  <c r="K99" i="4"/>
  <c r="K6" i="3"/>
  <c r="K160" i="3" s="1"/>
  <c r="K182" i="9" s="1"/>
  <c r="J160" i="3"/>
  <c r="J182" i="9" s="1"/>
  <c r="J167" i="4"/>
  <c r="J189" i="10" s="1"/>
  <c r="K13" i="4"/>
  <c r="K167" i="4" s="1"/>
  <c r="K189" i="10" s="1"/>
  <c r="J160" i="4"/>
  <c r="J182" i="10" s="1"/>
  <c r="K6" i="4"/>
  <c r="K160" i="4" s="1"/>
  <c r="K182" i="10" s="1"/>
  <c r="K14" i="4"/>
  <c r="K168" i="4" s="1"/>
  <c r="K190" i="10" s="1"/>
  <c r="J168" i="4"/>
  <c r="J190" i="10" s="1"/>
  <c r="K10" i="4"/>
  <c r="K164" i="4" s="1"/>
  <c r="K186" i="10" s="1"/>
  <c r="J164" i="4"/>
  <c r="J186" i="10" s="1"/>
  <c r="K12" i="5"/>
  <c r="J166" i="5"/>
  <c r="J188" i="11"/>
  <c r="K99" i="5"/>
  <c r="K10" i="5"/>
  <c r="K164" i="5" s="1"/>
  <c r="K186" i="11" s="1"/>
  <c r="J164" i="5"/>
  <c r="J186" i="11" s="1"/>
  <c r="K23" i="5"/>
  <c r="J159" i="5"/>
  <c r="J181" i="11" s="1"/>
  <c r="K5" i="5"/>
  <c r="K159" i="5" s="1"/>
  <c r="K181" i="11" s="1"/>
  <c r="K11" i="5"/>
  <c r="J165" i="5"/>
  <c r="K9" i="5"/>
  <c r="K163" i="5" s="1"/>
  <c r="K185" i="11" s="1"/>
  <c r="J163" i="5"/>
  <c r="J185" i="11" s="1"/>
  <c r="K8" i="5"/>
  <c r="K162" i="5" s="1"/>
  <c r="K184" i="11" s="1"/>
  <c r="J162" i="5"/>
  <c r="J184" i="11" s="1"/>
  <c r="K13" i="5"/>
  <c r="K167" i="5" s="1"/>
  <c r="K189" i="11" s="1"/>
  <c r="J167" i="5"/>
  <c r="J189" i="11" s="1"/>
  <c r="K6" i="5"/>
  <c r="K160" i="5" s="1"/>
  <c r="K182" i="11" s="1"/>
  <c r="J160" i="5"/>
  <c r="J182" i="11" s="1"/>
  <c r="K14" i="5"/>
  <c r="K168" i="5" s="1"/>
  <c r="K190" i="11" s="1"/>
  <c r="J168" i="5"/>
  <c r="J190" i="11" s="1"/>
  <c r="K100" i="5"/>
  <c r="K7" i="5"/>
  <c r="K161" i="5" s="1"/>
  <c r="K183" i="11" s="1"/>
  <c r="J161" i="5"/>
  <c r="J183" i="11" s="1"/>
  <c r="K22" i="5"/>
  <c r="J187" i="11"/>
  <c r="H110" i="16"/>
  <c r="H110" i="12" s="1"/>
  <c r="H33" i="16"/>
  <c r="H33" i="12" s="1"/>
  <c r="H33" i="18"/>
  <c r="H33" i="6" s="1"/>
  <c r="H88" i="18"/>
  <c r="H88" i="6" s="1"/>
  <c r="H88" i="16"/>
  <c r="H88" i="12" s="1"/>
  <c r="H77" i="16"/>
  <c r="H77" i="12" s="1"/>
  <c r="G166" i="17"/>
  <c r="R177" i="11" s="1"/>
  <c r="R177" i="9"/>
  <c r="G56" i="18"/>
  <c r="G56" i="6" s="1"/>
  <c r="G45" i="18"/>
  <c r="G45" i="6" s="1"/>
  <c r="G122" i="18"/>
  <c r="G122" i="6" s="1"/>
  <c r="G78" i="18"/>
  <c r="G78" i="6" s="1"/>
  <c r="G155" i="18"/>
  <c r="G155" i="6" s="1"/>
  <c r="G34" i="18"/>
  <c r="G34" i="6" s="1"/>
  <c r="G89" i="18"/>
  <c r="G89" i="6" s="1"/>
  <c r="G67" i="18"/>
  <c r="G67" i="6" s="1"/>
  <c r="G144" i="18"/>
  <c r="G144" i="6" s="1"/>
  <c r="G12" i="18"/>
  <c r="G12" i="6" s="1"/>
  <c r="G111" i="18"/>
  <c r="G111" i="6" s="1"/>
  <c r="R177" i="10"/>
  <c r="G122" i="16"/>
  <c r="G122" i="12" s="1"/>
  <c r="G155" i="16"/>
  <c r="G155" i="12" s="1"/>
  <c r="G34" i="16"/>
  <c r="G34" i="12" s="1"/>
  <c r="G67" i="16"/>
  <c r="G67" i="12" s="1"/>
  <c r="G111" i="16"/>
  <c r="G111" i="12" s="1"/>
  <c r="G78" i="16"/>
  <c r="G78" i="12" s="1"/>
  <c r="G89" i="16"/>
  <c r="G89" i="12" s="1"/>
  <c r="G56" i="16"/>
  <c r="G56" i="12" s="1"/>
  <c r="G144" i="16"/>
  <c r="G144" i="12" s="1"/>
  <c r="G45" i="16"/>
  <c r="G45" i="12" s="1"/>
  <c r="G12" i="16"/>
  <c r="G12" i="12" s="1"/>
  <c r="F12" i="16"/>
  <c r="F12" i="12" s="1"/>
  <c r="F78" i="16"/>
  <c r="F78" i="12" s="1"/>
  <c r="F111" i="16"/>
  <c r="F111" i="12" s="1"/>
  <c r="F122" i="16"/>
  <c r="F122" i="12" s="1"/>
  <c r="F56" i="16"/>
  <c r="F56" i="12" s="1"/>
  <c r="F89" i="16"/>
  <c r="F89" i="12" s="1"/>
  <c r="F144" i="16"/>
  <c r="F144" i="12" s="1"/>
  <c r="F45" i="16"/>
  <c r="F45" i="12" s="1"/>
  <c r="F155" i="16"/>
  <c r="F155" i="12" s="1"/>
  <c r="F67" i="16"/>
  <c r="F67" i="12" s="1"/>
  <c r="F34" i="16"/>
  <c r="F34" i="12" s="1"/>
  <c r="Q177" i="10"/>
  <c r="Q177" i="9"/>
  <c r="F166" i="17"/>
  <c r="Q177" i="11" s="1"/>
  <c r="F56" i="18"/>
  <c r="F56" i="6" s="1"/>
  <c r="F122" i="18"/>
  <c r="F122" i="6" s="1"/>
  <c r="F34" i="18"/>
  <c r="F34" i="6" s="1"/>
  <c r="F144" i="18"/>
  <c r="F144" i="6" s="1"/>
  <c r="F45" i="18"/>
  <c r="F45" i="6" s="1"/>
  <c r="F111" i="18"/>
  <c r="F111" i="6" s="1"/>
  <c r="F89" i="18"/>
  <c r="F89" i="6" s="1"/>
  <c r="F155" i="18"/>
  <c r="F155" i="6" s="1"/>
  <c r="F67" i="18"/>
  <c r="F67" i="6" s="1"/>
  <c r="F78" i="18"/>
  <c r="F78" i="6" s="1"/>
  <c r="F12" i="18"/>
  <c r="F12" i="6" s="1"/>
  <c r="E34" i="16"/>
  <c r="E34" i="12" s="1"/>
  <c r="E45" i="16"/>
  <c r="E45" i="12" s="1"/>
  <c r="E122" i="16"/>
  <c r="E122" i="12" s="1"/>
  <c r="E111" i="16"/>
  <c r="E111" i="12" s="1"/>
  <c r="E144" i="16"/>
  <c r="E144" i="12" s="1"/>
  <c r="E12" i="16"/>
  <c r="E12" i="12" s="1"/>
  <c r="E56" i="16"/>
  <c r="E56" i="12" s="1"/>
  <c r="E155" i="16"/>
  <c r="E155" i="12" s="1"/>
  <c r="E67" i="16"/>
  <c r="E67" i="12" s="1"/>
  <c r="E78" i="16"/>
  <c r="E78" i="12" s="1"/>
  <c r="E89" i="16"/>
  <c r="E89" i="12" s="1"/>
  <c r="H154" i="18"/>
  <c r="H154" i="6" s="1"/>
  <c r="P177" i="10"/>
  <c r="E155" i="17"/>
  <c r="E155" i="13" s="1"/>
  <c r="E56" i="17"/>
  <c r="E56" i="13" s="1"/>
  <c r="E78" i="17"/>
  <c r="E78" i="13" s="1"/>
  <c r="E45" i="17"/>
  <c r="E45" i="13" s="1"/>
  <c r="E122" i="17"/>
  <c r="E122" i="13" s="1"/>
  <c r="E67" i="17"/>
  <c r="E67" i="13" s="1"/>
  <c r="E111" i="17"/>
  <c r="E111" i="13" s="1"/>
  <c r="E144" i="17"/>
  <c r="E144" i="13" s="1"/>
  <c r="E34" i="17"/>
  <c r="E34" i="13" s="1"/>
  <c r="E12" i="17"/>
  <c r="E12" i="13" s="1"/>
  <c r="E89" i="17"/>
  <c r="E89" i="13" s="1"/>
  <c r="E155" i="18"/>
  <c r="E155" i="6" s="1"/>
  <c r="E111" i="18"/>
  <c r="E111" i="6" s="1"/>
  <c r="E89" i="18"/>
  <c r="E89" i="6" s="1"/>
  <c r="E78" i="18"/>
  <c r="E78" i="6" s="1"/>
  <c r="E34" i="18"/>
  <c r="E34" i="6" s="1"/>
  <c r="E144" i="18"/>
  <c r="E144" i="6" s="1"/>
  <c r="E56" i="18"/>
  <c r="E56" i="6" s="1"/>
  <c r="E45" i="18"/>
  <c r="E45" i="6" s="1"/>
  <c r="E12" i="18"/>
  <c r="E12" i="6" s="1"/>
  <c r="E122" i="18"/>
  <c r="E122" i="6" s="1"/>
  <c r="E67" i="18"/>
  <c r="E67" i="6" s="1"/>
  <c r="D56" i="18"/>
  <c r="D56" i="6" s="1"/>
  <c r="D111" i="18"/>
  <c r="D111" i="6" s="1"/>
  <c r="D12" i="18"/>
  <c r="D12" i="6" s="1"/>
  <c r="D45" i="18"/>
  <c r="D45" i="6" s="1"/>
  <c r="D89" i="18"/>
  <c r="D89" i="6" s="1"/>
  <c r="D122" i="18"/>
  <c r="D122" i="6" s="1"/>
  <c r="D34" i="18"/>
  <c r="D34" i="6" s="1"/>
  <c r="D155" i="18"/>
  <c r="D155" i="6" s="1"/>
  <c r="D67" i="18"/>
  <c r="D67" i="6" s="1"/>
  <c r="D144" i="18"/>
  <c r="D144" i="6" s="1"/>
  <c r="D78" i="18"/>
  <c r="D78" i="6" s="1"/>
  <c r="D111" i="16"/>
  <c r="D111" i="12" s="1"/>
  <c r="D155" i="16"/>
  <c r="D155" i="12" s="1"/>
  <c r="D34" i="16"/>
  <c r="D34" i="12" s="1"/>
  <c r="D12" i="16"/>
  <c r="D12" i="12" s="1"/>
  <c r="D78" i="16"/>
  <c r="D78" i="12" s="1"/>
  <c r="D67" i="16"/>
  <c r="D67" i="12" s="1"/>
  <c r="D122" i="16"/>
  <c r="D122" i="12" s="1"/>
  <c r="D144" i="16"/>
  <c r="D144" i="12" s="1"/>
  <c r="D89" i="16"/>
  <c r="D89" i="12" s="1"/>
  <c r="D56" i="16"/>
  <c r="D56" i="12" s="1"/>
  <c r="D45" i="16"/>
  <c r="D45" i="12" s="1"/>
  <c r="D155" i="17"/>
  <c r="D155" i="13" s="1"/>
  <c r="D56" i="17"/>
  <c r="D56" i="13" s="1"/>
  <c r="D45" i="17"/>
  <c r="D45" i="13" s="1"/>
  <c r="D144" i="17"/>
  <c r="D144" i="13" s="1"/>
  <c r="D34" i="17"/>
  <c r="D34" i="13" s="1"/>
  <c r="D89" i="17"/>
  <c r="D89" i="13" s="1"/>
  <c r="D122" i="17"/>
  <c r="D122" i="13" s="1"/>
  <c r="D67" i="17"/>
  <c r="D67" i="13" s="1"/>
  <c r="D111" i="17"/>
  <c r="D111" i="13" s="1"/>
  <c r="D78" i="17"/>
  <c r="D78" i="13" s="1"/>
  <c r="D12" i="17"/>
  <c r="D12" i="13" s="1"/>
  <c r="C155" i="18"/>
  <c r="C155" i="6" s="1"/>
  <c r="C78" i="18"/>
  <c r="C78" i="6" s="1"/>
  <c r="C144" i="18"/>
  <c r="C144" i="6" s="1"/>
  <c r="C122" i="18"/>
  <c r="C122" i="6" s="1"/>
  <c r="C111" i="18"/>
  <c r="C111" i="6" s="1"/>
  <c r="C67" i="18"/>
  <c r="C67" i="6" s="1"/>
  <c r="C12" i="18"/>
  <c r="C12" i="6" s="1"/>
  <c r="C56" i="18"/>
  <c r="C56" i="6" s="1"/>
  <c r="C89" i="18"/>
  <c r="C89" i="6" s="1"/>
  <c r="C45" i="18"/>
  <c r="C45" i="6" s="1"/>
  <c r="C34" i="18"/>
  <c r="C34" i="6" s="1"/>
  <c r="C166" i="17"/>
  <c r="N177" i="11" s="1"/>
  <c r="C144" i="16"/>
  <c r="C144" i="12" s="1"/>
  <c r="C111" i="16"/>
  <c r="C111" i="12" s="1"/>
  <c r="C155" i="16"/>
  <c r="C155" i="12" s="1"/>
  <c r="C67" i="16"/>
  <c r="C67" i="12" s="1"/>
  <c r="C56" i="16"/>
  <c r="C56" i="12" s="1"/>
  <c r="C122" i="16"/>
  <c r="C122" i="12" s="1"/>
  <c r="C45" i="16"/>
  <c r="C45" i="12" s="1"/>
  <c r="C34" i="16"/>
  <c r="C34" i="12" s="1"/>
  <c r="C12" i="16"/>
  <c r="C12" i="12" s="1"/>
  <c r="C89" i="16"/>
  <c r="C89" i="12" s="1"/>
  <c r="C78" i="16"/>
  <c r="C78" i="12" s="1"/>
  <c r="N177" i="9"/>
  <c r="N177" i="10"/>
  <c r="H137" i="16"/>
  <c r="H137" i="12" s="1"/>
  <c r="H115" i="16"/>
  <c r="H115" i="12" s="1"/>
  <c r="H60" i="16"/>
  <c r="H60" i="12" s="1"/>
  <c r="H49" i="16"/>
  <c r="H49" i="12" s="1"/>
  <c r="H27" i="16"/>
  <c r="H27" i="12" s="1"/>
  <c r="H82" i="16"/>
  <c r="H82" i="12" s="1"/>
  <c r="H148" i="16"/>
  <c r="H148" i="12" s="1"/>
  <c r="H71" i="16"/>
  <c r="H71" i="12" s="1"/>
  <c r="H126" i="16"/>
  <c r="H5" i="16"/>
  <c r="H5" i="12" s="1"/>
  <c r="H38" i="16"/>
  <c r="H38" i="12" s="1"/>
  <c r="H104" i="16"/>
  <c r="H104" i="12" s="1"/>
  <c r="H155" i="16"/>
  <c r="H155" i="12" s="1"/>
  <c r="H78" i="16"/>
  <c r="H78" i="12" s="1"/>
  <c r="H56" i="16"/>
  <c r="H56" i="12" s="1"/>
  <c r="H45" i="16"/>
  <c r="H45" i="12" s="1"/>
  <c r="H67" i="16"/>
  <c r="H67" i="12" s="1"/>
  <c r="H12" i="16"/>
  <c r="H12" i="12" s="1"/>
  <c r="H144" i="16"/>
  <c r="H144" i="12" s="1"/>
  <c r="H89" i="16"/>
  <c r="H89" i="12" s="1"/>
  <c r="H122" i="16"/>
  <c r="H122" i="12" s="1"/>
  <c r="H34" i="16"/>
  <c r="H34" i="12" s="1"/>
  <c r="H111" i="16"/>
  <c r="H111" i="12" s="1"/>
  <c r="H160" i="17"/>
  <c r="S171" i="11" s="1"/>
  <c r="H154" i="16"/>
  <c r="H154" i="12" s="1"/>
  <c r="H6" i="16"/>
  <c r="H6" i="12" s="1"/>
  <c r="H61" i="16"/>
  <c r="H61" i="12" s="1"/>
  <c r="H116" i="16"/>
  <c r="H116" i="12" s="1"/>
  <c r="H28" i="16"/>
  <c r="H28" i="12" s="1"/>
  <c r="H138" i="16"/>
  <c r="H138" i="12" s="1"/>
  <c r="H72" i="16"/>
  <c r="H72" i="12" s="1"/>
  <c r="H105" i="16"/>
  <c r="H105" i="12" s="1"/>
  <c r="H149" i="16"/>
  <c r="H149" i="12" s="1"/>
  <c r="H50" i="16"/>
  <c r="H50" i="12" s="1"/>
  <c r="H127" i="16"/>
  <c r="H39" i="16"/>
  <c r="H39" i="12" s="1"/>
  <c r="H83" i="16"/>
  <c r="H83" i="12" s="1"/>
  <c r="H66" i="16"/>
  <c r="H66" i="12" s="1"/>
  <c r="S174" i="10"/>
  <c r="S172" i="9"/>
  <c r="H121" i="16"/>
  <c r="H121" i="12" s="1"/>
  <c r="H164" i="17"/>
  <c r="S175" i="11" s="1"/>
  <c r="H162" i="17"/>
  <c r="S173" i="11" s="1"/>
  <c r="H44" i="16"/>
  <c r="H44" i="12" s="1"/>
  <c r="H77" i="18"/>
  <c r="H77" i="6" s="1"/>
  <c r="H168" i="17"/>
  <c r="S179" i="11" s="1"/>
  <c r="S177" i="9"/>
  <c r="H12" i="18"/>
  <c r="H12" i="6" s="1"/>
  <c r="H34" i="18"/>
  <c r="H34" i="6" s="1"/>
  <c r="H67" i="18"/>
  <c r="H67" i="6" s="1"/>
  <c r="H45" i="18"/>
  <c r="H45" i="6" s="1"/>
  <c r="H56" i="18"/>
  <c r="H56" i="6" s="1"/>
  <c r="H155" i="18"/>
  <c r="H155" i="6" s="1"/>
  <c r="H89" i="18"/>
  <c r="H89" i="6" s="1"/>
  <c r="H111" i="18"/>
  <c r="H111" i="6" s="1"/>
  <c r="H78" i="18"/>
  <c r="H78" i="6" s="1"/>
  <c r="H122" i="18"/>
  <c r="H122" i="6" s="1"/>
  <c r="H144" i="18"/>
  <c r="H144" i="6" s="1"/>
  <c r="S173" i="9"/>
  <c r="H102" i="18"/>
  <c r="H102" i="6" s="1"/>
  <c r="H91" i="18"/>
  <c r="H91" i="6" s="1"/>
  <c r="H69" i="18"/>
  <c r="H69" i="6" s="1"/>
  <c r="H36" i="18"/>
  <c r="H36" i="6" s="1"/>
  <c r="H113" i="18"/>
  <c r="H113" i="6" s="1"/>
  <c r="H135" i="18"/>
  <c r="H135" i="6" s="1"/>
  <c r="H80" i="18"/>
  <c r="H80" i="6" s="1"/>
  <c r="H157" i="18"/>
  <c r="H157" i="6" s="1"/>
  <c r="H47" i="18"/>
  <c r="H47" i="6" s="1"/>
  <c r="H124" i="18"/>
  <c r="H124" i="6" s="1"/>
  <c r="H146" i="18"/>
  <c r="H146" i="6" s="1"/>
  <c r="H58" i="18"/>
  <c r="H58" i="6" s="1"/>
  <c r="H25" i="18"/>
  <c r="H25" i="6" s="1"/>
  <c r="H14" i="18"/>
  <c r="H14" i="6" s="1"/>
  <c r="H53" i="18"/>
  <c r="H119" i="18"/>
  <c r="H31" i="18"/>
  <c r="H130" i="18"/>
  <c r="H20" i="18"/>
  <c r="H108" i="18"/>
  <c r="H64" i="18"/>
  <c r="H141" i="18"/>
  <c r="H152" i="18"/>
  <c r="H42" i="18"/>
  <c r="H97" i="18"/>
  <c r="H75" i="18"/>
  <c r="H86" i="18"/>
  <c r="H9" i="18"/>
  <c r="H152" i="16"/>
  <c r="H31" i="16"/>
  <c r="H64" i="16"/>
  <c r="H141" i="16"/>
  <c r="H9" i="16"/>
  <c r="H130" i="16"/>
  <c r="H97" i="16"/>
  <c r="H42" i="16"/>
  <c r="H86" i="16"/>
  <c r="H75" i="16"/>
  <c r="H20" i="16"/>
  <c r="H119" i="16"/>
  <c r="H108" i="16"/>
  <c r="H53" i="16"/>
  <c r="H143" i="18"/>
  <c r="H143" i="6" s="1"/>
  <c r="H159" i="17"/>
  <c r="S170" i="11" s="1"/>
  <c r="S171" i="9"/>
  <c r="H11" i="18"/>
  <c r="H11" i="6" s="1"/>
  <c r="H161" i="17"/>
  <c r="S172" i="11" s="1"/>
  <c r="H55" i="18"/>
  <c r="H55" i="6" s="1"/>
  <c r="H44" i="18"/>
  <c r="H44" i="6" s="1"/>
  <c r="H166" i="17"/>
  <c r="S177" i="11" s="1"/>
  <c r="S172" i="10"/>
  <c r="H115" i="18"/>
  <c r="H115" i="6" s="1"/>
  <c r="H60" i="18"/>
  <c r="H60" i="6" s="1"/>
  <c r="H5" i="18"/>
  <c r="H5" i="6" s="1"/>
  <c r="H126" i="18"/>
  <c r="H71" i="18"/>
  <c r="H71" i="6" s="1"/>
  <c r="H27" i="18"/>
  <c r="H27" i="6" s="1"/>
  <c r="H137" i="18"/>
  <c r="H137" i="6" s="1"/>
  <c r="H104" i="18"/>
  <c r="H104" i="6" s="1"/>
  <c r="H38" i="18"/>
  <c r="H38" i="6" s="1"/>
  <c r="H148" i="18"/>
  <c r="H148" i="6" s="1"/>
  <c r="H82" i="18"/>
  <c r="H82" i="6" s="1"/>
  <c r="H49" i="18"/>
  <c r="H49" i="6" s="1"/>
  <c r="H90" i="18"/>
  <c r="H90" i="6" s="1"/>
  <c r="H13" i="18"/>
  <c r="H13" i="6" s="1"/>
  <c r="H123" i="18"/>
  <c r="H123" i="6" s="1"/>
  <c r="H57" i="18"/>
  <c r="H57" i="6" s="1"/>
  <c r="H134" i="18"/>
  <c r="H46" i="18"/>
  <c r="H46" i="6" s="1"/>
  <c r="H101" i="18"/>
  <c r="H101" i="6" s="1"/>
  <c r="H112" i="18"/>
  <c r="H112" i="6" s="1"/>
  <c r="H79" i="18"/>
  <c r="H79" i="6" s="1"/>
  <c r="H145" i="18"/>
  <c r="H145" i="6" s="1"/>
  <c r="H156" i="18"/>
  <c r="H35" i="18"/>
  <c r="H35" i="6" s="1"/>
  <c r="H68" i="18"/>
  <c r="H68" i="6" s="1"/>
  <c r="H132" i="16"/>
  <c r="S176" i="10"/>
  <c r="S173" i="10"/>
  <c r="S175" i="10"/>
  <c r="S170" i="9"/>
  <c r="H110" i="18"/>
  <c r="H110" i="6" s="1"/>
  <c r="H143" i="16"/>
  <c r="H143" i="12" s="1"/>
  <c r="S171" i="10"/>
  <c r="H167" i="17"/>
  <c r="S178" i="11" s="1"/>
  <c r="S170" i="10"/>
  <c r="H163" i="17"/>
  <c r="S174" i="11" s="1"/>
  <c r="H164" i="18"/>
  <c r="S175" i="9" s="1"/>
  <c r="H138" i="18"/>
  <c r="H138" i="6" s="1"/>
  <c r="H61" i="18"/>
  <c r="H61" i="6" s="1"/>
  <c r="H6" i="18"/>
  <c r="H6" i="6" s="1"/>
  <c r="H149" i="18"/>
  <c r="H149" i="6" s="1"/>
  <c r="H105" i="18"/>
  <c r="H105" i="6" s="1"/>
  <c r="H72" i="18"/>
  <c r="H72" i="6" s="1"/>
  <c r="H28" i="18"/>
  <c r="H28" i="6" s="1"/>
  <c r="H116" i="18"/>
  <c r="H116" i="6" s="1"/>
  <c r="H39" i="18"/>
  <c r="H39" i="6" s="1"/>
  <c r="H127" i="18"/>
  <c r="H83" i="18"/>
  <c r="H83" i="6" s="1"/>
  <c r="H50" i="18"/>
  <c r="H50" i="6" s="1"/>
  <c r="H168" i="16"/>
  <c r="H10" i="16"/>
  <c r="H10" i="12" s="1"/>
  <c r="H87" i="16"/>
  <c r="H87" i="12" s="1"/>
  <c r="H32" i="16"/>
  <c r="H32" i="12" s="1"/>
  <c r="H153" i="16"/>
  <c r="H153" i="12" s="1"/>
  <c r="H131" i="16"/>
  <c r="H131" i="12" s="1"/>
  <c r="H21" i="16"/>
  <c r="H21" i="12" s="1"/>
  <c r="H43" i="16"/>
  <c r="H43" i="12" s="1"/>
  <c r="H54" i="16"/>
  <c r="H54" i="12" s="1"/>
  <c r="H65" i="16"/>
  <c r="H65" i="12" s="1"/>
  <c r="H142" i="16"/>
  <c r="H142" i="12" s="1"/>
  <c r="H109" i="16"/>
  <c r="H109" i="12" s="1"/>
  <c r="H76" i="16"/>
  <c r="H76" i="12" s="1"/>
  <c r="H98" i="16"/>
  <c r="H98" i="12" s="1"/>
  <c r="H120" i="16"/>
  <c r="H120" i="12" s="1"/>
  <c r="S176" i="11"/>
  <c r="H132" i="17"/>
  <c r="H121" i="17"/>
  <c r="H121" i="13" s="1"/>
  <c r="H110" i="17"/>
  <c r="H110" i="13" s="1"/>
  <c r="H77" i="17"/>
  <c r="H77" i="13" s="1"/>
  <c r="H11" i="17"/>
  <c r="H11" i="13" s="1"/>
  <c r="H66" i="17"/>
  <c r="H66" i="13" s="1"/>
  <c r="H154" i="17"/>
  <c r="H154" i="13" s="1"/>
  <c r="H88" i="17"/>
  <c r="H88" i="13" s="1"/>
  <c r="H55" i="17"/>
  <c r="H55" i="13" s="1"/>
  <c r="H33" i="17"/>
  <c r="H33" i="13" s="1"/>
  <c r="H11" i="16"/>
  <c r="H11" i="12" s="1"/>
  <c r="S174" i="9"/>
  <c r="H143" i="17"/>
  <c r="H143" i="13" s="1"/>
  <c r="S177" i="10"/>
  <c r="S178" i="9"/>
  <c r="H66" i="18"/>
  <c r="H66" i="6" s="1"/>
  <c r="H121" i="18"/>
  <c r="H121" i="6" s="1"/>
  <c r="S179" i="9"/>
  <c r="H151" i="16" l="1"/>
  <c r="H151" i="12" s="1"/>
  <c r="I89" i="16"/>
  <c r="I89" i="12" s="1"/>
  <c r="I78" i="16"/>
  <c r="I78" i="12" s="1"/>
  <c r="I56" i="16"/>
  <c r="I56" i="12" s="1"/>
  <c r="I144" i="16"/>
  <c r="I144" i="12" s="1"/>
  <c r="I122" i="16"/>
  <c r="I122" i="12" s="1"/>
  <c r="I111" i="16"/>
  <c r="I111" i="12" s="1"/>
  <c r="I155" i="16"/>
  <c r="I155" i="12" s="1"/>
  <c r="I67" i="16"/>
  <c r="I67" i="12" s="1"/>
  <c r="I34" i="16"/>
  <c r="I34" i="12" s="1"/>
  <c r="I50" i="16"/>
  <c r="I50" i="12" s="1"/>
  <c r="I72" i="16"/>
  <c r="I72" i="12" s="1"/>
  <c r="I127" i="16"/>
  <c r="I61" i="16"/>
  <c r="I61" i="12" s="1"/>
  <c r="I28" i="16"/>
  <c r="I28" i="12" s="1"/>
  <c r="I138" i="16"/>
  <c r="I138" i="12" s="1"/>
  <c r="I105" i="16"/>
  <c r="I105" i="12" s="1"/>
  <c r="I83" i="16"/>
  <c r="I83" i="12" s="1"/>
  <c r="I116" i="16"/>
  <c r="I116" i="12" s="1"/>
  <c r="I39" i="16"/>
  <c r="I39" i="12" s="1"/>
  <c r="I25" i="16"/>
  <c r="I25" i="12" s="1"/>
  <c r="I80" i="16"/>
  <c r="I80" i="12" s="1"/>
  <c r="I113" i="16"/>
  <c r="I113" i="12" s="1"/>
  <c r="I135" i="16"/>
  <c r="I135" i="12" s="1"/>
  <c r="I36" i="16"/>
  <c r="I36" i="12" s="1"/>
  <c r="I58" i="16"/>
  <c r="I58" i="12" s="1"/>
  <c r="I69" i="16"/>
  <c r="I69" i="12" s="1"/>
  <c r="I102" i="16"/>
  <c r="I102" i="12" s="1"/>
  <c r="I47" i="16"/>
  <c r="I47" i="12" s="1"/>
  <c r="I124" i="16"/>
  <c r="I124" i="12" s="1"/>
  <c r="I146" i="16"/>
  <c r="I146" i="12" s="1"/>
  <c r="I157" i="16"/>
  <c r="I157" i="12" s="1"/>
  <c r="I115" i="16"/>
  <c r="I115" i="12" s="1"/>
  <c r="I126" i="16"/>
  <c r="I82" i="16"/>
  <c r="I82" i="12" s="1"/>
  <c r="I49" i="16"/>
  <c r="I49" i="12" s="1"/>
  <c r="I148" i="16"/>
  <c r="I148" i="12" s="1"/>
  <c r="I71" i="16"/>
  <c r="I71" i="12" s="1"/>
  <c r="I27" i="16"/>
  <c r="I27" i="12" s="1"/>
  <c r="I60" i="16"/>
  <c r="I60" i="12" s="1"/>
  <c r="I38" i="16"/>
  <c r="I38" i="12" s="1"/>
  <c r="I104" i="16"/>
  <c r="I104" i="12" s="1"/>
  <c r="I137" i="16"/>
  <c r="I137" i="12" s="1"/>
  <c r="I42" i="16"/>
  <c r="I86" i="16"/>
  <c r="I141" i="16"/>
  <c r="I130" i="16"/>
  <c r="I64" i="16"/>
  <c r="I152" i="16"/>
  <c r="I53" i="16"/>
  <c r="I108" i="16"/>
  <c r="I119" i="16"/>
  <c r="I97" i="16"/>
  <c r="I20" i="16"/>
  <c r="I31" i="16"/>
  <c r="I75" i="16"/>
  <c r="I65" i="16"/>
  <c r="I65" i="12" s="1"/>
  <c r="I21" i="16"/>
  <c r="I21" i="12" s="1"/>
  <c r="I109" i="16"/>
  <c r="I109" i="12" s="1"/>
  <c r="I98" i="16"/>
  <c r="I98" i="12" s="1"/>
  <c r="I142" i="16"/>
  <c r="I142" i="12" s="1"/>
  <c r="I76" i="16"/>
  <c r="I76" i="12" s="1"/>
  <c r="I43" i="16"/>
  <c r="I43" i="12" s="1"/>
  <c r="I131" i="16"/>
  <c r="I131" i="12" s="1"/>
  <c r="I87" i="16"/>
  <c r="I87" i="12" s="1"/>
  <c r="I153" i="16"/>
  <c r="I153" i="12" s="1"/>
  <c r="I54" i="16"/>
  <c r="I54" i="12" s="1"/>
  <c r="I32" i="16"/>
  <c r="I32" i="12" s="1"/>
  <c r="I156" i="16"/>
  <c r="I156" i="12" s="1"/>
  <c r="I134" i="16"/>
  <c r="I134" i="12" s="1"/>
  <c r="I57" i="16"/>
  <c r="I57" i="12" s="1"/>
  <c r="I101" i="16"/>
  <c r="I101" i="12" s="1"/>
  <c r="I79" i="16"/>
  <c r="I79" i="12" s="1"/>
  <c r="I145" i="16"/>
  <c r="I145" i="12" s="1"/>
  <c r="I46" i="16"/>
  <c r="I46" i="12" s="1"/>
  <c r="I35" i="16"/>
  <c r="I35" i="12" s="1"/>
  <c r="I123" i="16"/>
  <c r="I123" i="12" s="1"/>
  <c r="I112" i="16"/>
  <c r="I112" i="12" s="1"/>
  <c r="I90" i="16"/>
  <c r="I90" i="12" s="1"/>
  <c r="I68" i="16"/>
  <c r="I68" i="12" s="1"/>
  <c r="I154" i="16"/>
  <c r="I154" i="12" s="1"/>
  <c r="I44" i="16"/>
  <c r="I44" i="12" s="1"/>
  <c r="I121" i="16"/>
  <c r="I121" i="12" s="1"/>
  <c r="I88" i="16"/>
  <c r="I88" i="12" s="1"/>
  <c r="I77" i="16"/>
  <c r="I77" i="12" s="1"/>
  <c r="I110" i="16"/>
  <c r="I110" i="12" s="1"/>
  <c r="I33" i="16"/>
  <c r="I33" i="12" s="1"/>
  <c r="I55" i="16"/>
  <c r="I55" i="12" s="1"/>
  <c r="I11" i="16"/>
  <c r="I11" i="12" s="1"/>
  <c r="I66" i="16"/>
  <c r="I66" i="12" s="1"/>
  <c r="I143" i="16"/>
  <c r="I143" i="12" s="1"/>
  <c r="K165" i="4"/>
  <c r="K166" i="4"/>
  <c r="K188" i="10"/>
  <c r="K187" i="9"/>
  <c r="K188" i="9"/>
  <c r="K166" i="3"/>
  <c r="K187" i="10"/>
  <c r="K165" i="3"/>
  <c r="K165" i="5"/>
  <c r="K187" i="11"/>
  <c r="K166" i="5"/>
  <c r="K188" i="11"/>
  <c r="H118" i="16"/>
  <c r="H118" i="12" s="1"/>
  <c r="H129" i="16"/>
  <c r="H41" i="16"/>
  <c r="H41" i="12" s="1"/>
  <c r="H30" i="16"/>
  <c r="H30" i="12" s="1"/>
  <c r="H63" i="16"/>
  <c r="H63" i="12" s="1"/>
  <c r="H52" i="16"/>
  <c r="H74" i="16"/>
  <c r="H74" i="12" s="1"/>
  <c r="G78" i="17"/>
  <c r="G78" i="13" s="1"/>
  <c r="G155" i="17"/>
  <c r="G155" i="13" s="1"/>
  <c r="G89" i="17"/>
  <c r="G89" i="13" s="1"/>
  <c r="G67" i="17"/>
  <c r="G67" i="13" s="1"/>
  <c r="G12" i="17"/>
  <c r="G12" i="13" s="1"/>
  <c r="G34" i="17"/>
  <c r="G34" i="13" s="1"/>
  <c r="G56" i="17"/>
  <c r="G56" i="13" s="1"/>
  <c r="G111" i="17"/>
  <c r="G111" i="13" s="1"/>
  <c r="G144" i="17"/>
  <c r="G144" i="13" s="1"/>
  <c r="G122" i="17"/>
  <c r="G122" i="13" s="1"/>
  <c r="G45" i="17"/>
  <c r="G45" i="13" s="1"/>
  <c r="F155" i="17"/>
  <c r="F155" i="13" s="1"/>
  <c r="F78" i="17"/>
  <c r="F78" i="13" s="1"/>
  <c r="F122" i="17"/>
  <c r="F122" i="13" s="1"/>
  <c r="F89" i="17"/>
  <c r="F89" i="13" s="1"/>
  <c r="F144" i="17"/>
  <c r="F144" i="13" s="1"/>
  <c r="F111" i="17"/>
  <c r="F111" i="13" s="1"/>
  <c r="F34" i="17"/>
  <c r="F34" i="13" s="1"/>
  <c r="F12" i="17"/>
  <c r="F12" i="13" s="1"/>
  <c r="F56" i="17"/>
  <c r="F56" i="13" s="1"/>
  <c r="F67" i="17"/>
  <c r="F67" i="13" s="1"/>
  <c r="F45" i="17"/>
  <c r="F45" i="13" s="1"/>
  <c r="H140" i="16"/>
  <c r="H140" i="12" s="1"/>
  <c r="H107" i="16"/>
  <c r="H107" i="12" s="1"/>
  <c r="C155" i="17"/>
  <c r="C155" i="13" s="1"/>
  <c r="C56" i="17"/>
  <c r="C56" i="13" s="1"/>
  <c r="C34" i="17"/>
  <c r="C34" i="13" s="1"/>
  <c r="C122" i="17"/>
  <c r="C122" i="13" s="1"/>
  <c r="C78" i="17"/>
  <c r="C78" i="13" s="1"/>
  <c r="C12" i="17"/>
  <c r="C12" i="13" s="1"/>
  <c r="C111" i="17"/>
  <c r="C111" i="13" s="1"/>
  <c r="C89" i="17"/>
  <c r="C89" i="13" s="1"/>
  <c r="C67" i="17"/>
  <c r="C67" i="13" s="1"/>
  <c r="C144" i="17"/>
  <c r="C144" i="13" s="1"/>
  <c r="C45" i="17"/>
  <c r="C45" i="13" s="1"/>
  <c r="H85" i="16"/>
  <c r="H85" i="12" s="1"/>
  <c r="H8" i="16"/>
  <c r="H8" i="12" s="1"/>
  <c r="H168" i="6"/>
  <c r="H152" i="17"/>
  <c r="H64" i="17"/>
  <c r="H42" i="17"/>
  <c r="H97" i="17"/>
  <c r="H86" i="17"/>
  <c r="H31" i="17"/>
  <c r="H119" i="17"/>
  <c r="H130" i="17"/>
  <c r="H9" i="17"/>
  <c r="H75" i="17"/>
  <c r="H141" i="17"/>
  <c r="H20" i="17"/>
  <c r="H108" i="17"/>
  <c r="H53" i="17"/>
  <c r="H101" i="17"/>
  <c r="H101" i="13" s="1"/>
  <c r="H156" i="17"/>
  <c r="H156" i="13" s="1"/>
  <c r="H123" i="17"/>
  <c r="H123" i="13" s="1"/>
  <c r="H79" i="17"/>
  <c r="H79" i="13" s="1"/>
  <c r="H112" i="17"/>
  <c r="H112" i="13" s="1"/>
  <c r="H90" i="17"/>
  <c r="H90" i="13" s="1"/>
  <c r="H134" i="17"/>
  <c r="H134" i="13" s="1"/>
  <c r="H68" i="17"/>
  <c r="H68" i="13" s="1"/>
  <c r="H46" i="17"/>
  <c r="H46" i="13" s="1"/>
  <c r="H145" i="17"/>
  <c r="H145" i="13" s="1"/>
  <c r="H57" i="17"/>
  <c r="H57" i="13" s="1"/>
  <c r="H13" i="17"/>
  <c r="H13" i="13" s="1"/>
  <c r="H35" i="17"/>
  <c r="H35" i="13" s="1"/>
  <c r="H62" i="18"/>
  <c r="H62" i="6" s="1"/>
  <c r="H73" i="18"/>
  <c r="H73" i="6" s="1"/>
  <c r="H84" i="18"/>
  <c r="H84" i="6" s="1"/>
  <c r="H30" i="18"/>
  <c r="H30" i="6" s="1"/>
  <c r="H74" i="18"/>
  <c r="H74" i="6" s="1"/>
  <c r="H107" i="18"/>
  <c r="H107" i="6" s="1"/>
  <c r="H106" i="16"/>
  <c r="H106" i="12" s="1"/>
  <c r="H150" i="16"/>
  <c r="H150" i="12" s="1"/>
  <c r="H117" i="16"/>
  <c r="H117" i="12" s="1"/>
  <c r="H157" i="17"/>
  <c r="H157" i="13" s="1"/>
  <c r="H124" i="17"/>
  <c r="H124" i="13" s="1"/>
  <c r="H58" i="17"/>
  <c r="H58" i="13" s="1"/>
  <c r="H14" i="17"/>
  <c r="H14" i="13" s="1"/>
  <c r="H36" i="17"/>
  <c r="H36" i="13" s="1"/>
  <c r="H47" i="17"/>
  <c r="H47" i="13" s="1"/>
  <c r="H25" i="17"/>
  <c r="H25" i="13" s="1"/>
  <c r="H69" i="17"/>
  <c r="H69" i="13" s="1"/>
  <c r="H135" i="17"/>
  <c r="H135" i="13" s="1"/>
  <c r="H113" i="17"/>
  <c r="H113" i="13" s="1"/>
  <c r="H102" i="17"/>
  <c r="H102" i="13" s="1"/>
  <c r="H91" i="17"/>
  <c r="H91" i="13" s="1"/>
  <c r="H80" i="17"/>
  <c r="H80" i="13" s="1"/>
  <c r="H146" i="17"/>
  <c r="H146" i="13" s="1"/>
  <c r="H7" i="18"/>
  <c r="H7" i="6" s="1"/>
  <c r="H139" i="18"/>
  <c r="H139" i="6" s="1"/>
  <c r="H51" i="18"/>
  <c r="H51" i="6" s="1"/>
  <c r="H140" i="18"/>
  <c r="H140" i="6" s="1"/>
  <c r="H151" i="18"/>
  <c r="H151" i="6" s="1"/>
  <c r="H8" i="18"/>
  <c r="H8" i="6" s="1"/>
  <c r="H62" i="16"/>
  <c r="H62" i="12" s="1"/>
  <c r="H139" i="16"/>
  <c r="H139" i="12" s="1"/>
  <c r="H29" i="16"/>
  <c r="H29" i="12" s="1"/>
  <c r="H164" i="12"/>
  <c r="H131" i="18"/>
  <c r="H131" i="6" s="1"/>
  <c r="H153" i="18"/>
  <c r="H153" i="6" s="1"/>
  <c r="H120" i="18"/>
  <c r="H120" i="6" s="1"/>
  <c r="H142" i="18"/>
  <c r="H142" i="6" s="1"/>
  <c r="H87" i="18"/>
  <c r="H87" i="6" s="1"/>
  <c r="H10" i="18"/>
  <c r="H10" i="6" s="1"/>
  <c r="H32" i="18"/>
  <c r="H32" i="6" s="1"/>
  <c r="H98" i="18"/>
  <c r="H98" i="6" s="1"/>
  <c r="H21" i="18"/>
  <c r="H21" i="6" s="1"/>
  <c r="H109" i="18"/>
  <c r="H109" i="6" s="1"/>
  <c r="H54" i="18"/>
  <c r="H54" i="6" s="1"/>
  <c r="H43" i="18"/>
  <c r="H43" i="6" s="1"/>
  <c r="H65" i="18"/>
  <c r="H65" i="6" s="1"/>
  <c r="H76" i="18"/>
  <c r="H76" i="6" s="1"/>
  <c r="H117" i="18"/>
  <c r="H117" i="6" s="1"/>
  <c r="H40" i="18"/>
  <c r="H40" i="6" s="1"/>
  <c r="H106" i="18"/>
  <c r="H106" i="6" s="1"/>
  <c r="H116" i="17"/>
  <c r="H116" i="13" s="1"/>
  <c r="H83" i="17"/>
  <c r="H83" i="13" s="1"/>
  <c r="H72" i="17"/>
  <c r="H72" i="13" s="1"/>
  <c r="H105" i="17"/>
  <c r="H105" i="13" s="1"/>
  <c r="H138" i="17"/>
  <c r="H138" i="13" s="1"/>
  <c r="H61" i="17"/>
  <c r="H61" i="13" s="1"/>
  <c r="H149" i="17"/>
  <c r="H149" i="13" s="1"/>
  <c r="H50" i="17"/>
  <c r="H50" i="13" s="1"/>
  <c r="H28" i="17"/>
  <c r="H28" i="13" s="1"/>
  <c r="H39" i="17"/>
  <c r="H39" i="13" s="1"/>
  <c r="H6" i="17"/>
  <c r="H6" i="13" s="1"/>
  <c r="H127" i="17"/>
  <c r="H85" i="18"/>
  <c r="H85" i="6" s="1"/>
  <c r="H129" i="18"/>
  <c r="H63" i="18"/>
  <c r="H63" i="6" s="1"/>
  <c r="H40" i="16"/>
  <c r="H40" i="12" s="1"/>
  <c r="H73" i="16"/>
  <c r="H73" i="12" s="1"/>
  <c r="H7" i="16"/>
  <c r="H7" i="12" s="1"/>
  <c r="H146" i="16"/>
  <c r="H146" i="12" s="1"/>
  <c r="H58" i="16"/>
  <c r="H58" i="12" s="1"/>
  <c r="H36" i="16"/>
  <c r="H36" i="12" s="1"/>
  <c r="H14" i="16"/>
  <c r="H14" i="12" s="1"/>
  <c r="H135" i="16"/>
  <c r="H135" i="12" s="1"/>
  <c r="H25" i="16"/>
  <c r="H25" i="12" s="1"/>
  <c r="H113" i="16"/>
  <c r="H113" i="12" s="1"/>
  <c r="H91" i="16"/>
  <c r="H91" i="12" s="1"/>
  <c r="H157" i="16"/>
  <c r="H157" i="12" s="1"/>
  <c r="H102" i="16"/>
  <c r="H102" i="12" s="1"/>
  <c r="H80" i="16"/>
  <c r="H80" i="12" s="1"/>
  <c r="H47" i="16"/>
  <c r="H47" i="12" s="1"/>
  <c r="H124" i="16"/>
  <c r="H124" i="12" s="1"/>
  <c r="H69" i="16"/>
  <c r="H69" i="12" s="1"/>
  <c r="S179" i="10"/>
  <c r="H134" i="6"/>
  <c r="H156" i="6"/>
  <c r="H67" i="17"/>
  <c r="H67" i="13" s="1"/>
  <c r="H155" i="17"/>
  <c r="H155" i="13" s="1"/>
  <c r="H89" i="17"/>
  <c r="H89" i="13" s="1"/>
  <c r="H78" i="17"/>
  <c r="H78" i="13" s="1"/>
  <c r="H56" i="17"/>
  <c r="H56" i="13" s="1"/>
  <c r="H45" i="17"/>
  <c r="H45" i="13" s="1"/>
  <c r="H111" i="17"/>
  <c r="H111" i="13" s="1"/>
  <c r="H34" i="17"/>
  <c r="H34" i="13" s="1"/>
  <c r="H122" i="17"/>
  <c r="H122" i="13" s="1"/>
  <c r="H144" i="17"/>
  <c r="H144" i="13" s="1"/>
  <c r="H12" i="17"/>
  <c r="H12" i="13" s="1"/>
  <c r="H82" i="17"/>
  <c r="H82" i="13" s="1"/>
  <c r="H49" i="17"/>
  <c r="H49" i="13" s="1"/>
  <c r="H115" i="17"/>
  <c r="H115" i="13" s="1"/>
  <c r="H137" i="17"/>
  <c r="H137" i="13" s="1"/>
  <c r="H5" i="17"/>
  <c r="H5" i="13" s="1"/>
  <c r="H38" i="17"/>
  <c r="H38" i="13" s="1"/>
  <c r="H148" i="17"/>
  <c r="H148" i="13" s="1"/>
  <c r="H126" i="17"/>
  <c r="H104" i="17"/>
  <c r="H104" i="13" s="1"/>
  <c r="H27" i="17"/>
  <c r="H27" i="13" s="1"/>
  <c r="H60" i="17"/>
  <c r="H60" i="13" s="1"/>
  <c r="H71" i="17"/>
  <c r="H71" i="13" s="1"/>
  <c r="H153" i="17"/>
  <c r="H153" i="13" s="1"/>
  <c r="H109" i="17"/>
  <c r="H109" i="13" s="1"/>
  <c r="H54" i="17"/>
  <c r="H54" i="13" s="1"/>
  <c r="H21" i="17"/>
  <c r="H21" i="13" s="1"/>
  <c r="H87" i="17"/>
  <c r="H87" i="13" s="1"/>
  <c r="H32" i="17"/>
  <c r="H32" i="13" s="1"/>
  <c r="H98" i="17"/>
  <c r="H98" i="13" s="1"/>
  <c r="H131" i="17"/>
  <c r="H131" i="13" s="1"/>
  <c r="H120" i="17"/>
  <c r="H120" i="13" s="1"/>
  <c r="H43" i="17"/>
  <c r="H43" i="13" s="1"/>
  <c r="H142" i="17"/>
  <c r="H142" i="13" s="1"/>
  <c r="H10" i="17"/>
  <c r="H10" i="13" s="1"/>
  <c r="H76" i="17"/>
  <c r="H76" i="13" s="1"/>
  <c r="H65" i="17"/>
  <c r="H65" i="13" s="1"/>
  <c r="H29" i="18"/>
  <c r="H29" i="6" s="1"/>
  <c r="H128" i="18"/>
  <c r="H150" i="18"/>
  <c r="H150" i="6" s="1"/>
  <c r="H41" i="18"/>
  <c r="H41" i="6" s="1"/>
  <c r="H52" i="18"/>
  <c r="H118" i="18"/>
  <c r="H118" i="6" s="1"/>
  <c r="H51" i="16"/>
  <c r="H51" i="12" s="1"/>
  <c r="H128" i="16"/>
  <c r="H84" i="16"/>
  <c r="H84" i="12" s="1"/>
  <c r="I41" i="16" l="1"/>
  <c r="I41" i="12" s="1"/>
  <c r="I29" i="16"/>
  <c r="I29" i="12" s="1"/>
  <c r="I73" i="16"/>
  <c r="I73" i="12" s="1"/>
  <c r="I74" i="16"/>
  <c r="I74" i="12" s="1"/>
  <c r="I40" i="16"/>
  <c r="I40" i="12" s="1"/>
  <c r="I30" i="16"/>
  <c r="I30" i="12" s="1"/>
  <c r="I118" i="16"/>
  <c r="I118" i="12" s="1"/>
  <c r="I117" i="16"/>
  <c r="I117" i="12" s="1"/>
  <c r="I106" i="16"/>
  <c r="I106" i="12" s="1"/>
  <c r="I9" i="16"/>
  <c r="I5" i="16"/>
  <c r="I5" i="12" s="1"/>
  <c r="I63" i="16"/>
  <c r="I63" i="12" s="1"/>
  <c r="I128" i="16"/>
  <c r="I91" i="16"/>
  <c r="I91" i="12" s="1"/>
  <c r="I14" i="16"/>
  <c r="I14" i="12" s="1"/>
  <c r="I140" i="16"/>
  <c r="I140" i="12" s="1"/>
  <c r="I52" i="16"/>
  <c r="I139" i="16"/>
  <c r="I139" i="12" s="1"/>
  <c r="I6" i="16"/>
  <c r="I6" i="12" s="1"/>
  <c r="I149" i="16"/>
  <c r="I149" i="12" s="1"/>
  <c r="I45" i="16"/>
  <c r="I45" i="12" s="1"/>
  <c r="I12" i="16"/>
  <c r="I12" i="12" s="1"/>
  <c r="I13" i="16"/>
  <c r="I13" i="12" s="1"/>
  <c r="I85" i="16"/>
  <c r="I85" i="12" s="1"/>
  <c r="I129" i="16"/>
  <c r="I107" i="16"/>
  <c r="I107" i="12" s="1"/>
  <c r="I10" i="16"/>
  <c r="I10" i="12" s="1"/>
  <c r="I120" i="16"/>
  <c r="I120" i="12" s="1"/>
  <c r="I84" i="16"/>
  <c r="I84" i="12" s="1"/>
  <c r="I51" i="16"/>
  <c r="I51" i="12" s="1"/>
  <c r="I62" i="16"/>
  <c r="I62" i="12" s="1"/>
  <c r="K166" i="18"/>
  <c r="K144" i="18" s="1"/>
  <c r="K144" i="6" s="1"/>
  <c r="K45" i="16"/>
  <c r="K45" i="12" s="1"/>
  <c r="K111" i="17"/>
  <c r="K111" i="13" s="1"/>
  <c r="H75" i="6"/>
  <c r="H70" i="6" s="1"/>
  <c r="H119" i="6"/>
  <c r="H114" i="6" s="1"/>
  <c r="H9" i="12"/>
  <c r="H52" i="12"/>
  <c r="H31" i="6"/>
  <c r="H26" i="6" s="1"/>
  <c r="H108" i="6"/>
  <c r="H103" i="6" s="1"/>
  <c r="H152" i="12"/>
  <c r="H127" i="12"/>
  <c r="H152" i="6"/>
  <c r="H147" i="6" s="1"/>
  <c r="H42" i="12"/>
  <c r="H108" i="12"/>
  <c r="H9" i="6"/>
  <c r="H4" i="6" s="1"/>
  <c r="H42" i="6"/>
  <c r="H37" i="6" s="1"/>
  <c r="H119" i="12"/>
  <c r="H7" i="17"/>
  <c r="H7" i="13" s="1"/>
  <c r="H141" i="6"/>
  <c r="H136" i="6" s="1"/>
  <c r="H86" i="6"/>
  <c r="H81" i="6" s="1"/>
  <c r="H64" i="6"/>
  <c r="H59" i="6" s="1"/>
  <c r="H73" i="17"/>
  <c r="H73" i="13" s="1"/>
  <c r="H164" i="13"/>
  <c r="H141" i="12"/>
  <c r="H139" i="17"/>
  <c r="H139" i="13" s="1"/>
  <c r="H52" i="6"/>
  <c r="H53" i="6" s="1"/>
  <c r="H132" i="6"/>
  <c r="H133" i="6"/>
  <c r="H128" i="6"/>
  <c r="H40" i="17"/>
  <c r="H40" i="13" s="1"/>
  <c r="H128" i="17"/>
  <c r="H29" i="17"/>
  <c r="H29" i="13" s="1"/>
  <c r="H129" i="12"/>
  <c r="H168" i="12"/>
  <c r="H126" i="12"/>
  <c r="H8" i="17"/>
  <c r="H8" i="13" s="1"/>
  <c r="H129" i="17"/>
  <c r="H140" i="17"/>
  <c r="H140" i="13" s="1"/>
  <c r="H31" i="12"/>
  <c r="H132" i="12"/>
  <c r="H64" i="12"/>
  <c r="H127" i="6"/>
  <c r="H117" i="17"/>
  <c r="H117" i="13" s="1"/>
  <c r="H62" i="17"/>
  <c r="H62" i="13" s="1"/>
  <c r="H86" i="12"/>
  <c r="H151" i="17"/>
  <c r="H151" i="13" s="1"/>
  <c r="H118" i="17"/>
  <c r="H118" i="13" s="1"/>
  <c r="H107" i="17"/>
  <c r="H107" i="13" s="1"/>
  <c r="H51" i="17"/>
  <c r="H51" i="13" s="1"/>
  <c r="H150" i="17"/>
  <c r="H150" i="13" s="1"/>
  <c r="H129" i="6"/>
  <c r="H41" i="17"/>
  <c r="H41" i="13" s="1"/>
  <c r="H52" i="17"/>
  <c r="H52" i="13" s="1"/>
  <c r="H30" i="17"/>
  <c r="H30" i="13" s="1"/>
  <c r="H75" i="12"/>
  <c r="H128" i="12"/>
  <c r="H133" i="12"/>
  <c r="H106" i="17"/>
  <c r="H106" i="13" s="1"/>
  <c r="H84" i="17"/>
  <c r="H84" i="13" s="1"/>
  <c r="H164" i="6"/>
  <c r="H74" i="17"/>
  <c r="H74" i="13" s="1"/>
  <c r="H85" i="17"/>
  <c r="H85" i="13" s="1"/>
  <c r="H63" i="17"/>
  <c r="H63" i="13" s="1"/>
  <c r="H168" i="13"/>
  <c r="H126" i="6"/>
  <c r="I42" i="12" l="1"/>
  <c r="K34" i="18"/>
  <c r="K34" i="6" s="1"/>
  <c r="K78" i="18"/>
  <c r="K78" i="6" s="1"/>
  <c r="K111" i="18"/>
  <c r="K111" i="6" s="1"/>
  <c r="K45" i="18"/>
  <c r="K45" i="6" s="1"/>
  <c r="K12" i="18"/>
  <c r="K12" i="6" s="1"/>
  <c r="K56" i="18"/>
  <c r="K56" i="6" s="1"/>
  <c r="K122" i="18"/>
  <c r="K122" i="6" s="1"/>
  <c r="K67" i="18"/>
  <c r="K67" i="6" s="1"/>
  <c r="K155" i="18"/>
  <c r="K155" i="6" s="1"/>
  <c r="K89" i="18"/>
  <c r="K89" i="6" s="1"/>
  <c r="I31" i="12"/>
  <c r="I141" i="12"/>
  <c r="I75" i="12"/>
  <c r="I64" i="12"/>
  <c r="I126" i="12"/>
  <c r="I119" i="12"/>
  <c r="I129" i="12"/>
  <c r="I8" i="16"/>
  <c r="I8" i="12" s="1"/>
  <c r="I86" i="12"/>
  <c r="I108" i="12"/>
  <c r="I7" i="16"/>
  <c r="I7" i="12" s="1"/>
  <c r="I168" i="12"/>
  <c r="I151" i="16"/>
  <c r="I151" i="12" s="1"/>
  <c r="I128" i="12"/>
  <c r="I133" i="12"/>
  <c r="I132" i="12"/>
  <c r="I127" i="12"/>
  <c r="I52" i="12"/>
  <c r="I150" i="16"/>
  <c r="I150" i="12" s="1"/>
  <c r="I164" i="12"/>
  <c r="K144" i="17"/>
  <c r="K144" i="13" s="1"/>
  <c r="K78" i="17"/>
  <c r="K78" i="13" s="1"/>
  <c r="K56" i="17"/>
  <c r="K56" i="13" s="1"/>
  <c r="K89" i="17"/>
  <c r="K89" i="13" s="1"/>
  <c r="K12" i="17"/>
  <c r="K12" i="13" s="1"/>
  <c r="K155" i="17"/>
  <c r="K155" i="13" s="1"/>
  <c r="K67" i="17"/>
  <c r="K67" i="13" s="1"/>
  <c r="K122" i="17"/>
  <c r="K122" i="13" s="1"/>
  <c r="K34" i="17"/>
  <c r="K34" i="13" s="1"/>
  <c r="K45" i="17"/>
  <c r="K45" i="13" s="1"/>
  <c r="K67" i="16"/>
  <c r="K67" i="12" s="1"/>
  <c r="K122" i="16"/>
  <c r="K122" i="12" s="1"/>
  <c r="K89" i="16"/>
  <c r="K89" i="12" s="1"/>
  <c r="K56" i="16"/>
  <c r="K56" i="12" s="1"/>
  <c r="K12" i="16"/>
  <c r="K12" i="12" s="1"/>
  <c r="K34" i="16"/>
  <c r="K34" i="12" s="1"/>
  <c r="K144" i="16"/>
  <c r="K144" i="12" s="1"/>
  <c r="K111" i="16"/>
  <c r="K111" i="12" s="1"/>
  <c r="K155" i="16"/>
  <c r="K155" i="12" s="1"/>
  <c r="K78" i="16"/>
  <c r="K78" i="12" s="1"/>
  <c r="H42" i="13"/>
  <c r="H53" i="12"/>
  <c r="H129" i="13"/>
  <c r="H108" i="13"/>
  <c r="H9" i="13"/>
  <c r="H152" i="13"/>
  <c r="H75" i="13"/>
  <c r="H53" i="13"/>
  <c r="H141" i="13"/>
  <c r="H64" i="13"/>
  <c r="H130" i="6"/>
  <c r="H125" i="6" s="1"/>
  <c r="H86" i="13"/>
  <c r="H119" i="13"/>
  <c r="H48" i="6"/>
  <c r="H130" i="12"/>
  <c r="H31" i="13"/>
  <c r="H128" i="13"/>
  <c r="H133" i="13"/>
  <c r="H132" i="13"/>
  <c r="H126" i="13"/>
  <c r="H127" i="13"/>
  <c r="I9" i="12" l="1"/>
  <c r="I152" i="12"/>
  <c r="I130" i="12"/>
  <c r="I53" i="12"/>
  <c r="H130" i="13"/>
  <c r="G165" i="16" l="1"/>
  <c r="G165" i="17"/>
  <c r="G165" i="18"/>
  <c r="G163" i="16"/>
  <c r="G162" i="16"/>
  <c r="G159" i="16"/>
  <c r="G160" i="16"/>
  <c r="G168" i="16"/>
  <c r="G161" i="16"/>
  <c r="G164" i="16"/>
  <c r="G168" i="18"/>
  <c r="G162" i="18"/>
  <c r="G159" i="18"/>
  <c r="G163" i="18"/>
  <c r="G160" i="18"/>
  <c r="G164" i="18"/>
  <c r="G161" i="18"/>
  <c r="G167" i="18"/>
  <c r="G167" i="17"/>
  <c r="G168" i="17"/>
  <c r="G160" i="17"/>
  <c r="R178" i="10"/>
  <c r="G159" i="17"/>
  <c r="G161" i="17"/>
  <c r="G164" i="17"/>
  <c r="G162" i="17"/>
  <c r="G163" i="17"/>
  <c r="G153" i="17" l="1"/>
  <c r="G153" i="13" s="1"/>
  <c r="G76" i="17"/>
  <c r="G76" i="13" s="1"/>
  <c r="G32" i="17"/>
  <c r="G32" i="13" s="1"/>
  <c r="G142" i="17"/>
  <c r="G142" i="13" s="1"/>
  <c r="G87" i="17"/>
  <c r="G87" i="13" s="1"/>
  <c r="G98" i="17"/>
  <c r="G98" i="13" s="1"/>
  <c r="G109" i="17"/>
  <c r="G109" i="13" s="1"/>
  <c r="G65" i="17"/>
  <c r="G65" i="13" s="1"/>
  <c r="G43" i="17"/>
  <c r="G43" i="13" s="1"/>
  <c r="G120" i="17"/>
  <c r="G120" i="13" s="1"/>
  <c r="G21" i="17"/>
  <c r="G21" i="13" s="1"/>
  <c r="G131" i="17"/>
  <c r="G131" i="13" s="1"/>
  <c r="G54" i="17"/>
  <c r="G54" i="13" s="1"/>
  <c r="G10" i="17"/>
  <c r="G10" i="13" s="1"/>
  <c r="R175" i="11"/>
  <c r="G127" i="17"/>
  <c r="G50" i="17"/>
  <c r="G50" i="13" s="1"/>
  <c r="G28" i="17"/>
  <c r="G28" i="13" s="1"/>
  <c r="G105" i="17"/>
  <c r="G105" i="13" s="1"/>
  <c r="G6" i="17"/>
  <c r="G6" i="13" s="1"/>
  <c r="G72" i="17"/>
  <c r="G72" i="13" s="1"/>
  <c r="G138" i="17"/>
  <c r="G138" i="13" s="1"/>
  <c r="G39" i="17"/>
  <c r="G39" i="13" s="1"/>
  <c r="G83" i="17"/>
  <c r="G83" i="13" s="1"/>
  <c r="G61" i="17"/>
  <c r="G61" i="13" s="1"/>
  <c r="G149" i="17"/>
  <c r="G149" i="13" s="1"/>
  <c r="G116" i="17"/>
  <c r="G116" i="13" s="1"/>
  <c r="R171" i="11"/>
  <c r="R172" i="9"/>
  <c r="G49" i="18"/>
  <c r="G49" i="6" s="1"/>
  <c r="G38" i="18"/>
  <c r="G38" i="6" s="1"/>
  <c r="G126" i="18"/>
  <c r="G71" i="18"/>
  <c r="G71" i="6" s="1"/>
  <c r="G137" i="18"/>
  <c r="G137" i="6" s="1"/>
  <c r="G27" i="18"/>
  <c r="G148" i="18"/>
  <c r="G148" i="6" s="1"/>
  <c r="G60" i="18"/>
  <c r="G60" i="6" s="1"/>
  <c r="G5" i="18"/>
  <c r="G5" i="6" s="1"/>
  <c r="G82" i="18"/>
  <c r="G82" i="6" s="1"/>
  <c r="G104" i="18"/>
  <c r="G104" i="6" s="1"/>
  <c r="G115" i="18"/>
  <c r="G115" i="6" s="1"/>
  <c r="R170" i="9"/>
  <c r="R172" i="10"/>
  <c r="R173" i="10"/>
  <c r="G132" i="16"/>
  <c r="R176" i="10"/>
  <c r="G88" i="16"/>
  <c r="G88" i="12" s="1"/>
  <c r="G33" i="16"/>
  <c r="G33" i="12" s="1"/>
  <c r="G77" i="16"/>
  <c r="G77" i="12" s="1"/>
  <c r="G66" i="16"/>
  <c r="G66" i="12" s="1"/>
  <c r="G154" i="16"/>
  <c r="G154" i="12" s="1"/>
  <c r="G55" i="16"/>
  <c r="G55" i="12" s="1"/>
  <c r="G11" i="16"/>
  <c r="G11" i="12" s="1"/>
  <c r="G121" i="16"/>
  <c r="G121" i="12" s="1"/>
  <c r="G143" i="16"/>
  <c r="G143" i="12" s="1"/>
  <c r="G44" i="16"/>
  <c r="G44" i="12" s="1"/>
  <c r="G110" i="16"/>
  <c r="G110" i="12" s="1"/>
  <c r="R172" i="11"/>
  <c r="G102" i="17"/>
  <c r="G102" i="13" s="1"/>
  <c r="G69" i="17"/>
  <c r="G69" i="13" s="1"/>
  <c r="G80" i="17"/>
  <c r="G80" i="13" s="1"/>
  <c r="G146" i="17"/>
  <c r="G146" i="13" s="1"/>
  <c r="G124" i="17"/>
  <c r="G124" i="13" s="1"/>
  <c r="G14" i="17"/>
  <c r="G14" i="13" s="1"/>
  <c r="G91" i="17"/>
  <c r="G91" i="13" s="1"/>
  <c r="G36" i="17"/>
  <c r="G36" i="13" s="1"/>
  <c r="G113" i="17"/>
  <c r="G113" i="13" s="1"/>
  <c r="G58" i="17"/>
  <c r="G58" i="13" s="1"/>
  <c r="G135" i="17"/>
  <c r="G135" i="13" s="1"/>
  <c r="G25" i="17"/>
  <c r="G25" i="13" s="1"/>
  <c r="G157" i="17"/>
  <c r="G157" i="13" s="1"/>
  <c r="G47" i="17"/>
  <c r="G47" i="13" s="1"/>
  <c r="R179" i="11"/>
  <c r="G120" i="18"/>
  <c r="G120" i="6" s="1"/>
  <c r="G109" i="18"/>
  <c r="G109" i="6" s="1"/>
  <c r="G10" i="18"/>
  <c r="G10" i="6" s="1"/>
  <c r="G131" i="18"/>
  <c r="G131" i="6" s="1"/>
  <c r="G54" i="18"/>
  <c r="G54" i="6" s="1"/>
  <c r="G43" i="18"/>
  <c r="G43" i="6" s="1"/>
  <c r="G153" i="18"/>
  <c r="G153" i="6" s="1"/>
  <c r="G142" i="18"/>
  <c r="G142" i="6" s="1"/>
  <c r="G76" i="18"/>
  <c r="G76" i="6" s="1"/>
  <c r="G32" i="18"/>
  <c r="G32" i="6" s="1"/>
  <c r="G87" i="18"/>
  <c r="G87" i="6" s="1"/>
  <c r="G65" i="18"/>
  <c r="G65" i="6" s="1"/>
  <c r="G98" i="18"/>
  <c r="G98" i="6" s="1"/>
  <c r="G21" i="18"/>
  <c r="G21" i="6" s="1"/>
  <c r="R175" i="9"/>
  <c r="R173" i="9"/>
  <c r="G157" i="16"/>
  <c r="G157" i="12" s="1"/>
  <c r="G113" i="16"/>
  <c r="G113" i="12" s="1"/>
  <c r="G14" i="16"/>
  <c r="G14" i="12" s="1"/>
  <c r="G102" i="16"/>
  <c r="G102" i="12" s="1"/>
  <c r="G135" i="16"/>
  <c r="G135" i="12" s="1"/>
  <c r="G91" i="16"/>
  <c r="G91" i="12" s="1"/>
  <c r="G58" i="16"/>
  <c r="G58" i="12" s="1"/>
  <c r="G36" i="16"/>
  <c r="G36" i="12" s="1"/>
  <c r="G146" i="16"/>
  <c r="G146" i="12" s="1"/>
  <c r="G80" i="16"/>
  <c r="G80" i="12" s="1"/>
  <c r="G69" i="16"/>
  <c r="G69" i="12" s="1"/>
  <c r="G47" i="16"/>
  <c r="G47" i="12" s="1"/>
  <c r="G25" i="16"/>
  <c r="G25" i="12" s="1"/>
  <c r="G124" i="16"/>
  <c r="G124" i="12" s="1"/>
  <c r="R179" i="10"/>
  <c r="G97" i="16"/>
  <c r="G108" i="16"/>
  <c r="G119" i="16"/>
  <c r="G75" i="16"/>
  <c r="G141" i="16"/>
  <c r="G20" i="16"/>
  <c r="G53" i="16"/>
  <c r="G130" i="16"/>
  <c r="G31" i="16"/>
  <c r="G9" i="16"/>
  <c r="G42" i="16"/>
  <c r="G64" i="16"/>
  <c r="G152" i="16"/>
  <c r="G86" i="16"/>
  <c r="R174" i="10"/>
  <c r="G152" i="17"/>
  <c r="G20" i="17"/>
  <c r="G86" i="17"/>
  <c r="G75" i="17"/>
  <c r="G42" i="17"/>
  <c r="G119" i="17"/>
  <c r="G108" i="17"/>
  <c r="G97" i="17"/>
  <c r="G9" i="17"/>
  <c r="G141" i="17"/>
  <c r="G53" i="17"/>
  <c r="G130" i="17"/>
  <c r="G64" i="17"/>
  <c r="G31" i="17"/>
  <c r="R174" i="11"/>
  <c r="G82" i="17"/>
  <c r="G82" i="13" s="1"/>
  <c r="G49" i="17"/>
  <c r="G137" i="17"/>
  <c r="G5" i="17"/>
  <c r="G104" i="17"/>
  <c r="G104" i="13" s="1"/>
  <c r="G27" i="17"/>
  <c r="G126" i="17"/>
  <c r="G115" i="17"/>
  <c r="G60" i="17"/>
  <c r="G60" i="13" s="1"/>
  <c r="G38" i="17"/>
  <c r="G38" i="13" s="1"/>
  <c r="G148" i="17"/>
  <c r="G71" i="17"/>
  <c r="G71" i="13" s="1"/>
  <c r="R170" i="11"/>
  <c r="G13" i="17"/>
  <c r="G13" i="13" s="1"/>
  <c r="G134" i="17"/>
  <c r="G134" i="13" s="1"/>
  <c r="G35" i="17"/>
  <c r="G35" i="13" s="1"/>
  <c r="G112" i="17"/>
  <c r="G112" i="13" s="1"/>
  <c r="G123" i="17"/>
  <c r="G123" i="13" s="1"/>
  <c r="G145" i="17"/>
  <c r="G145" i="13" s="1"/>
  <c r="G156" i="17"/>
  <c r="G156" i="13" s="1"/>
  <c r="G46" i="17"/>
  <c r="G46" i="13" s="1"/>
  <c r="G57" i="17"/>
  <c r="G57" i="13" s="1"/>
  <c r="G101" i="17"/>
  <c r="G101" i="13" s="1"/>
  <c r="G90" i="17"/>
  <c r="G90" i="13" s="1"/>
  <c r="G79" i="17"/>
  <c r="G79" i="13" s="1"/>
  <c r="G68" i="17"/>
  <c r="G68" i="13" s="1"/>
  <c r="R178" i="11"/>
  <c r="G50" i="18"/>
  <c r="G50" i="6" s="1"/>
  <c r="G28" i="18"/>
  <c r="G28" i="6" s="1"/>
  <c r="G61" i="18"/>
  <c r="G61" i="6" s="1"/>
  <c r="G127" i="18"/>
  <c r="G105" i="18"/>
  <c r="G105" i="6" s="1"/>
  <c r="G138" i="18"/>
  <c r="G138" i="6" s="1"/>
  <c r="G149" i="18"/>
  <c r="G149" i="6" s="1"/>
  <c r="G6" i="18"/>
  <c r="G6" i="6" s="1"/>
  <c r="G116" i="18"/>
  <c r="G116" i="6" s="1"/>
  <c r="G72" i="18"/>
  <c r="G72" i="6" s="1"/>
  <c r="G83" i="18"/>
  <c r="G83" i="6" s="1"/>
  <c r="G39" i="18"/>
  <c r="R171" i="9"/>
  <c r="G135" i="18"/>
  <c r="G135" i="6" s="1"/>
  <c r="G58" i="18"/>
  <c r="G58" i="6" s="1"/>
  <c r="G36" i="18"/>
  <c r="G36" i="6" s="1"/>
  <c r="G102" i="18"/>
  <c r="G102" i="6" s="1"/>
  <c r="G157" i="18"/>
  <c r="G157" i="6" s="1"/>
  <c r="G113" i="18"/>
  <c r="G113" i="6" s="1"/>
  <c r="G124" i="18"/>
  <c r="G124" i="6" s="1"/>
  <c r="G146" i="18"/>
  <c r="G146" i="6" s="1"/>
  <c r="G91" i="18"/>
  <c r="G91" i="6" s="1"/>
  <c r="G14" i="18"/>
  <c r="G14" i="6" s="1"/>
  <c r="G25" i="18"/>
  <c r="G25" i="6" s="1"/>
  <c r="G80" i="18"/>
  <c r="G80" i="6" s="1"/>
  <c r="G69" i="18"/>
  <c r="G69" i="6" s="1"/>
  <c r="G47" i="18"/>
  <c r="G47" i="6" s="1"/>
  <c r="R179" i="9"/>
  <c r="G50" i="16"/>
  <c r="G50" i="12" s="1"/>
  <c r="G72" i="16"/>
  <c r="G72" i="12" s="1"/>
  <c r="G138" i="16"/>
  <c r="G138" i="12" s="1"/>
  <c r="G28" i="16"/>
  <c r="G28" i="12" s="1"/>
  <c r="G105" i="16"/>
  <c r="G105" i="12" s="1"/>
  <c r="G127" i="16"/>
  <c r="G39" i="16"/>
  <c r="G39" i="12" s="1"/>
  <c r="G6" i="16"/>
  <c r="G6" i="12" s="1"/>
  <c r="G116" i="16"/>
  <c r="G116" i="12" s="1"/>
  <c r="G149" i="16"/>
  <c r="G149" i="12" s="1"/>
  <c r="G83" i="16"/>
  <c r="G83" i="12" s="1"/>
  <c r="G61" i="16"/>
  <c r="G61" i="12" s="1"/>
  <c r="R171" i="10"/>
  <c r="R176" i="9"/>
  <c r="G55" i="18"/>
  <c r="G55" i="6" s="1"/>
  <c r="G11" i="18"/>
  <c r="G11" i="6" s="1"/>
  <c r="G121" i="18"/>
  <c r="G121" i="6" s="1"/>
  <c r="G154" i="18"/>
  <c r="G154" i="6" s="1"/>
  <c r="G77" i="18"/>
  <c r="G77" i="6" s="1"/>
  <c r="G88" i="18"/>
  <c r="G88" i="6" s="1"/>
  <c r="G143" i="18"/>
  <c r="G143" i="6" s="1"/>
  <c r="G44" i="18"/>
  <c r="G44" i="6" s="1"/>
  <c r="G33" i="18"/>
  <c r="G33" i="6" s="1"/>
  <c r="G66" i="18"/>
  <c r="G66" i="6" s="1"/>
  <c r="G110" i="18"/>
  <c r="G110" i="6" s="1"/>
  <c r="R173" i="11"/>
  <c r="G134" i="18"/>
  <c r="G68" i="18"/>
  <c r="G68" i="6" s="1"/>
  <c r="G46" i="18"/>
  <c r="G46" i="6" s="1"/>
  <c r="G156" i="18"/>
  <c r="G112" i="18"/>
  <c r="G112" i="6" s="1"/>
  <c r="G101" i="18"/>
  <c r="G101" i="6" s="1"/>
  <c r="G145" i="18"/>
  <c r="G145" i="6" s="1"/>
  <c r="G13" i="18"/>
  <c r="G13" i="6" s="1"/>
  <c r="G90" i="18"/>
  <c r="G90" i="6" s="1"/>
  <c r="G57" i="18"/>
  <c r="G57" i="6" s="1"/>
  <c r="G35" i="18"/>
  <c r="G35" i="6" s="1"/>
  <c r="G123" i="18"/>
  <c r="G123" i="6" s="1"/>
  <c r="G79" i="18"/>
  <c r="G79" i="6" s="1"/>
  <c r="R178" i="9"/>
  <c r="G119" i="18"/>
  <c r="G130" i="18"/>
  <c r="G9" i="18"/>
  <c r="G86" i="18"/>
  <c r="G53" i="18"/>
  <c r="G97" i="18"/>
  <c r="G75" i="18"/>
  <c r="G152" i="18"/>
  <c r="G31" i="18"/>
  <c r="G64" i="18"/>
  <c r="G20" i="18"/>
  <c r="G108" i="18"/>
  <c r="G141" i="18"/>
  <c r="G42" i="18"/>
  <c r="R174" i="9"/>
  <c r="G98" i="16"/>
  <c r="G98" i="12" s="1"/>
  <c r="G120" i="16"/>
  <c r="G120" i="12" s="1"/>
  <c r="G65" i="16"/>
  <c r="G65" i="12" s="1"/>
  <c r="G32" i="16"/>
  <c r="G32" i="12" s="1"/>
  <c r="G43" i="16"/>
  <c r="G43" i="12" s="1"/>
  <c r="G109" i="16"/>
  <c r="G109" i="12" s="1"/>
  <c r="G10" i="16"/>
  <c r="G10" i="12" s="1"/>
  <c r="G76" i="16"/>
  <c r="G76" i="12" s="1"/>
  <c r="G131" i="16"/>
  <c r="G131" i="12" s="1"/>
  <c r="G153" i="16"/>
  <c r="G153" i="12" s="1"/>
  <c r="G54" i="16"/>
  <c r="G54" i="12" s="1"/>
  <c r="G87" i="16"/>
  <c r="G87" i="12" s="1"/>
  <c r="G21" i="16"/>
  <c r="G21" i="12" s="1"/>
  <c r="G142" i="16"/>
  <c r="G142" i="12" s="1"/>
  <c r="R175" i="10"/>
  <c r="G5" i="16"/>
  <c r="G148" i="16"/>
  <c r="G82" i="16"/>
  <c r="G49" i="16"/>
  <c r="G126" i="16"/>
  <c r="G115" i="16"/>
  <c r="G137" i="16"/>
  <c r="G104" i="16"/>
  <c r="G71" i="16"/>
  <c r="G60" i="16"/>
  <c r="G27" i="16"/>
  <c r="G38" i="16"/>
  <c r="R170" i="10"/>
  <c r="R176" i="11"/>
  <c r="G132" i="17"/>
  <c r="G110" i="17"/>
  <c r="G110" i="13" s="1"/>
  <c r="G88" i="17"/>
  <c r="G88" i="13" s="1"/>
  <c r="G33" i="17"/>
  <c r="G33" i="13" s="1"/>
  <c r="G143" i="17"/>
  <c r="G143" i="13" s="1"/>
  <c r="G66" i="17"/>
  <c r="G66" i="13" s="1"/>
  <c r="G154" i="17"/>
  <c r="G154" i="13" s="1"/>
  <c r="G55" i="17"/>
  <c r="G55" i="13" s="1"/>
  <c r="G44" i="17"/>
  <c r="G44" i="13" s="1"/>
  <c r="G77" i="17"/>
  <c r="G77" i="13" s="1"/>
  <c r="G121" i="17"/>
  <c r="G121" i="13" s="1"/>
  <c r="G11" i="17"/>
  <c r="G11" i="13" s="1"/>
  <c r="F165" i="16"/>
  <c r="F165" i="17"/>
  <c r="F165" i="18"/>
  <c r="F163" i="16"/>
  <c r="F160" i="16"/>
  <c r="F161" i="16"/>
  <c r="F164" i="16"/>
  <c r="F162" i="16"/>
  <c r="F168" i="16"/>
  <c r="F159" i="16"/>
  <c r="F159" i="18"/>
  <c r="F164" i="18"/>
  <c r="F167" i="18"/>
  <c r="F162" i="18"/>
  <c r="F160" i="18"/>
  <c r="F161" i="18"/>
  <c r="F168" i="18"/>
  <c r="F163" i="18"/>
  <c r="F160" i="17"/>
  <c r="F164" i="17"/>
  <c r="Q178" i="10"/>
  <c r="F167" i="17"/>
  <c r="F161" i="17"/>
  <c r="F163" i="17"/>
  <c r="F162" i="17"/>
  <c r="F168" i="17"/>
  <c r="F159" i="17"/>
  <c r="G151" i="17" l="1"/>
  <c r="G151" i="13" s="1"/>
  <c r="G140" i="17"/>
  <c r="G140" i="13" s="1"/>
  <c r="G52" i="17"/>
  <c r="G52" i="13" s="1"/>
  <c r="G118" i="17"/>
  <c r="G118" i="13" s="1"/>
  <c r="G30" i="17"/>
  <c r="G30" i="13" s="1"/>
  <c r="G74" i="17"/>
  <c r="G74" i="13" s="1"/>
  <c r="G41" i="17"/>
  <c r="G41" i="13" s="1"/>
  <c r="G41" i="18"/>
  <c r="G41" i="6" s="1"/>
  <c r="G85" i="17"/>
  <c r="G85" i="13" s="1"/>
  <c r="G63" i="17"/>
  <c r="G63" i="13" s="1"/>
  <c r="G8" i="17"/>
  <c r="G8" i="13" s="1"/>
  <c r="G107" i="17"/>
  <c r="G107" i="13" s="1"/>
  <c r="G129" i="17"/>
  <c r="G168" i="13"/>
  <c r="G71" i="12"/>
  <c r="G73" i="16"/>
  <c r="G73" i="12" s="1"/>
  <c r="G74" i="16"/>
  <c r="G74" i="12" s="1"/>
  <c r="G129" i="16"/>
  <c r="G128" i="16"/>
  <c r="G5" i="12"/>
  <c r="G8" i="16"/>
  <c r="G8" i="12" s="1"/>
  <c r="G7" i="16"/>
  <c r="G7" i="12" s="1"/>
  <c r="G168" i="6"/>
  <c r="G148" i="13"/>
  <c r="G150" i="17"/>
  <c r="G150" i="13" s="1"/>
  <c r="G137" i="13"/>
  <c r="G139" i="17"/>
  <c r="G139" i="13" s="1"/>
  <c r="G168" i="12"/>
  <c r="G107" i="18"/>
  <c r="G107" i="6" s="1"/>
  <c r="G118" i="18"/>
  <c r="G118" i="6" s="1"/>
  <c r="G128" i="17"/>
  <c r="G84" i="17"/>
  <c r="G84" i="13" s="1"/>
  <c r="G38" i="12"/>
  <c r="G40" i="16"/>
  <c r="G40" i="12" s="1"/>
  <c r="G41" i="16"/>
  <c r="G41" i="12" s="1"/>
  <c r="G104" i="12"/>
  <c r="G107" i="16"/>
  <c r="G107" i="12" s="1"/>
  <c r="G106" i="16"/>
  <c r="G106" i="12" s="1"/>
  <c r="G49" i="12"/>
  <c r="G51" i="16"/>
  <c r="G51" i="12" s="1"/>
  <c r="G52" i="16"/>
  <c r="G164" i="12"/>
  <c r="G39" i="6"/>
  <c r="G40" i="18"/>
  <c r="G40" i="6" s="1"/>
  <c r="G128" i="18"/>
  <c r="G27" i="13"/>
  <c r="G29" i="17"/>
  <c r="G29" i="13" s="1"/>
  <c r="G49" i="13"/>
  <c r="G51" i="17"/>
  <c r="G51" i="13" s="1"/>
  <c r="G85" i="18"/>
  <c r="G85" i="6" s="1"/>
  <c r="G129" i="18"/>
  <c r="G63" i="18"/>
  <c r="G63" i="6" s="1"/>
  <c r="G106" i="17"/>
  <c r="G106" i="13" s="1"/>
  <c r="G27" i="12"/>
  <c r="G29" i="16"/>
  <c r="G29" i="12" s="1"/>
  <c r="G30" i="16"/>
  <c r="G30" i="12" s="1"/>
  <c r="G137" i="12"/>
  <c r="G139" i="16"/>
  <c r="G139" i="12" s="1"/>
  <c r="G140" i="16"/>
  <c r="G140" i="12" s="1"/>
  <c r="G82" i="12"/>
  <c r="G84" i="16"/>
  <c r="G84" i="12" s="1"/>
  <c r="G85" i="16"/>
  <c r="G85" i="12" s="1"/>
  <c r="G134" i="6"/>
  <c r="G156" i="6"/>
  <c r="G140" i="18"/>
  <c r="G140" i="6" s="1"/>
  <c r="G8" i="18"/>
  <c r="G8" i="6" s="1"/>
  <c r="G164" i="6"/>
  <c r="G73" i="17"/>
  <c r="G73" i="13" s="1"/>
  <c r="G60" i="12"/>
  <c r="G62" i="16"/>
  <c r="G62" i="12" s="1"/>
  <c r="G63" i="16"/>
  <c r="G63" i="12" s="1"/>
  <c r="G115" i="12"/>
  <c r="G117" i="16"/>
  <c r="G117" i="12" s="1"/>
  <c r="G118" i="16"/>
  <c r="G118" i="12" s="1"/>
  <c r="G148" i="12"/>
  <c r="G151" i="16"/>
  <c r="G151" i="12" s="1"/>
  <c r="G150" i="16"/>
  <c r="G150" i="12" s="1"/>
  <c r="G115" i="13"/>
  <c r="G117" i="17"/>
  <c r="G117" i="13" s="1"/>
  <c r="G5" i="13"/>
  <c r="G7" i="17"/>
  <c r="G7" i="13" s="1"/>
  <c r="G74" i="18"/>
  <c r="G74" i="6" s="1"/>
  <c r="G52" i="18"/>
  <c r="G151" i="18"/>
  <c r="G151" i="6" s="1"/>
  <c r="G40" i="17"/>
  <c r="G40" i="13" s="1"/>
  <c r="G62" i="17"/>
  <c r="G62" i="13" s="1"/>
  <c r="G30" i="18"/>
  <c r="G30" i="6" s="1"/>
  <c r="G27" i="6"/>
  <c r="G73" i="18"/>
  <c r="G73" i="6" s="1"/>
  <c r="G51" i="18"/>
  <c r="G51" i="6" s="1"/>
  <c r="G62" i="18"/>
  <c r="G62" i="6" s="1"/>
  <c r="G150" i="18"/>
  <c r="G150" i="6" s="1"/>
  <c r="G106" i="18"/>
  <c r="G106" i="6" s="1"/>
  <c r="G117" i="18"/>
  <c r="G117" i="6" s="1"/>
  <c r="G29" i="18"/>
  <c r="G29" i="6" s="1"/>
  <c r="G164" i="13"/>
  <c r="G139" i="18"/>
  <c r="G139" i="6" s="1"/>
  <c r="G7" i="18"/>
  <c r="G7" i="6" s="1"/>
  <c r="G84" i="18"/>
  <c r="G84" i="6" s="1"/>
  <c r="F152" i="17"/>
  <c r="F130" i="17"/>
  <c r="F141" i="17"/>
  <c r="F86" i="17"/>
  <c r="F119" i="17"/>
  <c r="F42" i="17"/>
  <c r="F9" i="17"/>
  <c r="F108" i="17"/>
  <c r="F31" i="17"/>
  <c r="F97" i="17"/>
  <c r="F64" i="17"/>
  <c r="F75" i="17"/>
  <c r="F20" i="17"/>
  <c r="F53" i="17"/>
  <c r="Q174" i="11"/>
  <c r="F153" i="17"/>
  <c r="F153" i="13" s="1"/>
  <c r="F10" i="17"/>
  <c r="F10" i="13" s="1"/>
  <c r="F76" i="17"/>
  <c r="F76" i="13" s="1"/>
  <c r="F98" i="17"/>
  <c r="F98" i="13" s="1"/>
  <c r="F120" i="17"/>
  <c r="F120" i="13" s="1"/>
  <c r="F21" i="17"/>
  <c r="F21" i="13" s="1"/>
  <c r="F142" i="17"/>
  <c r="F142" i="13" s="1"/>
  <c r="F109" i="17"/>
  <c r="F109" i="13" s="1"/>
  <c r="F131" i="17"/>
  <c r="F131" i="13" s="1"/>
  <c r="F43" i="17"/>
  <c r="F43" i="13" s="1"/>
  <c r="F65" i="17"/>
  <c r="F65" i="13" s="1"/>
  <c r="F32" i="17"/>
  <c r="F32" i="13" s="1"/>
  <c r="F54" i="17"/>
  <c r="F54" i="13" s="1"/>
  <c r="F87" i="17"/>
  <c r="F87" i="13" s="1"/>
  <c r="Q175" i="11"/>
  <c r="Q172" i="9"/>
  <c r="F120" i="18"/>
  <c r="F120" i="6" s="1"/>
  <c r="F131" i="18"/>
  <c r="F131" i="6" s="1"/>
  <c r="F32" i="18"/>
  <c r="F32" i="6" s="1"/>
  <c r="F109" i="18"/>
  <c r="F109" i="6" s="1"/>
  <c r="F10" i="18"/>
  <c r="F10" i="6" s="1"/>
  <c r="F21" i="18"/>
  <c r="F21" i="6" s="1"/>
  <c r="F65" i="18"/>
  <c r="F65" i="6" s="1"/>
  <c r="F142" i="18"/>
  <c r="F142" i="6" s="1"/>
  <c r="F98" i="18"/>
  <c r="F98" i="6" s="1"/>
  <c r="F153" i="18"/>
  <c r="F153" i="6" s="1"/>
  <c r="F54" i="18"/>
  <c r="F54" i="6" s="1"/>
  <c r="F43" i="18"/>
  <c r="F43" i="6" s="1"/>
  <c r="F76" i="18"/>
  <c r="F76" i="6" s="1"/>
  <c r="F87" i="18"/>
  <c r="F87" i="6" s="1"/>
  <c r="Q175" i="9"/>
  <c r="Q173" i="10"/>
  <c r="F20" i="16"/>
  <c r="F108" i="16"/>
  <c r="F119" i="16"/>
  <c r="F9" i="16"/>
  <c r="F64" i="16"/>
  <c r="F53" i="16"/>
  <c r="F42" i="16"/>
  <c r="F97" i="16"/>
  <c r="F86" i="16"/>
  <c r="F31" i="16"/>
  <c r="F152" i="16"/>
  <c r="F141" i="16"/>
  <c r="F130" i="16"/>
  <c r="F75" i="16"/>
  <c r="Q174" i="10"/>
  <c r="F5" i="17"/>
  <c r="F5" i="13" s="1"/>
  <c r="F115" i="17"/>
  <c r="F115" i="13" s="1"/>
  <c r="F82" i="17"/>
  <c r="F82" i="13" s="1"/>
  <c r="F137" i="17"/>
  <c r="F137" i="13" s="1"/>
  <c r="F60" i="17"/>
  <c r="F60" i="13" s="1"/>
  <c r="F38" i="17"/>
  <c r="F38" i="13" s="1"/>
  <c r="F104" i="17"/>
  <c r="F104" i="13" s="1"/>
  <c r="F71" i="17"/>
  <c r="F71" i="13" s="1"/>
  <c r="F126" i="17"/>
  <c r="F27" i="17"/>
  <c r="F27" i="13" s="1"/>
  <c r="F148" i="17"/>
  <c r="F148" i="13" s="1"/>
  <c r="F49" i="17"/>
  <c r="F49" i="13" s="1"/>
  <c r="Q170" i="11"/>
  <c r="Q172" i="11"/>
  <c r="F138" i="17"/>
  <c r="F138" i="13" s="1"/>
  <c r="F50" i="17"/>
  <c r="F50" i="13" s="1"/>
  <c r="F6" i="17"/>
  <c r="F6" i="13" s="1"/>
  <c r="F127" i="17"/>
  <c r="F116" i="17"/>
  <c r="F116" i="13" s="1"/>
  <c r="F72" i="17"/>
  <c r="F72" i="13" s="1"/>
  <c r="F28" i="17"/>
  <c r="F28" i="13" s="1"/>
  <c r="F61" i="17"/>
  <c r="F61" i="13" s="1"/>
  <c r="F83" i="17"/>
  <c r="F83" i="13" s="1"/>
  <c r="F105" i="17"/>
  <c r="F105" i="13" s="1"/>
  <c r="F39" i="17"/>
  <c r="F39" i="13" s="1"/>
  <c r="F149" i="17"/>
  <c r="F149" i="13" s="1"/>
  <c r="Q171" i="11"/>
  <c r="F116" i="18"/>
  <c r="F116" i="6" s="1"/>
  <c r="F83" i="18"/>
  <c r="F83" i="6" s="1"/>
  <c r="F72" i="18"/>
  <c r="F72" i="6" s="1"/>
  <c r="F149" i="18"/>
  <c r="F149" i="6" s="1"/>
  <c r="F127" i="18"/>
  <c r="F39" i="18"/>
  <c r="F39" i="6" s="1"/>
  <c r="F61" i="18"/>
  <c r="F61" i="6" s="1"/>
  <c r="F50" i="18"/>
  <c r="F50" i="6" s="1"/>
  <c r="F28" i="18"/>
  <c r="F28" i="6" s="1"/>
  <c r="F6" i="18"/>
  <c r="F6" i="6" s="1"/>
  <c r="F105" i="18"/>
  <c r="F105" i="6" s="1"/>
  <c r="F138" i="18"/>
  <c r="F138" i="6" s="1"/>
  <c r="Q171" i="9"/>
  <c r="F104" i="18"/>
  <c r="F104" i="6" s="1"/>
  <c r="F126" i="18"/>
  <c r="F27" i="18"/>
  <c r="F27" i="6" s="1"/>
  <c r="F38" i="18"/>
  <c r="F38" i="6" s="1"/>
  <c r="F5" i="18"/>
  <c r="F5" i="6" s="1"/>
  <c r="F137" i="18"/>
  <c r="F137" i="6" s="1"/>
  <c r="F82" i="18"/>
  <c r="F82" i="6" s="1"/>
  <c r="F148" i="18"/>
  <c r="F148" i="6" s="1"/>
  <c r="F115" i="18"/>
  <c r="F115" i="6" s="1"/>
  <c r="F60" i="18"/>
  <c r="F60" i="6" s="1"/>
  <c r="F49" i="18"/>
  <c r="F49" i="6" s="1"/>
  <c r="F71" i="18"/>
  <c r="F71" i="6" s="1"/>
  <c r="Q170" i="9"/>
  <c r="F10" i="16"/>
  <c r="F10" i="12" s="1"/>
  <c r="F43" i="16"/>
  <c r="F43" i="12" s="1"/>
  <c r="F87" i="16"/>
  <c r="F87" i="12" s="1"/>
  <c r="F54" i="16"/>
  <c r="F54" i="12" s="1"/>
  <c r="F109" i="16"/>
  <c r="F109" i="12" s="1"/>
  <c r="F65" i="16"/>
  <c r="F65" i="12" s="1"/>
  <c r="F131" i="16"/>
  <c r="F131" i="12" s="1"/>
  <c r="F142" i="16"/>
  <c r="F142" i="12" s="1"/>
  <c r="F76" i="16"/>
  <c r="F76" i="12" s="1"/>
  <c r="F153" i="16"/>
  <c r="F153" i="12" s="1"/>
  <c r="F32" i="16"/>
  <c r="F32" i="12" s="1"/>
  <c r="F120" i="16"/>
  <c r="F120" i="12" s="1"/>
  <c r="F98" i="16"/>
  <c r="F98" i="12" s="1"/>
  <c r="F21" i="16"/>
  <c r="F21" i="12" s="1"/>
  <c r="Q175" i="10"/>
  <c r="Q176" i="9"/>
  <c r="F44" i="18"/>
  <c r="F44" i="6" s="1"/>
  <c r="F33" i="18"/>
  <c r="F33" i="6" s="1"/>
  <c r="F77" i="18"/>
  <c r="F77" i="6" s="1"/>
  <c r="F88" i="18"/>
  <c r="F88" i="6" s="1"/>
  <c r="F11" i="18"/>
  <c r="F11" i="6" s="1"/>
  <c r="F143" i="18"/>
  <c r="F143" i="6" s="1"/>
  <c r="F110" i="18"/>
  <c r="F110" i="6" s="1"/>
  <c r="F154" i="18"/>
  <c r="F154" i="6" s="1"/>
  <c r="F121" i="18"/>
  <c r="F121" i="6" s="1"/>
  <c r="F55" i="18"/>
  <c r="F55" i="6" s="1"/>
  <c r="F66" i="18"/>
  <c r="F66" i="6" s="1"/>
  <c r="F102" i="17"/>
  <c r="F102" i="13" s="1"/>
  <c r="F146" i="17"/>
  <c r="F146" i="13" s="1"/>
  <c r="F135" i="17"/>
  <c r="F135" i="13" s="1"/>
  <c r="F124" i="17"/>
  <c r="F124" i="13" s="1"/>
  <c r="F36" i="17"/>
  <c r="F36" i="13" s="1"/>
  <c r="F25" i="17"/>
  <c r="F25" i="13" s="1"/>
  <c r="F58" i="17"/>
  <c r="F58" i="13" s="1"/>
  <c r="F91" i="17"/>
  <c r="F91" i="13" s="1"/>
  <c r="F69" i="17"/>
  <c r="F69" i="13" s="1"/>
  <c r="F113" i="17"/>
  <c r="F113" i="13" s="1"/>
  <c r="F14" i="17"/>
  <c r="F14" i="13" s="1"/>
  <c r="F47" i="17"/>
  <c r="F47" i="13" s="1"/>
  <c r="F157" i="17"/>
  <c r="F157" i="13" s="1"/>
  <c r="F80" i="17"/>
  <c r="F80" i="13" s="1"/>
  <c r="Q179" i="11"/>
  <c r="F123" i="17"/>
  <c r="F123" i="13" s="1"/>
  <c r="F156" i="17"/>
  <c r="F156" i="13" s="1"/>
  <c r="F79" i="17"/>
  <c r="F79" i="13" s="1"/>
  <c r="F90" i="17"/>
  <c r="F90" i="13" s="1"/>
  <c r="F35" i="17"/>
  <c r="F35" i="13" s="1"/>
  <c r="F101" i="17"/>
  <c r="F101" i="13" s="1"/>
  <c r="F68" i="17"/>
  <c r="F68" i="13" s="1"/>
  <c r="F13" i="17"/>
  <c r="F13" i="13" s="1"/>
  <c r="F57" i="17"/>
  <c r="F57" i="13" s="1"/>
  <c r="F134" i="17"/>
  <c r="F134" i="13" s="1"/>
  <c r="F145" i="17"/>
  <c r="F145" i="13" s="1"/>
  <c r="F112" i="17"/>
  <c r="F112" i="13" s="1"/>
  <c r="F46" i="17"/>
  <c r="F46" i="13" s="1"/>
  <c r="Q178" i="11"/>
  <c r="F9" i="18"/>
  <c r="F64" i="18"/>
  <c r="F152" i="18"/>
  <c r="F31" i="18"/>
  <c r="F42" i="18"/>
  <c r="F20" i="18"/>
  <c r="F108" i="18"/>
  <c r="F119" i="18"/>
  <c r="F75" i="18"/>
  <c r="F97" i="18"/>
  <c r="F53" i="18"/>
  <c r="F141" i="18"/>
  <c r="F130" i="18"/>
  <c r="F86" i="18"/>
  <c r="Q174" i="9"/>
  <c r="Q173" i="9"/>
  <c r="F137" i="16"/>
  <c r="F137" i="12" s="1"/>
  <c r="F38" i="16"/>
  <c r="F38" i="12" s="1"/>
  <c r="F27" i="16"/>
  <c r="F27" i="12" s="1"/>
  <c r="F115" i="16"/>
  <c r="F115" i="12" s="1"/>
  <c r="F82" i="16"/>
  <c r="F82" i="12" s="1"/>
  <c r="F104" i="16"/>
  <c r="F104" i="12" s="1"/>
  <c r="F49" i="16"/>
  <c r="F49" i="12" s="1"/>
  <c r="F71" i="16"/>
  <c r="F71" i="12" s="1"/>
  <c r="F5" i="16"/>
  <c r="F5" i="12" s="1"/>
  <c r="F148" i="16"/>
  <c r="F148" i="12" s="1"/>
  <c r="F126" i="16"/>
  <c r="F60" i="16"/>
  <c r="F60" i="12" s="1"/>
  <c r="Q170" i="10"/>
  <c r="Q172" i="10"/>
  <c r="Q176" i="11"/>
  <c r="F132" i="17"/>
  <c r="F33" i="17"/>
  <c r="F33" i="13" s="1"/>
  <c r="F143" i="17"/>
  <c r="F143" i="13" s="1"/>
  <c r="F110" i="17"/>
  <c r="F110" i="13" s="1"/>
  <c r="F11" i="17"/>
  <c r="F11" i="13" s="1"/>
  <c r="F121" i="17"/>
  <c r="F121" i="13" s="1"/>
  <c r="F66" i="17"/>
  <c r="F66" i="13" s="1"/>
  <c r="F154" i="17"/>
  <c r="F154" i="13" s="1"/>
  <c r="F77" i="17"/>
  <c r="F77" i="13" s="1"/>
  <c r="F88" i="17"/>
  <c r="F88" i="13" s="1"/>
  <c r="F55" i="17"/>
  <c r="F55" i="13" s="1"/>
  <c r="F44" i="17"/>
  <c r="F44" i="13" s="1"/>
  <c r="Q173" i="11"/>
  <c r="F91" i="18"/>
  <c r="F91" i="6" s="1"/>
  <c r="F135" i="18"/>
  <c r="F135" i="6" s="1"/>
  <c r="F47" i="18"/>
  <c r="F47" i="6" s="1"/>
  <c r="F14" i="18"/>
  <c r="F14" i="6" s="1"/>
  <c r="F80" i="18"/>
  <c r="F80" i="6" s="1"/>
  <c r="F157" i="18"/>
  <c r="F157" i="6" s="1"/>
  <c r="F69" i="18"/>
  <c r="F69" i="6" s="1"/>
  <c r="F124" i="18"/>
  <c r="F124" i="6" s="1"/>
  <c r="F146" i="18"/>
  <c r="F146" i="6" s="1"/>
  <c r="F25" i="18"/>
  <c r="F25" i="6" s="1"/>
  <c r="F102" i="18"/>
  <c r="F102" i="6" s="1"/>
  <c r="F58" i="18"/>
  <c r="F58" i="6" s="1"/>
  <c r="F36" i="18"/>
  <c r="F36" i="6" s="1"/>
  <c r="F113" i="18"/>
  <c r="F113" i="6" s="1"/>
  <c r="Q179" i="9"/>
  <c r="F156" i="18"/>
  <c r="F134" i="18"/>
  <c r="F101" i="18"/>
  <c r="F101" i="6" s="1"/>
  <c r="F68" i="18"/>
  <c r="F68" i="6" s="1"/>
  <c r="F90" i="18"/>
  <c r="F90" i="6" s="1"/>
  <c r="F57" i="18"/>
  <c r="F57" i="6" s="1"/>
  <c r="F112" i="18"/>
  <c r="F112" i="6" s="1"/>
  <c r="F35" i="18"/>
  <c r="F35" i="6" s="1"/>
  <c r="F79" i="18"/>
  <c r="F79" i="6" s="1"/>
  <c r="F123" i="18"/>
  <c r="F123" i="6" s="1"/>
  <c r="F145" i="18"/>
  <c r="F145" i="6" s="1"/>
  <c r="F13" i="18"/>
  <c r="F13" i="6" s="1"/>
  <c r="F46" i="18"/>
  <c r="F46" i="6" s="1"/>
  <c r="Q178" i="9"/>
  <c r="F80" i="16"/>
  <c r="F80" i="12" s="1"/>
  <c r="F146" i="16"/>
  <c r="F146" i="12" s="1"/>
  <c r="F14" i="16"/>
  <c r="F14" i="12" s="1"/>
  <c r="F25" i="16"/>
  <c r="F25" i="12" s="1"/>
  <c r="F113" i="16"/>
  <c r="F113" i="12" s="1"/>
  <c r="F124" i="16"/>
  <c r="F124" i="12" s="1"/>
  <c r="F47" i="16"/>
  <c r="F47" i="12" s="1"/>
  <c r="F69" i="16"/>
  <c r="F69" i="12" s="1"/>
  <c r="F58" i="16"/>
  <c r="F58" i="12" s="1"/>
  <c r="F157" i="16"/>
  <c r="F157" i="12" s="1"/>
  <c r="F102" i="16"/>
  <c r="F102" i="12" s="1"/>
  <c r="F36" i="16"/>
  <c r="F36" i="12" s="1"/>
  <c r="F135" i="16"/>
  <c r="F135" i="12" s="1"/>
  <c r="F91" i="16"/>
  <c r="F91" i="12" s="1"/>
  <c r="Q179" i="10"/>
  <c r="F61" i="16"/>
  <c r="F61" i="12" s="1"/>
  <c r="F28" i="16"/>
  <c r="F28" i="12" s="1"/>
  <c r="F83" i="16"/>
  <c r="F83" i="12" s="1"/>
  <c r="F149" i="16"/>
  <c r="F149" i="12" s="1"/>
  <c r="F6" i="16"/>
  <c r="F6" i="12" s="1"/>
  <c r="F105" i="16"/>
  <c r="F105" i="12" s="1"/>
  <c r="F72" i="16"/>
  <c r="F72" i="12" s="1"/>
  <c r="F138" i="16"/>
  <c r="F138" i="12" s="1"/>
  <c r="F50" i="16"/>
  <c r="F50" i="12" s="1"/>
  <c r="F127" i="16"/>
  <c r="F116" i="16"/>
  <c r="F116" i="12" s="1"/>
  <c r="F39" i="16"/>
  <c r="F39" i="12" s="1"/>
  <c r="Q171" i="10"/>
  <c r="F132" i="16"/>
  <c r="Q176" i="10"/>
  <c r="F143" i="16"/>
  <c r="F143" i="12" s="1"/>
  <c r="F121" i="16"/>
  <c r="F121" i="12" s="1"/>
  <c r="F88" i="16"/>
  <c r="F88" i="12" s="1"/>
  <c r="F44" i="16"/>
  <c r="F44" i="12" s="1"/>
  <c r="F154" i="16"/>
  <c r="F154" i="12" s="1"/>
  <c r="F77" i="16"/>
  <c r="F77" i="12" s="1"/>
  <c r="F55" i="16"/>
  <c r="F55" i="12" s="1"/>
  <c r="F110" i="16"/>
  <c r="F110" i="12" s="1"/>
  <c r="F33" i="16"/>
  <c r="F33" i="12" s="1"/>
  <c r="F11" i="16"/>
  <c r="F11" i="12" s="1"/>
  <c r="F66" i="16"/>
  <c r="F66" i="12" s="1"/>
  <c r="D162" i="17"/>
  <c r="D168" i="17"/>
  <c r="D163" i="17"/>
  <c r="D167" i="17"/>
  <c r="D161" i="17"/>
  <c r="D159" i="17"/>
  <c r="D164" i="17"/>
  <c r="D160" i="17"/>
  <c r="O178" i="10"/>
  <c r="E165" i="17"/>
  <c r="E165" i="18"/>
  <c r="E165" i="16"/>
  <c r="E168" i="16"/>
  <c r="E159" i="16"/>
  <c r="E161" i="16"/>
  <c r="E164" i="16"/>
  <c r="E162" i="16"/>
  <c r="E160" i="16"/>
  <c r="E163" i="16"/>
  <c r="E162" i="18"/>
  <c r="E161" i="18"/>
  <c r="E164" i="18"/>
  <c r="E168" i="18"/>
  <c r="E167" i="18"/>
  <c r="E160" i="18"/>
  <c r="E163" i="18"/>
  <c r="E159" i="18"/>
  <c r="E163" i="17"/>
  <c r="E168" i="17"/>
  <c r="E159" i="17"/>
  <c r="E160" i="17"/>
  <c r="E167" i="17"/>
  <c r="E161" i="17"/>
  <c r="E162" i="17"/>
  <c r="E164" i="17"/>
  <c r="P178" i="10"/>
  <c r="D165" i="17"/>
  <c r="D165" i="16"/>
  <c r="D165" i="18"/>
  <c r="D159" i="16"/>
  <c r="D164" i="16"/>
  <c r="O175" i="10" s="1"/>
  <c r="D163" i="16"/>
  <c r="O174" i="10" s="1"/>
  <c r="D160" i="16"/>
  <c r="D168" i="16"/>
  <c r="O179" i="10" s="1"/>
  <c r="D161" i="16"/>
  <c r="O172" i="10" s="1"/>
  <c r="D162" i="16"/>
  <c r="O173" i="10" s="1"/>
  <c r="D167" i="18"/>
  <c r="O178" i="9" s="1"/>
  <c r="D163" i="18"/>
  <c r="O174" i="9" s="1"/>
  <c r="D161" i="18"/>
  <c r="O172" i="9" s="1"/>
  <c r="D164" i="18"/>
  <c r="O175" i="9" s="1"/>
  <c r="D168" i="18"/>
  <c r="O179" i="9" s="1"/>
  <c r="D162" i="18"/>
  <c r="O173" i="9" s="1"/>
  <c r="D160" i="18"/>
  <c r="O171" i="9" s="1"/>
  <c r="D159" i="18"/>
  <c r="O170" i="9" s="1"/>
  <c r="F128" i="18" l="1"/>
  <c r="F128" i="6" s="1"/>
  <c r="G31" i="13"/>
  <c r="G152" i="13"/>
  <c r="G119" i="13"/>
  <c r="G53" i="13"/>
  <c r="G141" i="13"/>
  <c r="G64" i="6"/>
  <c r="G59" i="6" s="1"/>
  <c r="G75" i="13"/>
  <c r="F151" i="17"/>
  <c r="F151" i="13" s="1"/>
  <c r="G86" i="13"/>
  <c r="G42" i="13"/>
  <c r="G9" i="12"/>
  <c r="F8" i="17"/>
  <c r="F8" i="13" s="1"/>
  <c r="F129" i="17"/>
  <c r="F140" i="18"/>
  <c r="F140" i="6" s="1"/>
  <c r="G64" i="13"/>
  <c r="F63" i="17"/>
  <c r="F63" i="13" s="1"/>
  <c r="F30" i="17"/>
  <c r="F30" i="13" s="1"/>
  <c r="F85" i="17"/>
  <c r="F85" i="13" s="1"/>
  <c r="G9" i="6"/>
  <c r="G4" i="6" s="1"/>
  <c r="G42" i="6"/>
  <c r="G37" i="6" s="1"/>
  <c r="G127" i="13"/>
  <c r="G86" i="6"/>
  <c r="G81" i="6" s="1"/>
  <c r="G119" i="6"/>
  <c r="G114" i="6" s="1"/>
  <c r="G75" i="12"/>
  <c r="F41" i="18"/>
  <c r="F41" i="6" s="1"/>
  <c r="G129" i="13"/>
  <c r="G42" i="12"/>
  <c r="F118" i="17"/>
  <c r="F118" i="13" s="1"/>
  <c r="F129" i="18"/>
  <c r="G141" i="6"/>
  <c r="G136" i="6" s="1"/>
  <c r="G86" i="12"/>
  <c r="G132" i="12"/>
  <c r="F41" i="17"/>
  <c r="F41" i="13" s="1"/>
  <c r="G31" i="6"/>
  <c r="G26" i="6" s="1"/>
  <c r="F30" i="18"/>
  <c r="F30" i="6" s="1"/>
  <c r="G126" i="6"/>
  <c r="G108" i="13"/>
  <c r="F140" i="17"/>
  <c r="F140" i="13" s="1"/>
  <c r="G75" i="6"/>
  <c r="G70" i="6" s="1"/>
  <c r="G129" i="6"/>
  <c r="G108" i="12"/>
  <c r="F107" i="18"/>
  <c r="F107" i="6" s="1"/>
  <c r="F118" i="18"/>
  <c r="F118" i="6" s="1"/>
  <c r="F128" i="17"/>
  <c r="G119" i="12"/>
  <c r="F74" i="17"/>
  <c r="F74" i="13" s="1"/>
  <c r="F8" i="18"/>
  <c r="F8" i="6" s="1"/>
  <c r="F151" i="18"/>
  <c r="F151" i="6" s="1"/>
  <c r="F74" i="18"/>
  <c r="F74" i="6" s="1"/>
  <c r="G152" i="6"/>
  <c r="G147" i="6" s="1"/>
  <c r="F52" i="17"/>
  <c r="F52" i="13" s="1"/>
  <c r="F107" i="17"/>
  <c r="F107" i="13" s="1"/>
  <c r="F63" i="18"/>
  <c r="F63" i="6" s="1"/>
  <c r="F52" i="18"/>
  <c r="F85" i="18"/>
  <c r="F85" i="6" s="1"/>
  <c r="G128" i="6"/>
  <c r="G133" i="6"/>
  <c r="G132" i="6"/>
  <c r="G152" i="12"/>
  <c r="G127" i="6"/>
  <c r="G128" i="13"/>
  <c r="G133" i="13"/>
  <c r="G127" i="12"/>
  <c r="G128" i="12"/>
  <c r="G133" i="12"/>
  <c r="G52" i="6"/>
  <c r="G53" i="6" s="1"/>
  <c r="G64" i="12"/>
  <c r="G9" i="13"/>
  <c r="G141" i="12"/>
  <c r="G126" i="13"/>
  <c r="G129" i="12"/>
  <c r="G52" i="12"/>
  <c r="G108" i="6"/>
  <c r="G103" i="6" s="1"/>
  <c r="G31" i="12"/>
  <c r="G126" i="12"/>
  <c r="G132" i="13"/>
  <c r="F134" i="6"/>
  <c r="F156" i="6"/>
  <c r="F168" i="6"/>
  <c r="F150" i="16"/>
  <c r="F150" i="12" s="1"/>
  <c r="F7" i="16"/>
  <c r="F7" i="12" s="1"/>
  <c r="F84" i="16"/>
  <c r="F84" i="12" s="1"/>
  <c r="F84" i="17"/>
  <c r="F84" i="13" s="1"/>
  <c r="F73" i="17"/>
  <c r="F73" i="13" s="1"/>
  <c r="F139" i="17"/>
  <c r="F139" i="13" s="1"/>
  <c r="F85" i="16"/>
  <c r="F85" i="12" s="1"/>
  <c r="F151" i="16"/>
  <c r="F151" i="12" s="1"/>
  <c r="F118" i="16"/>
  <c r="F118" i="12" s="1"/>
  <c r="F29" i="18"/>
  <c r="F29" i="6" s="1"/>
  <c r="F84" i="18"/>
  <c r="F84" i="6" s="1"/>
  <c r="F40" i="16"/>
  <c r="F40" i="12" s="1"/>
  <c r="F51" i="16"/>
  <c r="F51" i="12" s="1"/>
  <c r="F128" i="16"/>
  <c r="F164" i="12"/>
  <c r="F117" i="17"/>
  <c r="F117" i="13" s="1"/>
  <c r="F150" i="17"/>
  <c r="F150" i="13" s="1"/>
  <c r="F7" i="17"/>
  <c r="F7" i="13" s="1"/>
  <c r="F63" i="16"/>
  <c r="F63" i="12" s="1"/>
  <c r="F140" i="16"/>
  <c r="F140" i="12" s="1"/>
  <c r="F41" i="16"/>
  <c r="F41" i="12" s="1"/>
  <c r="F139" i="18"/>
  <c r="F139" i="6" s="1"/>
  <c r="F73" i="18"/>
  <c r="F73" i="6" s="1"/>
  <c r="F117" i="18"/>
  <c r="F117" i="6" s="1"/>
  <c r="F106" i="16"/>
  <c r="F106" i="12" s="1"/>
  <c r="F73" i="16"/>
  <c r="F73" i="12" s="1"/>
  <c r="F117" i="16"/>
  <c r="F117" i="12" s="1"/>
  <c r="F168" i="13"/>
  <c r="F51" i="17"/>
  <c r="F51" i="13" s="1"/>
  <c r="F29" i="17"/>
  <c r="F29" i="13" s="1"/>
  <c r="F62" i="17"/>
  <c r="F62" i="13" s="1"/>
  <c r="F30" i="16"/>
  <c r="F30" i="12" s="1"/>
  <c r="F107" i="16"/>
  <c r="F107" i="12" s="1"/>
  <c r="F74" i="16"/>
  <c r="F74" i="12" s="1"/>
  <c r="F164" i="6"/>
  <c r="F51" i="18"/>
  <c r="F51" i="6" s="1"/>
  <c r="F150" i="18"/>
  <c r="F150" i="6" s="1"/>
  <c r="F62" i="18"/>
  <c r="F62" i="6" s="1"/>
  <c r="F168" i="12"/>
  <c r="F139" i="16"/>
  <c r="F139" i="12" s="1"/>
  <c r="F29" i="16"/>
  <c r="F29" i="12" s="1"/>
  <c r="F62" i="16"/>
  <c r="F62" i="12" s="1"/>
  <c r="F40" i="17"/>
  <c r="F40" i="13" s="1"/>
  <c r="F106" i="17"/>
  <c r="F106" i="13" s="1"/>
  <c r="F8" i="16"/>
  <c r="F8" i="12" s="1"/>
  <c r="F129" i="16"/>
  <c r="F52" i="16"/>
  <c r="F7" i="18"/>
  <c r="F7" i="6" s="1"/>
  <c r="F40" i="18"/>
  <c r="F40" i="6" s="1"/>
  <c r="F106" i="18"/>
  <c r="F106" i="6" s="1"/>
  <c r="F164" i="13"/>
  <c r="E131" i="17"/>
  <c r="E131" i="13" s="1"/>
  <c r="E153" i="17"/>
  <c r="E153" i="13" s="1"/>
  <c r="E32" i="17"/>
  <c r="E32" i="13" s="1"/>
  <c r="E142" i="17"/>
  <c r="E142" i="13" s="1"/>
  <c r="E21" i="17"/>
  <c r="E21" i="13" s="1"/>
  <c r="E120" i="17"/>
  <c r="E120" i="13" s="1"/>
  <c r="E109" i="17"/>
  <c r="E109" i="13" s="1"/>
  <c r="E43" i="17"/>
  <c r="E43" i="13" s="1"/>
  <c r="E54" i="17"/>
  <c r="E54" i="13" s="1"/>
  <c r="E10" i="17"/>
  <c r="E10" i="13" s="1"/>
  <c r="E76" i="17"/>
  <c r="E76" i="13" s="1"/>
  <c r="E65" i="17"/>
  <c r="E65" i="13" s="1"/>
  <c r="E98" i="17"/>
  <c r="E98" i="13" s="1"/>
  <c r="E87" i="17"/>
  <c r="E87" i="13" s="1"/>
  <c r="P175" i="11"/>
  <c r="E72" i="17"/>
  <c r="E72" i="13" s="1"/>
  <c r="E105" i="17"/>
  <c r="E105" i="13" s="1"/>
  <c r="E50" i="17"/>
  <c r="E50" i="13" s="1"/>
  <c r="E28" i="17"/>
  <c r="E28" i="13" s="1"/>
  <c r="E149" i="17"/>
  <c r="E149" i="13" s="1"/>
  <c r="E39" i="17"/>
  <c r="E39" i="13" s="1"/>
  <c r="E83" i="17"/>
  <c r="E83" i="13" s="1"/>
  <c r="E6" i="17"/>
  <c r="E6" i="13" s="1"/>
  <c r="E127" i="17"/>
  <c r="E116" i="17"/>
  <c r="E116" i="13" s="1"/>
  <c r="E61" i="17"/>
  <c r="E61" i="13" s="1"/>
  <c r="E138" i="17"/>
  <c r="E138" i="13" s="1"/>
  <c r="P171" i="11"/>
  <c r="E137" i="18"/>
  <c r="E38" i="18"/>
  <c r="E38" i="6" s="1"/>
  <c r="E148" i="18"/>
  <c r="E148" i="6" s="1"/>
  <c r="E104" i="18"/>
  <c r="E104" i="6" s="1"/>
  <c r="E126" i="18"/>
  <c r="E115" i="18"/>
  <c r="E115" i="6" s="1"/>
  <c r="E27" i="18"/>
  <c r="E27" i="6" s="1"/>
  <c r="E71" i="18"/>
  <c r="E71" i="6" s="1"/>
  <c r="E49" i="18"/>
  <c r="E49" i="6" s="1"/>
  <c r="E82" i="18"/>
  <c r="E82" i="6" s="1"/>
  <c r="E5" i="18"/>
  <c r="E5" i="6" s="1"/>
  <c r="E60" i="18"/>
  <c r="E60" i="6" s="1"/>
  <c r="P170" i="9"/>
  <c r="E124" i="18"/>
  <c r="E124" i="6" s="1"/>
  <c r="E80" i="18"/>
  <c r="E80" i="6" s="1"/>
  <c r="E91" i="18"/>
  <c r="E91" i="6" s="1"/>
  <c r="E113" i="18"/>
  <c r="E113" i="6" s="1"/>
  <c r="E146" i="18"/>
  <c r="E146" i="6" s="1"/>
  <c r="E25" i="18"/>
  <c r="E25" i="6" s="1"/>
  <c r="E102" i="18"/>
  <c r="E102" i="6" s="1"/>
  <c r="E36" i="18"/>
  <c r="E36" i="6" s="1"/>
  <c r="E47" i="18"/>
  <c r="E47" i="6" s="1"/>
  <c r="E135" i="18"/>
  <c r="E135" i="6" s="1"/>
  <c r="E69" i="18"/>
  <c r="E69" i="6" s="1"/>
  <c r="E157" i="18"/>
  <c r="E157" i="6" s="1"/>
  <c r="E14" i="18"/>
  <c r="E14" i="6" s="1"/>
  <c r="E58" i="18"/>
  <c r="E58" i="6" s="1"/>
  <c r="P179" i="9"/>
  <c r="E108" i="16"/>
  <c r="E9" i="16"/>
  <c r="E141" i="16"/>
  <c r="E42" i="16"/>
  <c r="E31" i="16"/>
  <c r="E53" i="16"/>
  <c r="E130" i="16"/>
  <c r="E152" i="16"/>
  <c r="E75" i="16"/>
  <c r="E97" i="16"/>
  <c r="E64" i="16"/>
  <c r="E20" i="16"/>
  <c r="E86" i="16"/>
  <c r="E119" i="16"/>
  <c r="P174" i="10"/>
  <c r="P172" i="10"/>
  <c r="P176" i="9"/>
  <c r="E88" i="18"/>
  <c r="E88" i="6" s="1"/>
  <c r="E44" i="18"/>
  <c r="E44" i="6" s="1"/>
  <c r="E77" i="18"/>
  <c r="E77" i="6" s="1"/>
  <c r="E66" i="18"/>
  <c r="E66" i="6" s="1"/>
  <c r="E154" i="18"/>
  <c r="E154" i="6" s="1"/>
  <c r="E33" i="18"/>
  <c r="E33" i="6" s="1"/>
  <c r="E110" i="18"/>
  <c r="E110" i="6" s="1"/>
  <c r="E55" i="18"/>
  <c r="E55" i="6" s="1"/>
  <c r="E121" i="18"/>
  <c r="E121" i="6" s="1"/>
  <c r="E11" i="18"/>
  <c r="E11" i="6" s="1"/>
  <c r="E143" i="18"/>
  <c r="E143" i="6" s="1"/>
  <c r="O171" i="11"/>
  <c r="D39" i="17"/>
  <c r="D39" i="13" s="1"/>
  <c r="D28" i="17"/>
  <c r="D28" i="13" s="1"/>
  <c r="D6" i="17"/>
  <c r="D6" i="13" s="1"/>
  <c r="D149" i="17"/>
  <c r="D149" i="13" s="1"/>
  <c r="D50" i="17"/>
  <c r="D50" i="13" s="1"/>
  <c r="D61" i="17"/>
  <c r="D61" i="13" s="1"/>
  <c r="D127" i="17"/>
  <c r="D72" i="17"/>
  <c r="D72" i="13" s="1"/>
  <c r="D116" i="17"/>
  <c r="D116" i="13" s="1"/>
  <c r="D105" i="17"/>
  <c r="D105" i="13" s="1"/>
  <c r="D138" i="17"/>
  <c r="D138" i="13" s="1"/>
  <c r="D83" i="17"/>
  <c r="D83" i="13" s="1"/>
  <c r="O178" i="11"/>
  <c r="D101" i="17"/>
  <c r="D101" i="13" s="1"/>
  <c r="D46" i="17"/>
  <c r="D46" i="13" s="1"/>
  <c r="D13" i="17"/>
  <c r="D13" i="13" s="1"/>
  <c r="D68" i="17"/>
  <c r="D68" i="13" s="1"/>
  <c r="D90" i="17"/>
  <c r="D90" i="13" s="1"/>
  <c r="D134" i="17"/>
  <c r="D134" i="13" s="1"/>
  <c r="D35" i="17"/>
  <c r="D35" i="13" s="1"/>
  <c r="D57" i="17"/>
  <c r="D57" i="13" s="1"/>
  <c r="D112" i="17"/>
  <c r="D112" i="13" s="1"/>
  <c r="D79" i="17"/>
  <c r="D79" i="13" s="1"/>
  <c r="D156" i="17"/>
  <c r="D156" i="13" s="1"/>
  <c r="D145" i="17"/>
  <c r="D145" i="13" s="1"/>
  <c r="D123" i="17"/>
  <c r="D123" i="13" s="1"/>
  <c r="P173" i="11"/>
  <c r="E137" i="17"/>
  <c r="E137" i="13" s="1"/>
  <c r="E126" i="17"/>
  <c r="E71" i="17"/>
  <c r="E71" i="13" s="1"/>
  <c r="E148" i="17"/>
  <c r="E148" i="13" s="1"/>
  <c r="E104" i="17"/>
  <c r="E104" i="13" s="1"/>
  <c r="E49" i="17"/>
  <c r="E49" i="13" s="1"/>
  <c r="E27" i="17"/>
  <c r="E27" i="13" s="1"/>
  <c r="E5" i="17"/>
  <c r="E5" i="13" s="1"/>
  <c r="E38" i="17"/>
  <c r="E38" i="13" s="1"/>
  <c r="E115" i="17"/>
  <c r="E115" i="13" s="1"/>
  <c r="E60" i="17"/>
  <c r="E60" i="13" s="1"/>
  <c r="E82" i="17"/>
  <c r="E82" i="13" s="1"/>
  <c r="P170" i="11"/>
  <c r="E86" i="18"/>
  <c r="E64" i="18"/>
  <c r="E141" i="18"/>
  <c r="E20" i="18"/>
  <c r="E9" i="18"/>
  <c r="E75" i="18"/>
  <c r="E42" i="18"/>
  <c r="E119" i="18"/>
  <c r="E31" i="18"/>
  <c r="E53" i="18"/>
  <c r="E130" i="18"/>
  <c r="E97" i="18"/>
  <c r="E152" i="18"/>
  <c r="E108" i="18"/>
  <c r="P174" i="9"/>
  <c r="E153" i="18"/>
  <c r="E153" i="6" s="1"/>
  <c r="E109" i="18"/>
  <c r="E109" i="6" s="1"/>
  <c r="E131" i="18"/>
  <c r="E131" i="6" s="1"/>
  <c r="E98" i="18"/>
  <c r="E98" i="6" s="1"/>
  <c r="E43" i="18"/>
  <c r="E43" i="6" s="1"/>
  <c r="E32" i="18"/>
  <c r="E32" i="6" s="1"/>
  <c r="E87" i="18"/>
  <c r="E87" i="6" s="1"/>
  <c r="E54" i="18"/>
  <c r="E54" i="6" s="1"/>
  <c r="E10" i="18"/>
  <c r="E10" i="6" s="1"/>
  <c r="E76" i="18"/>
  <c r="E76" i="6" s="1"/>
  <c r="E120" i="18"/>
  <c r="E120" i="6" s="1"/>
  <c r="E142" i="18"/>
  <c r="E142" i="6" s="1"/>
  <c r="E65" i="18"/>
  <c r="E65" i="6" s="1"/>
  <c r="E21" i="18"/>
  <c r="E21" i="6" s="1"/>
  <c r="P175" i="9"/>
  <c r="E6" i="16"/>
  <c r="E6" i="12" s="1"/>
  <c r="E116" i="16"/>
  <c r="E116" i="12" s="1"/>
  <c r="E105" i="16"/>
  <c r="E105" i="12" s="1"/>
  <c r="E72" i="16"/>
  <c r="E72" i="12" s="1"/>
  <c r="E83" i="16"/>
  <c r="E83" i="12" s="1"/>
  <c r="E127" i="16"/>
  <c r="E50" i="16"/>
  <c r="E50" i="12" s="1"/>
  <c r="E28" i="16"/>
  <c r="E28" i="12" s="1"/>
  <c r="E138" i="16"/>
  <c r="E138" i="12" s="1"/>
  <c r="E61" i="16"/>
  <c r="E61" i="12" s="1"/>
  <c r="E39" i="16"/>
  <c r="E39" i="12" s="1"/>
  <c r="E149" i="16"/>
  <c r="E149" i="12" s="1"/>
  <c r="P171" i="10"/>
  <c r="E115" i="16"/>
  <c r="E115" i="12" s="1"/>
  <c r="E82" i="16"/>
  <c r="E82" i="12" s="1"/>
  <c r="E27" i="16"/>
  <c r="E27" i="12" s="1"/>
  <c r="E38" i="16"/>
  <c r="E38" i="12" s="1"/>
  <c r="E60" i="16"/>
  <c r="E60" i="12" s="1"/>
  <c r="E148" i="16"/>
  <c r="E148" i="12" s="1"/>
  <c r="E137" i="16"/>
  <c r="E137" i="12" s="1"/>
  <c r="E71" i="16"/>
  <c r="E71" i="12" s="1"/>
  <c r="E49" i="16"/>
  <c r="E49" i="12" s="1"/>
  <c r="E126" i="16"/>
  <c r="E104" i="16"/>
  <c r="E104" i="12" s="1"/>
  <c r="E5" i="16"/>
  <c r="E5" i="12" s="1"/>
  <c r="P170" i="10"/>
  <c r="P176" i="11"/>
  <c r="E132" i="17"/>
  <c r="E143" i="17"/>
  <c r="E143" i="13" s="1"/>
  <c r="E154" i="17"/>
  <c r="E154" i="13" s="1"/>
  <c r="E110" i="17"/>
  <c r="E110" i="13" s="1"/>
  <c r="E88" i="17"/>
  <c r="E88" i="13" s="1"/>
  <c r="E121" i="17"/>
  <c r="E121" i="13" s="1"/>
  <c r="E66" i="17"/>
  <c r="E66" i="13" s="1"/>
  <c r="E77" i="17"/>
  <c r="E77" i="13" s="1"/>
  <c r="E11" i="17"/>
  <c r="E11" i="13" s="1"/>
  <c r="E55" i="17"/>
  <c r="E55" i="13" s="1"/>
  <c r="E33" i="17"/>
  <c r="E33" i="13" s="1"/>
  <c r="E44" i="17"/>
  <c r="E44" i="13" s="1"/>
  <c r="O175" i="11"/>
  <c r="D32" i="17"/>
  <c r="D32" i="13" s="1"/>
  <c r="D43" i="17"/>
  <c r="D43" i="13" s="1"/>
  <c r="D98" i="17"/>
  <c r="D98" i="13" s="1"/>
  <c r="D10" i="17"/>
  <c r="D10" i="13" s="1"/>
  <c r="D109" i="17"/>
  <c r="D109" i="13" s="1"/>
  <c r="D54" i="17"/>
  <c r="D54" i="13" s="1"/>
  <c r="D153" i="17"/>
  <c r="D153" i="13" s="1"/>
  <c r="D120" i="17"/>
  <c r="D120" i="13" s="1"/>
  <c r="D21" i="17"/>
  <c r="D21" i="13" s="1"/>
  <c r="D65" i="17"/>
  <c r="D65" i="13" s="1"/>
  <c r="D131" i="17"/>
  <c r="D131" i="13" s="1"/>
  <c r="D87" i="17"/>
  <c r="D87" i="13" s="1"/>
  <c r="D76" i="17"/>
  <c r="D76" i="13" s="1"/>
  <c r="D142" i="17"/>
  <c r="D142" i="13" s="1"/>
  <c r="O174" i="11"/>
  <c r="D130" i="17"/>
  <c r="D9" i="17"/>
  <c r="D86" i="17"/>
  <c r="D53" i="17"/>
  <c r="D20" i="17"/>
  <c r="D42" i="17"/>
  <c r="D152" i="17"/>
  <c r="D75" i="17"/>
  <c r="D119" i="17"/>
  <c r="D64" i="17"/>
  <c r="D31" i="17"/>
  <c r="D141" i="17"/>
  <c r="D108" i="17"/>
  <c r="D97" i="17"/>
  <c r="D11" i="16"/>
  <c r="D11" i="12" s="1"/>
  <c r="D77" i="16"/>
  <c r="D77" i="12" s="1"/>
  <c r="D33" i="16"/>
  <c r="D33" i="12" s="1"/>
  <c r="D154" i="16"/>
  <c r="D154" i="12" s="1"/>
  <c r="D110" i="16"/>
  <c r="D110" i="12" s="1"/>
  <c r="D143" i="16"/>
  <c r="D143" i="12" s="1"/>
  <c r="D66" i="16"/>
  <c r="D66" i="12" s="1"/>
  <c r="D44" i="16"/>
  <c r="D44" i="12" s="1"/>
  <c r="D121" i="16"/>
  <c r="D121" i="12" s="1"/>
  <c r="D55" i="16"/>
  <c r="D55" i="12" s="1"/>
  <c r="D88" i="16"/>
  <c r="D88" i="12" s="1"/>
  <c r="P172" i="11"/>
  <c r="E102" i="17"/>
  <c r="E102" i="13" s="1"/>
  <c r="E157" i="17"/>
  <c r="E157" i="13" s="1"/>
  <c r="E47" i="17"/>
  <c r="E47" i="13" s="1"/>
  <c r="E14" i="17"/>
  <c r="E14" i="13" s="1"/>
  <c r="E25" i="17"/>
  <c r="E25" i="13" s="1"/>
  <c r="E146" i="17"/>
  <c r="E146" i="13" s="1"/>
  <c r="E91" i="17"/>
  <c r="E91" i="13" s="1"/>
  <c r="E69" i="17"/>
  <c r="E69" i="13" s="1"/>
  <c r="E58" i="17"/>
  <c r="E58" i="13" s="1"/>
  <c r="E135" i="17"/>
  <c r="E135" i="13" s="1"/>
  <c r="E80" i="17"/>
  <c r="E80" i="13" s="1"/>
  <c r="E124" i="17"/>
  <c r="E124" i="13" s="1"/>
  <c r="E113" i="17"/>
  <c r="E113" i="13" s="1"/>
  <c r="E36" i="17"/>
  <c r="E36" i="13" s="1"/>
  <c r="P179" i="11"/>
  <c r="E127" i="18"/>
  <c r="E105" i="18"/>
  <c r="E105" i="6" s="1"/>
  <c r="E39" i="18"/>
  <c r="E39" i="6" s="1"/>
  <c r="E83" i="18"/>
  <c r="E83" i="6" s="1"/>
  <c r="E149" i="18"/>
  <c r="E149" i="6" s="1"/>
  <c r="E28" i="18"/>
  <c r="E28" i="6" s="1"/>
  <c r="E72" i="18"/>
  <c r="E72" i="6" s="1"/>
  <c r="E138" i="18"/>
  <c r="E138" i="6" s="1"/>
  <c r="E61" i="18"/>
  <c r="E61" i="6" s="1"/>
  <c r="E116" i="18"/>
  <c r="E116" i="6" s="1"/>
  <c r="E6" i="18"/>
  <c r="E6" i="6" s="1"/>
  <c r="E50" i="18"/>
  <c r="E50" i="6" s="1"/>
  <c r="P171" i="9"/>
  <c r="P172" i="9"/>
  <c r="P173" i="10"/>
  <c r="E135" i="16"/>
  <c r="E135" i="12" s="1"/>
  <c r="E124" i="16"/>
  <c r="E124" i="12" s="1"/>
  <c r="E113" i="16"/>
  <c r="E113" i="12" s="1"/>
  <c r="E58" i="16"/>
  <c r="E58" i="12" s="1"/>
  <c r="E157" i="16"/>
  <c r="E157" i="12" s="1"/>
  <c r="E36" i="16"/>
  <c r="E36" i="12" s="1"/>
  <c r="E47" i="16"/>
  <c r="E47" i="12" s="1"/>
  <c r="E25" i="16"/>
  <c r="E25" i="12" s="1"/>
  <c r="E91" i="16"/>
  <c r="E91" i="12" s="1"/>
  <c r="E69" i="16"/>
  <c r="E69" i="12" s="1"/>
  <c r="E80" i="16"/>
  <c r="E80" i="12" s="1"/>
  <c r="E146" i="16"/>
  <c r="E146" i="12" s="1"/>
  <c r="E102" i="16"/>
  <c r="E102" i="12" s="1"/>
  <c r="E14" i="16"/>
  <c r="E14" i="12" s="1"/>
  <c r="P179" i="10"/>
  <c r="O170" i="11"/>
  <c r="D60" i="17"/>
  <c r="D60" i="13" s="1"/>
  <c r="D115" i="17"/>
  <c r="D115" i="13" s="1"/>
  <c r="D38" i="17"/>
  <c r="D38" i="13" s="1"/>
  <c r="D137" i="17"/>
  <c r="D137" i="13" s="1"/>
  <c r="D71" i="17"/>
  <c r="D71" i="13" s="1"/>
  <c r="D27" i="17"/>
  <c r="D27" i="13" s="1"/>
  <c r="D49" i="17"/>
  <c r="D49" i="13" s="1"/>
  <c r="D82" i="17"/>
  <c r="D82" i="13" s="1"/>
  <c r="D5" i="17"/>
  <c r="D5" i="13" s="1"/>
  <c r="D126" i="17"/>
  <c r="D148" i="17"/>
  <c r="D148" i="13" s="1"/>
  <c r="D104" i="17"/>
  <c r="D104" i="13" s="1"/>
  <c r="O179" i="11"/>
  <c r="D146" i="17"/>
  <c r="D146" i="13" s="1"/>
  <c r="D14" i="17"/>
  <c r="D14" i="13" s="1"/>
  <c r="D69" i="17"/>
  <c r="D69" i="13" s="1"/>
  <c r="D135" i="17"/>
  <c r="D135" i="13" s="1"/>
  <c r="D47" i="17"/>
  <c r="D47" i="13" s="1"/>
  <c r="D80" i="17"/>
  <c r="D80" i="13" s="1"/>
  <c r="D157" i="17"/>
  <c r="D157" i="13" s="1"/>
  <c r="D91" i="17"/>
  <c r="D91" i="13" s="1"/>
  <c r="D124" i="17"/>
  <c r="D124" i="13" s="1"/>
  <c r="D102" i="17"/>
  <c r="D102" i="13" s="1"/>
  <c r="D113" i="17"/>
  <c r="D113" i="13" s="1"/>
  <c r="D58" i="17"/>
  <c r="D58" i="13" s="1"/>
  <c r="D36" i="17"/>
  <c r="D36" i="13" s="1"/>
  <c r="D25" i="17"/>
  <c r="D25" i="13" s="1"/>
  <c r="D88" i="17"/>
  <c r="D88" i="13" s="1"/>
  <c r="D143" i="17"/>
  <c r="D143" i="13" s="1"/>
  <c r="D66" i="17"/>
  <c r="D66" i="13" s="1"/>
  <c r="D77" i="17"/>
  <c r="D77" i="13" s="1"/>
  <c r="D110" i="17"/>
  <c r="D110" i="13" s="1"/>
  <c r="D11" i="17"/>
  <c r="D11" i="13" s="1"/>
  <c r="D121" i="17"/>
  <c r="D121" i="13" s="1"/>
  <c r="D33" i="17"/>
  <c r="D33" i="13" s="1"/>
  <c r="D44" i="17"/>
  <c r="D44" i="13" s="1"/>
  <c r="D154" i="17"/>
  <c r="D154" i="13" s="1"/>
  <c r="D55" i="17"/>
  <c r="D55" i="13" s="1"/>
  <c r="E57" i="17"/>
  <c r="E57" i="13" s="1"/>
  <c r="E134" i="17"/>
  <c r="E134" i="13" s="1"/>
  <c r="E35" i="17"/>
  <c r="E35" i="13" s="1"/>
  <c r="E13" i="17"/>
  <c r="E13" i="13" s="1"/>
  <c r="E123" i="17"/>
  <c r="E123" i="13" s="1"/>
  <c r="E112" i="17"/>
  <c r="E112" i="13" s="1"/>
  <c r="E79" i="17"/>
  <c r="E79" i="13" s="1"/>
  <c r="E68" i="17"/>
  <c r="E68" i="13" s="1"/>
  <c r="E156" i="17"/>
  <c r="E156" i="13" s="1"/>
  <c r="E46" i="17"/>
  <c r="E46" i="13" s="1"/>
  <c r="E145" i="17"/>
  <c r="E145" i="13" s="1"/>
  <c r="E101" i="17"/>
  <c r="E101" i="13" s="1"/>
  <c r="E90" i="17"/>
  <c r="E90" i="13" s="1"/>
  <c r="P178" i="11"/>
  <c r="E152" i="17"/>
  <c r="E9" i="17"/>
  <c r="E130" i="17"/>
  <c r="E42" i="17"/>
  <c r="E20" i="17"/>
  <c r="E119" i="17"/>
  <c r="E64" i="17"/>
  <c r="E141" i="17"/>
  <c r="E108" i="17"/>
  <c r="E75" i="17"/>
  <c r="E53" i="17"/>
  <c r="E31" i="17"/>
  <c r="E97" i="17"/>
  <c r="E86" i="17"/>
  <c r="P174" i="11"/>
  <c r="E134" i="18"/>
  <c r="E145" i="18"/>
  <c r="E145" i="6" s="1"/>
  <c r="E46" i="18"/>
  <c r="E46" i="6" s="1"/>
  <c r="E13" i="18"/>
  <c r="E13" i="6" s="1"/>
  <c r="E79" i="18"/>
  <c r="E79" i="6" s="1"/>
  <c r="E101" i="18"/>
  <c r="E101" i="6" s="1"/>
  <c r="E123" i="18"/>
  <c r="E123" i="6" s="1"/>
  <c r="E57" i="18"/>
  <c r="E57" i="6" s="1"/>
  <c r="E90" i="18"/>
  <c r="E90" i="6" s="1"/>
  <c r="E35" i="18"/>
  <c r="E35" i="6" s="1"/>
  <c r="E156" i="18"/>
  <c r="E68" i="18"/>
  <c r="E68" i="6" s="1"/>
  <c r="E112" i="18"/>
  <c r="E112" i="6" s="1"/>
  <c r="P178" i="9"/>
  <c r="P173" i="9"/>
  <c r="E10" i="16"/>
  <c r="E10" i="12" s="1"/>
  <c r="E98" i="16"/>
  <c r="E98" i="12" s="1"/>
  <c r="E76" i="16"/>
  <c r="E76" i="12" s="1"/>
  <c r="E153" i="16"/>
  <c r="E153" i="12" s="1"/>
  <c r="E32" i="16"/>
  <c r="E32" i="12" s="1"/>
  <c r="E87" i="16"/>
  <c r="E87" i="12" s="1"/>
  <c r="E43" i="16"/>
  <c r="E43" i="12" s="1"/>
  <c r="E65" i="16"/>
  <c r="E65" i="12" s="1"/>
  <c r="E131" i="16"/>
  <c r="E131" i="12" s="1"/>
  <c r="E109" i="16"/>
  <c r="E109" i="12" s="1"/>
  <c r="E54" i="16"/>
  <c r="E54" i="12" s="1"/>
  <c r="E120" i="16"/>
  <c r="E120" i="12" s="1"/>
  <c r="E21" i="16"/>
  <c r="E21" i="12" s="1"/>
  <c r="E142" i="16"/>
  <c r="E142" i="12" s="1"/>
  <c r="P175" i="10"/>
  <c r="E132" i="16"/>
  <c r="P176" i="10"/>
  <c r="E154" i="16"/>
  <c r="E154" i="12" s="1"/>
  <c r="E55" i="16"/>
  <c r="E55" i="12" s="1"/>
  <c r="E77" i="16"/>
  <c r="E77" i="12" s="1"/>
  <c r="E143" i="16"/>
  <c r="E143" i="12" s="1"/>
  <c r="E110" i="16"/>
  <c r="E110" i="12" s="1"/>
  <c r="E66" i="16"/>
  <c r="E66" i="12" s="1"/>
  <c r="E33" i="16"/>
  <c r="E33" i="12" s="1"/>
  <c r="E121" i="16"/>
  <c r="E121" i="12" s="1"/>
  <c r="E11" i="16"/>
  <c r="E11" i="12" s="1"/>
  <c r="E44" i="16"/>
  <c r="E44" i="12" s="1"/>
  <c r="E88" i="16"/>
  <c r="E88" i="12" s="1"/>
  <c r="O172" i="11"/>
  <c r="O173" i="11"/>
  <c r="D137" i="18"/>
  <c r="D137" i="6" s="1"/>
  <c r="D148" i="18"/>
  <c r="D148" i="6" s="1"/>
  <c r="D5" i="18"/>
  <c r="D5" i="6" s="1"/>
  <c r="D82" i="18"/>
  <c r="D82" i="6" s="1"/>
  <c r="D115" i="18"/>
  <c r="D38" i="18"/>
  <c r="D38" i="6" s="1"/>
  <c r="D104" i="18"/>
  <c r="D104" i="6" s="1"/>
  <c r="D49" i="18"/>
  <c r="D49" i="6" s="1"/>
  <c r="D27" i="18"/>
  <c r="D27" i="6" s="1"/>
  <c r="D126" i="18"/>
  <c r="D60" i="18"/>
  <c r="D60" i="6" s="1"/>
  <c r="D71" i="18"/>
  <c r="D71" i="6" s="1"/>
  <c r="D83" i="18"/>
  <c r="D83" i="6" s="1"/>
  <c r="D149" i="18"/>
  <c r="D149" i="6" s="1"/>
  <c r="D105" i="18"/>
  <c r="D105" i="6" s="1"/>
  <c r="D116" i="18"/>
  <c r="D116" i="6" s="1"/>
  <c r="D39" i="18"/>
  <c r="D39" i="6" s="1"/>
  <c r="D28" i="18"/>
  <c r="D28" i="6" s="1"/>
  <c r="D50" i="18"/>
  <c r="D50" i="6" s="1"/>
  <c r="D72" i="18"/>
  <c r="D72" i="6" s="1"/>
  <c r="D127" i="18"/>
  <c r="D61" i="18"/>
  <c r="D61" i="6" s="1"/>
  <c r="D138" i="18"/>
  <c r="D138" i="6" s="1"/>
  <c r="D6" i="18"/>
  <c r="D6" i="6" s="1"/>
  <c r="D135" i="18"/>
  <c r="D135" i="6" s="1"/>
  <c r="D146" i="18"/>
  <c r="D146" i="6" s="1"/>
  <c r="D36" i="18"/>
  <c r="D36" i="6" s="1"/>
  <c r="D14" i="18"/>
  <c r="D14" i="6" s="1"/>
  <c r="D69" i="18"/>
  <c r="D69" i="6" s="1"/>
  <c r="D58" i="18"/>
  <c r="D58" i="6" s="1"/>
  <c r="D113" i="18"/>
  <c r="D113" i="6" s="1"/>
  <c r="D80" i="18"/>
  <c r="D80" i="6" s="1"/>
  <c r="D157" i="18"/>
  <c r="D157" i="6" s="1"/>
  <c r="D47" i="18"/>
  <c r="D47" i="6" s="1"/>
  <c r="D91" i="18"/>
  <c r="D91" i="6" s="1"/>
  <c r="D25" i="18"/>
  <c r="D25" i="6" s="1"/>
  <c r="D102" i="18"/>
  <c r="D102" i="6" s="1"/>
  <c r="D124" i="18"/>
  <c r="D124" i="6" s="1"/>
  <c r="D109" i="18"/>
  <c r="D109" i="6" s="1"/>
  <c r="D10" i="18"/>
  <c r="D10" i="6" s="1"/>
  <c r="D153" i="18"/>
  <c r="D153" i="6" s="1"/>
  <c r="D32" i="18"/>
  <c r="D32" i="6" s="1"/>
  <c r="D54" i="18"/>
  <c r="D54" i="6" s="1"/>
  <c r="D43" i="18"/>
  <c r="D43" i="6" s="1"/>
  <c r="D131" i="18"/>
  <c r="D131" i="6" s="1"/>
  <c r="D142" i="18"/>
  <c r="D142" i="6" s="1"/>
  <c r="D21" i="18"/>
  <c r="D21" i="6" s="1"/>
  <c r="D120" i="18"/>
  <c r="D120" i="6" s="1"/>
  <c r="D87" i="18"/>
  <c r="D87" i="6" s="1"/>
  <c r="D98" i="18"/>
  <c r="D98" i="6" s="1"/>
  <c r="D65" i="18"/>
  <c r="D65" i="6" s="1"/>
  <c r="D76" i="18"/>
  <c r="D76" i="6" s="1"/>
  <c r="D97" i="18"/>
  <c r="D152" i="18"/>
  <c r="D64" i="18"/>
  <c r="D20" i="18"/>
  <c r="D53" i="18"/>
  <c r="D141" i="18"/>
  <c r="D108" i="18"/>
  <c r="D42" i="18"/>
  <c r="D9" i="18"/>
  <c r="D75" i="18"/>
  <c r="D130" i="18"/>
  <c r="D119" i="18"/>
  <c r="D31" i="18"/>
  <c r="D86" i="18"/>
  <c r="D90" i="18"/>
  <c r="D90" i="6" s="1"/>
  <c r="D46" i="18"/>
  <c r="D46" i="6" s="1"/>
  <c r="D112" i="18"/>
  <c r="D112" i="6" s="1"/>
  <c r="D68" i="18"/>
  <c r="D68" i="6" s="1"/>
  <c r="D134" i="18"/>
  <c r="D57" i="18"/>
  <c r="D57" i="6" s="1"/>
  <c r="D101" i="18"/>
  <c r="D101" i="6" s="1"/>
  <c r="D13" i="18"/>
  <c r="D13" i="6" s="1"/>
  <c r="D156" i="18"/>
  <c r="D123" i="18"/>
  <c r="D123" i="6" s="1"/>
  <c r="D145" i="18"/>
  <c r="D145" i="6" s="1"/>
  <c r="D35" i="18"/>
  <c r="D35" i="6" s="1"/>
  <c r="D79" i="18"/>
  <c r="D79" i="6" s="1"/>
  <c r="D124" i="16"/>
  <c r="D124" i="12" s="1"/>
  <c r="D47" i="16"/>
  <c r="D47" i="12" s="1"/>
  <c r="D69" i="16"/>
  <c r="D69" i="12" s="1"/>
  <c r="D80" i="16"/>
  <c r="D80" i="12" s="1"/>
  <c r="D135" i="16"/>
  <c r="D135" i="12" s="1"/>
  <c r="D113" i="16"/>
  <c r="D113" i="12" s="1"/>
  <c r="D14" i="16"/>
  <c r="D14" i="12" s="1"/>
  <c r="D157" i="16"/>
  <c r="D157" i="12" s="1"/>
  <c r="D58" i="16"/>
  <c r="D58" i="12" s="1"/>
  <c r="D146" i="16"/>
  <c r="D146" i="12" s="1"/>
  <c r="D91" i="16"/>
  <c r="D91" i="12" s="1"/>
  <c r="D36" i="16"/>
  <c r="D36" i="12" s="1"/>
  <c r="D25" i="16"/>
  <c r="D25" i="12" s="1"/>
  <c r="D102" i="16"/>
  <c r="D102" i="12" s="1"/>
  <c r="O171" i="10"/>
  <c r="D149" i="16"/>
  <c r="D149" i="12" s="1"/>
  <c r="D61" i="16"/>
  <c r="D61" i="12" s="1"/>
  <c r="D28" i="16"/>
  <c r="D28" i="12" s="1"/>
  <c r="D50" i="16"/>
  <c r="D50" i="12" s="1"/>
  <c r="D6" i="16"/>
  <c r="D6" i="12" s="1"/>
  <c r="D116" i="16"/>
  <c r="D116" i="12" s="1"/>
  <c r="D83" i="16"/>
  <c r="D83" i="12" s="1"/>
  <c r="D72" i="16"/>
  <c r="D72" i="12" s="1"/>
  <c r="D105" i="16"/>
  <c r="D105" i="12" s="1"/>
  <c r="D138" i="16"/>
  <c r="D138" i="12" s="1"/>
  <c r="D127" i="16"/>
  <c r="D39" i="16"/>
  <c r="D39" i="12" s="1"/>
  <c r="D9" i="16"/>
  <c r="D97" i="16"/>
  <c r="D130" i="16"/>
  <c r="D119" i="16"/>
  <c r="D152" i="16"/>
  <c r="D53" i="16"/>
  <c r="D31" i="16"/>
  <c r="D20" i="16"/>
  <c r="D108" i="16"/>
  <c r="D64" i="16"/>
  <c r="D75" i="16"/>
  <c r="D86" i="16"/>
  <c r="D42" i="16"/>
  <c r="D141" i="16"/>
  <c r="D120" i="16"/>
  <c r="D120" i="12" s="1"/>
  <c r="D21" i="16"/>
  <c r="D21" i="12" s="1"/>
  <c r="D87" i="16"/>
  <c r="D87" i="12" s="1"/>
  <c r="D54" i="16"/>
  <c r="D54" i="12" s="1"/>
  <c r="D32" i="16"/>
  <c r="D32" i="12" s="1"/>
  <c r="D109" i="16"/>
  <c r="D109" i="12" s="1"/>
  <c r="D131" i="16"/>
  <c r="D131" i="12" s="1"/>
  <c r="D142" i="16"/>
  <c r="D142" i="12" s="1"/>
  <c r="D76" i="16"/>
  <c r="D76" i="12" s="1"/>
  <c r="D10" i="16"/>
  <c r="D10" i="12" s="1"/>
  <c r="D65" i="16"/>
  <c r="D65" i="12" s="1"/>
  <c r="D153" i="16"/>
  <c r="D153" i="12" s="1"/>
  <c r="D98" i="16"/>
  <c r="D98" i="12" s="1"/>
  <c r="D43" i="16"/>
  <c r="D43" i="12" s="1"/>
  <c r="O170" i="10"/>
  <c r="D137" i="16"/>
  <c r="D137" i="12" s="1"/>
  <c r="D49" i="16"/>
  <c r="D49" i="12" s="1"/>
  <c r="D27" i="16"/>
  <c r="D27" i="12" s="1"/>
  <c r="D104" i="16"/>
  <c r="D104" i="12" s="1"/>
  <c r="D126" i="16"/>
  <c r="D148" i="16"/>
  <c r="D148" i="12" s="1"/>
  <c r="D38" i="16"/>
  <c r="D38" i="12" s="1"/>
  <c r="D115" i="16"/>
  <c r="D115" i="12" s="1"/>
  <c r="D82" i="16"/>
  <c r="D82" i="12" s="1"/>
  <c r="D60" i="16"/>
  <c r="D60" i="12" s="1"/>
  <c r="D5" i="16"/>
  <c r="D5" i="12" s="1"/>
  <c r="D71" i="16"/>
  <c r="D71" i="12" s="1"/>
  <c r="O176" i="9"/>
  <c r="D33" i="18"/>
  <c r="D33" i="6" s="1"/>
  <c r="D55" i="18"/>
  <c r="D55" i="6" s="1"/>
  <c r="D121" i="18"/>
  <c r="D121" i="6" s="1"/>
  <c r="D110" i="18"/>
  <c r="D110" i="6" s="1"/>
  <c r="D44" i="18"/>
  <c r="D44" i="6" s="1"/>
  <c r="D66" i="18"/>
  <c r="D66" i="6" s="1"/>
  <c r="D11" i="18"/>
  <c r="D11" i="6" s="1"/>
  <c r="D143" i="18"/>
  <c r="D143" i="6" s="1"/>
  <c r="D154" i="18"/>
  <c r="D154" i="6" s="1"/>
  <c r="D88" i="18"/>
  <c r="D88" i="6" s="1"/>
  <c r="D77" i="18"/>
  <c r="D77" i="6" s="1"/>
  <c r="D132" i="16"/>
  <c r="O176" i="10"/>
  <c r="O176" i="11"/>
  <c r="D132" i="17"/>
  <c r="C165" i="17"/>
  <c r="C165" i="16"/>
  <c r="C165" i="18"/>
  <c r="C160" i="16"/>
  <c r="C168" i="16"/>
  <c r="C163" i="16"/>
  <c r="C164" i="16"/>
  <c r="C162" i="16"/>
  <c r="C161" i="16"/>
  <c r="C159" i="16"/>
  <c r="C162" i="18"/>
  <c r="C167" i="18"/>
  <c r="C163" i="18"/>
  <c r="C161" i="18"/>
  <c r="C160" i="18"/>
  <c r="C168" i="18"/>
  <c r="C164" i="18"/>
  <c r="C159" i="18"/>
  <c r="C159" i="17"/>
  <c r="C168" i="17"/>
  <c r="C163" i="17"/>
  <c r="C164" i="17"/>
  <c r="C167" i="17"/>
  <c r="C161" i="17"/>
  <c r="N178" i="10"/>
  <c r="C162" i="17"/>
  <c r="C160" i="17"/>
  <c r="F132" i="6" l="1"/>
  <c r="F52" i="6"/>
  <c r="F53" i="6" s="1"/>
  <c r="F48" i="6" s="1"/>
  <c r="F42" i="6"/>
  <c r="F37" i="6" s="1"/>
  <c r="K156" i="16"/>
  <c r="K156" i="12" s="1"/>
  <c r="K134" i="16"/>
  <c r="K134" i="12" s="1"/>
  <c r="K112" i="16"/>
  <c r="K112" i="12" s="1"/>
  <c r="K68" i="16"/>
  <c r="K68" i="12" s="1"/>
  <c r="K46" i="16"/>
  <c r="K46" i="12" s="1"/>
  <c r="K123" i="16"/>
  <c r="K123" i="12" s="1"/>
  <c r="K79" i="16"/>
  <c r="K79" i="12" s="1"/>
  <c r="K145" i="16"/>
  <c r="K145" i="12" s="1"/>
  <c r="K13" i="16"/>
  <c r="K13" i="12" s="1"/>
  <c r="K101" i="16"/>
  <c r="K101" i="12" s="1"/>
  <c r="K90" i="16"/>
  <c r="K90" i="12" s="1"/>
  <c r="K35" i="16"/>
  <c r="K35" i="12" s="1"/>
  <c r="K57" i="16"/>
  <c r="K57" i="12" s="1"/>
  <c r="F141" i="6"/>
  <c r="F136" i="6" s="1"/>
  <c r="F108" i="13"/>
  <c r="E128" i="17"/>
  <c r="E128" i="13" s="1"/>
  <c r="F126" i="6"/>
  <c r="F152" i="6"/>
  <c r="F147" i="6" s="1"/>
  <c r="F64" i="6"/>
  <c r="F59" i="6" s="1"/>
  <c r="F126" i="13"/>
  <c r="F152" i="13"/>
  <c r="F64" i="13"/>
  <c r="F75" i="6"/>
  <c r="F70" i="6" s="1"/>
  <c r="G130" i="6"/>
  <c r="D128" i="17"/>
  <c r="F119" i="6"/>
  <c r="F114" i="6" s="1"/>
  <c r="D129" i="17"/>
  <c r="E85" i="16"/>
  <c r="E85" i="12" s="1"/>
  <c r="F86" i="13"/>
  <c r="E151" i="18"/>
  <c r="E151" i="6" s="1"/>
  <c r="E129" i="16"/>
  <c r="F108" i="6"/>
  <c r="F103" i="6" s="1"/>
  <c r="F31" i="6"/>
  <c r="F26" i="6" s="1"/>
  <c r="F31" i="13"/>
  <c r="E63" i="18"/>
  <c r="E63" i="6" s="1"/>
  <c r="F86" i="6"/>
  <c r="F81" i="6" s="1"/>
  <c r="F119" i="13"/>
  <c r="D151" i="17"/>
  <c r="D151" i="13" s="1"/>
  <c r="D139" i="17"/>
  <c r="D139" i="13" s="1"/>
  <c r="D52" i="17"/>
  <c r="D52" i="13" s="1"/>
  <c r="E85" i="18"/>
  <c r="E85" i="6" s="1"/>
  <c r="E73" i="17"/>
  <c r="E73" i="13" s="1"/>
  <c r="F9" i="12"/>
  <c r="F9" i="6"/>
  <c r="F4" i="6" s="1"/>
  <c r="F42" i="13"/>
  <c r="F53" i="13"/>
  <c r="F133" i="6"/>
  <c r="D150" i="17"/>
  <c r="D150" i="13" s="1"/>
  <c r="E118" i="18"/>
  <c r="E118" i="6" s="1"/>
  <c r="F127" i="6"/>
  <c r="F129" i="6"/>
  <c r="F130" i="6" s="1"/>
  <c r="F141" i="13"/>
  <c r="D40" i="17"/>
  <c r="D40" i="13" s="1"/>
  <c r="G130" i="13"/>
  <c r="D8" i="17"/>
  <c r="D8" i="13" s="1"/>
  <c r="E41" i="18"/>
  <c r="E41" i="6" s="1"/>
  <c r="E62" i="17"/>
  <c r="E62" i="13" s="1"/>
  <c r="D129" i="18"/>
  <c r="D41" i="17"/>
  <c r="D41" i="13" s="1"/>
  <c r="E150" i="17"/>
  <c r="E150" i="13" s="1"/>
  <c r="F152" i="12"/>
  <c r="E62" i="18"/>
  <c r="E62" i="6" s="1"/>
  <c r="E129" i="18"/>
  <c r="E74" i="18"/>
  <c r="E74" i="6" s="1"/>
  <c r="E52" i="16"/>
  <c r="F133" i="13"/>
  <c r="D63" i="17"/>
  <c r="D63" i="13" s="1"/>
  <c r="D40" i="18"/>
  <c r="D40" i="6" s="1"/>
  <c r="D118" i="18"/>
  <c r="D118" i="6" s="1"/>
  <c r="D30" i="17"/>
  <c r="D30" i="13" s="1"/>
  <c r="D140" i="17"/>
  <c r="D140" i="13" s="1"/>
  <c r="D51" i="17"/>
  <c r="D51" i="13" s="1"/>
  <c r="D29" i="17"/>
  <c r="D29" i="13" s="1"/>
  <c r="E107" i="18"/>
  <c r="E107" i="6" s="1"/>
  <c r="E107" i="16"/>
  <c r="E107" i="12" s="1"/>
  <c r="F132" i="13"/>
  <c r="F129" i="13"/>
  <c r="F75" i="13"/>
  <c r="F128" i="13"/>
  <c r="D7" i="18"/>
  <c r="D7" i="6" s="1"/>
  <c r="D62" i="17"/>
  <c r="D62" i="13" s="1"/>
  <c r="E30" i="18"/>
  <c r="E30" i="6" s="1"/>
  <c r="E151" i="16"/>
  <c r="E151" i="12" s="1"/>
  <c r="E41" i="16"/>
  <c r="E41" i="12" s="1"/>
  <c r="E84" i="17"/>
  <c r="E84" i="13" s="1"/>
  <c r="F129" i="12"/>
  <c r="F127" i="13"/>
  <c r="E128" i="18"/>
  <c r="D139" i="18"/>
  <c r="D139" i="6" s="1"/>
  <c r="D74" i="17"/>
  <c r="D74" i="13" s="1"/>
  <c r="D73" i="17"/>
  <c r="D73" i="13" s="1"/>
  <c r="D106" i="17"/>
  <c r="D106" i="13" s="1"/>
  <c r="E8" i="18"/>
  <c r="E8" i="6" s="1"/>
  <c r="E63" i="16"/>
  <c r="E63" i="12" s="1"/>
  <c r="E73" i="18"/>
  <c r="E73" i="6" s="1"/>
  <c r="E40" i="17"/>
  <c r="E40" i="13" s="1"/>
  <c r="E30" i="16"/>
  <c r="E30" i="12" s="1"/>
  <c r="E74" i="16"/>
  <c r="E74" i="12" s="1"/>
  <c r="E40" i="18"/>
  <c r="E40" i="6" s="1"/>
  <c r="E106" i="17"/>
  <c r="E106" i="13" s="1"/>
  <c r="E7" i="17"/>
  <c r="E7" i="13" s="1"/>
  <c r="F42" i="12"/>
  <c r="D29" i="18"/>
  <c r="D29" i="6" s="1"/>
  <c r="D85" i="17"/>
  <c r="D85" i="13" s="1"/>
  <c r="D117" i="17"/>
  <c r="D117" i="13" s="1"/>
  <c r="E118" i="16"/>
  <c r="E118" i="12" s="1"/>
  <c r="E7" i="18"/>
  <c r="E7" i="6" s="1"/>
  <c r="E139" i="17"/>
  <c r="E139" i="13" s="1"/>
  <c r="E106" i="18"/>
  <c r="E106" i="6" s="1"/>
  <c r="F75" i="12"/>
  <c r="E29" i="18"/>
  <c r="E29" i="6" s="1"/>
  <c r="E117" i="18"/>
  <c r="E117" i="6" s="1"/>
  <c r="D106" i="18"/>
  <c r="D106" i="6" s="1"/>
  <c r="D62" i="18"/>
  <c r="D62" i="6" s="1"/>
  <c r="D151" i="18"/>
  <c r="D151" i="6" s="1"/>
  <c r="D107" i="17"/>
  <c r="D107" i="13" s="1"/>
  <c r="D84" i="17"/>
  <c r="D84" i="13" s="1"/>
  <c r="E52" i="18"/>
  <c r="E84" i="18"/>
  <c r="E84" i="6" s="1"/>
  <c r="E51" i="18"/>
  <c r="E51" i="6" s="1"/>
  <c r="E117" i="17"/>
  <c r="E117" i="13" s="1"/>
  <c r="D129" i="16"/>
  <c r="D51" i="18"/>
  <c r="D51" i="6" s="1"/>
  <c r="D73" i="18"/>
  <c r="D73" i="6" s="1"/>
  <c r="D30" i="18"/>
  <c r="D30" i="6" s="1"/>
  <c r="D118" i="17"/>
  <c r="D118" i="13" s="1"/>
  <c r="D7" i="17"/>
  <c r="D7" i="13" s="1"/>
  <c r="E8" i="16"/>
  <c r="E8" i="12" s="1"/>
  <c r="E140" i="16"/>
  <c r="E140" i="12" s="1"/>
  <c r="E150" i="18"/>
  <c r="E150" i="6" s="1"/>
  <c r="E51" i="17"/>
  <c r="E51" i="13" s="1"/>
  <c r="E29" i="17"/>
  <c r="E29" i="13" s="1"/>
  <c r="D150" i="18"/>
  <c r="D150" i="6" s="1"/>
  <c r="D84" i="18"/>
  <c r="D84" i="6" s="1"/>
  <c r="D74" i="18"/>
  <c r="D74" i="6" s="1"/>
  <c r="G48" i="6"/>
  <c r="F132" i="12"/>
  <c r="G53" i="12"/>
  <c r="G130" i="12"/>
  <c r="E52" i="17"/>
  <c r="E52" i="13" s="1"/>
  <c r="F52" i="12"/>
  <c r="F108" i="12"/>
  <c r="F126" i="12"/>
  <c r="F128" i="12"/>
  <c r="F133" i="12"/>
  <c r="F127" i="12"/>
  <c r="F64" i="12"/>
  <c r="F9" i="13"/>
  <c r="D85" i="18"/>
  <c r="D85" i="6" s="1"/>
  <c r="D140" i="18"/>
  <c r="D140" i="6" s="1"/>
  <c r="E74" i="17"/>
  <c r="E74" i="13" s="1"/>
  <c r="F119" i="12"/>
  <c r="F86" i="12"/>
  <c r="D8" i="18"/>
  <c r="D8" i="6" s="1"/>
  <c r="D41" i="18"/>
  <c r="D41" i="6" s="1"/>
  <c r="D107" i="18"/>
  <c r="D107" i="6" s="1"/>
  <c r="E139" i="18"/>
  <c r="E139" i="6" s="1"/>
  <c r="E118" i="17"/>
  <c r="E118" i="13" s="1"/>
  <c r="F31" i="12"/>
  <c r="F141" i="12"/>
  <c r="D168" i="12"/>
  <c r="D128" i="16"/>
  <c r="D128" i="12" s="1"/>
  <c r="D62" i="16"/>
  <c r="D62" i="12" s="1"/>
  <c r="D40" i="16"/>
  <c r="D40" i="12" s="1"/>
  <c r="D107" i="16"/>
  <c r="D107" i="12" s="1"/>
  <c r="D41" i="16"/>
  <c r="D41" i="12" s="1"/>
  <c r="E164" i="12"/>
  <c r="D168" i="13"/>
  <c r="E129" i="17"/>
  <c r="E63" i="17"/>
  <c r="E63" i="13" s="1"/>
  <c r="E140" i="17"/>
  <c r="E140" i="13" s="1"/>
  <c r="E40" i="16"/>
  <c r="E40" i="12" s="1"/>
  <c r="E51" i="16"/>
  <c r="E51" i="12" s="1"/>
  <c r="E150" i="16"/>
  <c r="E150" i="12" s="1"/>
  <c r="E168" i="6"/>
  <c r="D7" i="16"/>
  <c r="D7" i="12" s="1"/>
  <c r="D106" i="16"/>
  <c r="D106" i="12" s="1"/>
  <c r="D139" i="16"/>
  <c r="D139" i="12" s="1"/>
  <c r="D85" i="16"/>
  <c r="D85" i="12" s="1"/>
  <c r="D118" i="16"/>
  <c r="D118" i="12" s="1"/>
  <c r="D151" i="16"/>
  <c r="D151" i="12" s="1"/>
  <c r="E41" i="17"/>
  <c r="E41" i="13" s="1"/>
  <c r="E85" i="17"/>
  <c r="E85" i="13" s="1"/>
  <c r="E139" i="16"/>
  <c r="E139" i="12" s="1"/>
  <c r="E29" i="16"/>
  <c r="E29" i="12" s="1"/>
  <c r="E73" i="16"/>
  <c r="E73" i="12" s="1"/>
  <c r="D29" i="16"/>
  <c r="D29" i="12" s="1"/>
  <c r="D84" i="16"/>
  <c r="D84" i="12" s="1"/>
  <c r="D117" i="16"/>
  <c r="D117" i="12" s="1"/>
  <c r="D63" i="16"/>
  <c r="D63" i="12" s="1"/>
  <c r="D30" i="16"/>
  <c r="D30" i="12" s="1"/>
  <c r="D52" i="16"/>
  <c r="D164" i="6"/>
  <c r="D168" i="6"/>
  <c r="D52" i="18"/>
  <c r="D63" i="18"/>
  <c r="D63" i="6" s="1"/>
  <c r="E151" i="17"/>
  <c r="E151" i="13" s="1"/>
  <c r="E128" i="16"/>
  <c r="E62" i="16"/>
  <c r="E62" i="12" s="1"/>
  <c r="E117" i="16"/>
  <c r="E117" i="12" s="1"/>
  <c r="E164" i="13"/>
  <c r="D150" i="16"/>
  <c r="D150" i="12" s="1"/>
  <c r="D73" i="16"/>
  <c r="D73" i="12" s="1"/>
  <c r="D51" i="16"/>
  <c r="D51" i="12" s="1"/>
  <c r="D8" i="16"/>
  <c r="D8" i="12" s="1"/>
  <c r="D140" i="16"/>
  <c r="D140" i="12" s="1"/>
  <c r="D74" i="16"/>
  <c r="D74" i="12" s="1"/>
  <c r="E156" i="6"/>
  <c r="E134" i="6"/>
  <c r="E168" i="12"/>
  <c r="E168" i="13"/>
  <c r="D164" i="13"/>
  <c r="E164" i="6"/>
  <c r="E107" i="17"/>
  <c r="E107" i="13" s="1"/>
  <c r="E30" i="17"/>
  <c r="E30" i="13" s="1"/>
  <c r="E8" i="17"/>
  <c r="E8" i="13" s="1"/>
  <c r="E7" i="16"/>
  <c r="E7" i="12" s="1"/>
  <c r="E106" i="16"/>
  <c r="E106" i="12" s="1"/>
  <c r="E84" i="16"/>
  <c r="E84" i="12" s="1"/>
  <c r="E140" i="18"/>
  <c r="E140" i="6" s="1"/>
  <c r="E137" i="6"/>
  <c r="D164" i="12"/>
  <c r="D156" i="6"/>
  <c r="D134" i="6"/>
  <c r="D128" i="18"/>
  <c r="D117" i="18"/>
  <c r="D117" i="6" s="1"/>
  <c r="D115" i="6"/>
  <c r="N172" i="11"/>
  <c r="C135" i="17"/>
  <c r="C135" i="13" s="1"/>
  <c r="C80" i="17"/>
  <c r="C80" i="13" s="1"/>
  <c r="C36" i="17"/>
  <c r="C36" i="13" s="1"/>
  <c r="C102" i="17"/>
  <c r="C102" i="13" s="1"/>
  <c r="C47" i="17"/>
  <c r="C47" i="13" s="1"/>
  <c r="C69" i="17"/>
  <c r="C69" i="13" s="1"/>
  <c r="C146" i="17"/>
  <c r="C146" i="13" s="1"/>
  <c r="C157" i="17"/>
  <c r="C157" i="13" s="1"/>
  <c r="C14" i="17"/>
  <c r="C14" i="13" s="1"/>
  <c r="C58" i="17"/>
  <c r="C58" i="13" s="1"/>
  <c r="C124" i="17"/>
  <c r="C124" i="13" s="1"/>
  <c r="C91" i="17"/>
  <c r="C91" i="13" s="1"/>
  <c r="C25" i="17"/>
  <c r="C25" i="13" s="1"/>
  <c r="C113" i="17"/>
  <c r="C113" i="13" s="1"/>
  <c r="N179" i="11"/>
  <c r="C113" i="18"/>
  <c r="C113" i="6" s="1"/>
  <c r="C80" i="18"/>
  <c r="C80" i="6" s="1"/>
  <c r="C69" i="18"/>
  <c r="C69" i="6" s="1"/>
  <c r="C135" i="18"/>
  <c r="C135" i="6" s="1"/>
  <c r="C157" i="18"/>
  <c r="C157" i="6" s="1"/>
  <c r="C14" i="18"/>
  <c r="C14" i="6" s="1"/>
  <c r="C102" i="18"/>
  <c r="C102" i="6" s="1"/>
  <c r="C25" i="18"/>
  <c r="C25" i="6" s="1"/>
  <c r="C91" i="18"/>
  <c r="C91" i="6" s="1"/>
  <c r="C58" i="18"/>
  <c r="C58" i="6" s="1"/>
  <c r="C36" i="18"/>
  <c r="C36" i="6" s="1"/>
  <c r="C146" i="18"/>
  <c r="C146" i="6" s="1"/>
  <c r="C124" i="18"/>
  <c r="C124" i="6" s="1"/>
  <c r="C47" i="18"/>
  <c r="C47" i="6" s="1"/>
  <c r="N179" i="9"/>
  <c r="C145" i="18"/>
  <c r="C145" i="6" s="1"/>
  <c r="C46" i="18"/>
  <c r="C46" i="6" s="1"/>
  <c r="C101" i="18"/>
  <c r="C101" i="6" s="1"/>
  <c r="C112" i="18"/>
  <c r="C112" i="6" s="1"/>
  <c r="C90" i="18"/>
  <c r="C90" i="6" s="1"/>
  <c r="C13" i="18"/>
  <c r="C13" i="6" s="1"/>
  <c r="C79" i="18"/>
  <c r="C79" i="6" s="1"/>
  <c r="C134" i="18"/>
  <c r="C156" i="18"/>
  <c r="C35" i="18"/>
  <c r="C35" i="6" s="1"/>
  <c r="C57" i="18"/>
  <c r="C57" i="6" s="1"/>
  <c r="C123" i="18"/>
  <c r="C123" i="6" s="1"/>
  <c r="C68" i="18"/>
  <c r="C68" i="6" s="1"/>
  <c r="N178" i="9"/>
  <c r="N173" i="10"/>
  <c r="C116" i="16"/>
  <c r="C116" i="12" s="1"/>
  <c r="C127" i="16"/>
  <c r="C28" i="16"/>
  <c r="C28" i="12" s="1"/>
  <c r="C138" i="16"/>
  <c r="C138" i="12" s="1"/>
  <c r="C6" i="16"/>
  <c r="C6" i="12" s="1"/>
  <c r="C105" i="16"/>
  <c r="C105" i="12" s="1"/>
  <c r="C72" i="16"/>
  <c r="C72" i="12" s="1"/>
  <c r="C50" i="16"/>
  <c r="C50" i="12" s="1"/>
  <c r="C61" i="16"/>
  <c r="C61" i="12" s="1"/>
  <c r="C149" i="16"/>
  <c r="C149" i="12" s="1"/>
  <c r="C39" i="16"/>
  <c r="C39" i="12" s="1"/>
  <c r="C83" i="16"/>
  <c r="C83" i="12" s="1"/>
  <c r="N171" i="10"/>
  <c r="C105" i="17"/>
  <c r="C105" i="13" s="1"/>
  <c r="C149" i="17"/>
  <c r="C149" i="13" s="1"/>
  <c r="C6" i="17"/>
  <c r="C6" i="13" s="1"/>
  <c r="C28" i="17"/>
  <c r="C28" i="13" s="1"/>
  <c r="C127" i="17"/>
  <c r="C50" i="17"/>
  <c r="C50" i="13" s="1"/>
  <c r="C39" i="17"/>
  <c r="C39" i="13" s="1"/>
  <c r="C72" i="17"/>
  <c r="C72" i="13" s="1"/>
  <c r="C138" i="17"/>
  <c r="C138" i="13" s="1"/>
  <c r="C61" i="17"/>
  <c r="C61" i="13" s="1"/>
  <c r="C116" i="17"/>
  <c r="C116" i="13" s="1"/>
  <c r="C83" i="17"/>
  <c r="C83" i="13" s="1"/>
  <c r="N171" i="11"/>
  <c r="C145" i="17"/>
  <c r="C145" i="13" s="1"/>
  <c r="C112" i="17"/>
  <c r="C112" i="13" s="1"/>
  <c r="C123" i="17"/>
  <c r="C123" i="13" s="1"/>
  <c r="C35" i="17"/>
  <c r="C35" i="13" s="1"/>
  <c r="C134" i="17"/>
  <c r="C134" i="13" s="1"/>
  <c r="C46" i="17"/>
  <c r="C46" i="13" s="1"/>
  <c r="C13" i="17"/>
  <c r="C13" i="13" s="1"/>
  <c r="C101" i="17"/>
  <c r="C101" i="13" s="1"/>
  <c r="C156" i="17"/>
  <c r="C156" i="13" s="1"/>
  <c r="C90" i="17"/>
  <c r="C90" i="13" s="1"/>
  <c r="C57" i="17"/>
  <c r="C57" i="13" s="1"/>
  <c r="C79" i="17"/>
  <c r="C79" i="13" s="1"/>
  <c r="C68" i="17"/>
  <c r="C68" i="13" s="1"/>
  <c r="N178" i="11"/>
  <c r="C148" i="17"/>
  <c r="C148" i="13" s="1"/>
  <c r="C126" i="17"/>
  <c r="C38" i="17"/>
  <c r="C38" i="13" s="1"/>
  <c r="C115" i="17"/>
  <c r="C115" i="13" s="1"/>
  <c r="C82" i="17"/>
  <c r="C82" i="13" s="1"/>
  <c r="C60" i="17"/>
  <c r="C60" i="13" s="1"/>
  <c r="C137" i="17"/>
  <c r="C137" i="13" s="1"/>
  <c r="C27" i="17"/>
  <c r="C27" i="13" s="1"/>
  <c r="C104" i="17"/>
  <c r="C104" i="13" s="1"/>
  <c r="C5" i="17"/>
  <c r="C5" i="13" s="1"/>
  <c r="C49" i="17"/>
  <c r="C49" i="13" s="1"/>
  <c r="C71" i="17"/>
  <c r="C71" i="13" s="1"/>
  <c r="N170" i="11"/>
  <c r="C72" i="18"/>
  <c r="C72" i="6" s="1"/>
  <c r="C6" i="18"/>
  <c r="C6" i="6" s="1"/>
  <c r="C127" i="18"/>
  <c r="C28" i="18"/>
  <c r="C28" i="6" s="1"/>
  <c r="C149" i="18"/>
  <c r="C149" i="6" s="1"/>
  <c r="C83" i="18"/>
  <c r="C83" i="6" s="1"/>
  <c r="C138" i="18"/>
  <c r="C138" i="6" s="1"/>
  <c r="C116" i="18"/>
  <c r="C116" i="6" s="1"/>
  <c r="C61" i="18"/>
  <c r="C61" i="6" s="1"/>
  <c r="C50" i="18"/>
  <c r="C50" i="6" s="1"/>
  <c r="C105" i="18"/>
  <c r="C105" i="6" s="1"/>
  <c r="C39" i="18"/>
  <c r="C39" i="6" s="1"/>
  <c r="N171" i="9"/>
  <c r="N173" i="9"/>
  <c r="C76" i="16"/>
  <c r="C76" i="12" s="1"/>
  <c r="C98" i="16"/>
  <c r="C98" i="12" s="1"/>
  <c r="C21" i="16"/>
  <c r="C21" i="12" s="1"/>
  <c r="C153" i="16"/>
  <c r="C153" i="12" s="1"/>
  <c r="C131" i="16"/>
  <c r="C131" i="12" s="1"/>
  <c r="C120" i="16"/>
  <c r="C120" i="12" s="1"/>
  <c r="C109" i="16"/>
  <c r="C109" i="12" s="1"/>
  <c r="C10" i="16"/>
  <c r="C10" i="12" s="1"/>
  <c r="C32" i="16"/>
  <c r="C32" i="12" s="1"/>
  <c r="C54" i="16"/>
  <c r="C54" i="12" s="1"/>
  <c r="C43" i="16"/>
  <c r="C43" i="12" s="1"/>
  <c r="C142" i="16"/>
  <c r="C142" i="12" s="1"/>
  <c r="C65" i="16"/>
  <c r="C65" i="12" s="1"/>
  <c r="C87" i="16"/>
  <c r="C87" i="12" s="1"/>
  <c r="N175" i="10"/>
  <c r="N176" i="9"/>
  <c r="C88" i="18"/>
  <c r="C88" i="6" s="1"/>
  <c r="C154" i="18"/>
  <c r="C154" i="6" s="1"/>
  <c r="C11" i="18"/>
  <c r="C11" i="6" s="1"/>
  <c r="C110" i="18"/>
  <c r="C110" i="6" s="1"/>
  <c r="C33" i="18"/>
  <c r="C33" i="6" s="1"/>
  <c r="C121" i="18"/>
  <c r="C121" i="6" s="1"/>
  <c r="C143" i="18"/>
  <c r="C143" i="6" s="1"/>
  <c r="C66" i="18"/>
  <c r="C66" i="6" s="1"/>
  <c r="C44" i="18"/>
  <c r="C44" i="6" s="1"/>
  <c r="C77" i="18"/>
  <c r="C77" i="6" s="1"/>
  <c r="C55" i="18"/>
  <c r="C55" i="6" s="1"/>
  <c r="N173" i="11"/>
  <c r="C32" i="17"/>
  <c r="C32" i="13" s="1"/>
  <c r="C153" i="17"/>
  <c r="C153" i="13" s="1"/>
  <c r="C54" i="17"/>
  <c r="C54" i="13" s="1"/>
  <c r="C120" i="17"/>
  <c r="C120" i="13" s="1"/>
  <c r="C10" i="17"/>
  <c r="C10" i="13" s="1"/>
  <c r="C98" i="17"/>
  <c r="C98" i="13" s="1"/>
  <c r="C131" i="17"/>
  <c r="C131" i="13" s="1"/>
  <c r="C43" i="17"/>
  <c r="C43" i="13" s="1"/>
  <c r="C65" i="17"/>
  <c r="C65" i="13" s="1"/>
  <c r="C87" i="17"/>
  <c r="C87" i="13" s="1"/>
  <c r="C142" i="17"/>
  <c r="C142" i="13" s="1"/>
  <c r="C76" i="17"/>
  <c r="C76" i="13" s="1"/>
  <c r="C109" i="17"/>
  <c r="C109" i="13" s="1"/>
  <c r="C21" i="17"/>
  <c r="C21" i="13" s="1"/>
  <c r="N175" i="11"/>
  <c r="C82" i="18"/>
  <c r="C148" i="18"/>
  <c r="C148" i="6" s="1"/>
  <c r="C5" i="18"/>
  <c r="C5" i="6" s="1"/>
  <c r="C38" i="18"/>
  <c r="C38" i="6" s="1"/>
  <c r="C71" i="18"/>
  <c r="C71" i="6" s="1"/>
  <c r="C104" i="18"/>
  <c r="C104" i="6" s="1"/>
  <c r="C27" i="18"/>
  <c r="C27" i="6" s="1"/>
  <c r="C60" i="18"/>
  <c r="C60" i="6" s="1"/>
  <c r="C137" i="18"/>
  <c r="C137" i="6" s="1"/>
  <c r="C115" i="18"/>
  <c r="C115" i="6" s="1"/>
  <c r="C49" i="18"/>
  <c r="C49" i="6" s="1"/>
  <c r="C126" i="18"/>
  <c r="N170" i="9"/>
  <c r="N172" i="9"/>
  <c r="C38" i="16"/>
  <c r="C38" i="12" s="1"/>
  <c r="C126" i="16"/>
  <c r="C148" i="16"/>
  <c r="C148" i="12" s="1"/>
  <c r="C104" i="16"/>
  <c r="C104" i="12" s="1"/>
  <c r="C82" i="16"/>
  <c r="C82" i="12" s="1"/>
  <c r="C27" i="16"/>
  <c r="C27" i="12" s="1"/>
  <c r="C5" i="16"/>
  <c r="C5" i="12" s="1"/>
  <c r="C137" i="16"/>
  <c r="C137" i="12" s="1"/>
  <c r="C71" i="16"/>
  <c r="C71" i="12" s="1"/>
  <c r="C49" i="16"/>
  <c r="C49" i="12" s="1"/>
  <c r="C115" i="16"/>
  <c r="C115" i="12" s="1"/>
  <c r="C60" i="16"/>
  <c r="C60" i="12" s="1"/>
  <c r="N170" i="10"/>
  <c r="C152" i="16"/>
  <c r="C119" i="16"/>
  <c r="C9" i="16"/>
  <c r="C20" i="16"/>
  <c r="C86" i="16"/>
  <c r="C75" i="16"/>
  <c r="C97" i="16"/>
  <c r="C42" i="16"/>
  <c r="C64" i="16"/>
  <c r="C31" i="16"/>
  <c r="C130" i="16"/>
  <c r="C108" i="16"/>
  <c r="C141" i="16"/>
  <c r="C53" i="16"/>
  <c r="N174" i="10"/>
  <c r="C132" i="16"/>
  <c r="N176" i="10"/>
  <c r="C154" i="16"/>
  <c r="C154" i="12" s="1"/>
  <c r="C121" i="16"/>
  <c r="C121" i="12" s="1"/>
  <c r="C55" i="16"/>
  <c r="C55" i="12" s="1"/>
  <c r="C88" i="16"/>
  <c r="C88" i="12" s="1"/>
  <c r="C110" i="16"/>
  <c r="C110" i="12" s="1"/>
  <c r="C33" i="16"/>
  <c r="C33" i="12" s="1"/>
  <c r="C44" i="16"/>
  <c r="C44" i="12" s="1"/>
  <c r="C11" i="16"/>
  <c r="C11" i="12" s="1"/>
  <c r="C66" i="16"/>
  <c r="C66" i="12" s="1"/>
  <c r="C77" i="16"/>
  <c r="C77" i="12" s="1"/>
  <c r="C143" i="16"/>
  <c r="C143" i="12" s="1"/>
  <c r="C152" i="17"/>
  <c r="C108" i="17"/>
  <c r="C42" i="17"/>
  <c r="C31" i="17"/>
  <c r="C86" i="17"/>
  <c r="C119" i="17"/>
  <c r="C75" i="17"/>
  <c r="C9" i="17"/>
  <c r="C130" i="17"/>
  <c r="C64" i="17"/>
  <c r="C53" i="17"/>
  <c r="C20" i="17"/>
  <c r="C141" i="17"/>
  <c r="C97" i="17"/>
  <c r="N174" i="11"/>
  <c r="C54" i="18"/>
  <c r="C54" i="6" s="1"/>
  <c r="C153" i="18"/>
  <c r="C153" i="6" s="1"/>
  <c r="C98" i="18"/>
  <c r="C98" i="6" s="1"/>
  <c r="C10" i="18"/>
  <c r="C10" i="6" s="1"/>
  <c r="C76" i="18"/>
  <c r="C76" i="6" s="1"/>
  <c r="C43" i="18"/>
  <c r="C43" i="6" s="1"/>
  <c r="C142" i="18"/>
  <c r="C142" i="6" s="1"/>
  <c r="C131" i="18"/>
  <c r="C131" i="6" s="1"/>
  <c r="C21" i="18"/>
  <c r="C21" i="6" s="1"/>
  <c r="C87" i="18"/>
  <c r="C87" i="6" s="1"/>
  <c r="C120" i="18"/>
  <c r="C120" i="6" s="1"/>
  <c r="C109" i="18"/>
  <c r="C109" i="6" s="1"/>
  <c r="C32" i="18"/>
  <c r="C32" i="6" s="1"/>
  <c r="C65" i="18"/>
  <c r="C65" i="6" s="1"/>
  <c r="N175" i="9"/>
  <c r="C9" i="18"/>
  <c r="C64" i="18"/>
  <c r="C86" i="18"/>
  <c r="C31" i="18"/>
  <c r="C20" i="18"/>
  <c r="C152" i="18"/>
  <c r="C119" i="18"/>
  <c r="C130" i="18"/>
  <c r="C53" i="18"/>
  <c r="C97" i="18"/>
  <c r="C141" i="18"/>
  <c r="C75" i="18"/>
  <c r="C108" i="18"/>
  <c r="C42" i="18"/>
  <c r="N174" i="9"/>
  <c r="N172" i="10"/>
  <c r="C58" i="16"/>
  <c r="C58" i="12" s="1"/>
  <c r="C14" i="16"/>
  <c r="C14" i="12" s="1"/>
  <c r="C135" i="16"/>
  <c r="C135" i="12" s="1"/>
  <c r="C80" i="16"/>
  <c r="C80" i="12" s="1"/>
  <c r="C113" i="16"/>
  <c r="C113" i="12" s="1"/>
  <c r="C124" i="16"/>
  <c r="C124" i="12" s="1"/>
  <c r="C157" i="16"/>
  <c r="C157" i="12" s="1"/>
  <c r="C146" i="16"/>
  <c r="C146" i="12" s="1"/>
  <c r="C47" i="16"/>
  <c r="C47" i="12" s="1"/>
  <c r="C25" i="16"/>
  <c r="C25" i="12" s="1"/>
  <c r="C102" i="16"/>
  <c r="C102" i="12" s="1"/>
  <c r="C91" i="16"/>
  <c r="C91" i="12" s="1"/>
  <c r="C36" i="16"/>
  <c r="C36" i="12" s="1"/>
  <c r="C69" i="16"/>
  <c r="C69" i="12" s="1"/>
  <c r="N179" i="10"/>
  <c r="N176" i="11"/>
  <c r="C132" i="17"/>
  <c r="C121" i="17"/>
  <c r="C121" i="13" s="1"/>
  <c r="C33" i="17"/>
  <c r="C33" i="13" s="1"/>
  <c r="C55" i="17"/>
  <c r="C55" i="13" s="1"/>
  <c r="C11" i="17"/>
  <c r="C11" i="13" s="1"/>
  <c r="C110" i="17"/>
  <c r="C110" i="13" s="1"/>
  <c r="C143" i="17"/>
  <c r="C143" i="13" s="1"/>
  <c r="C88" i="17"/>
  <c r="C88" i="13" s="1"/>
  <c r="C77" i="17"/>
  <c r="C77" i="13" s="1"/>
  <c r="C44" i="17"/>
  <c r="C44" i="13" s="1"/>
  <c r="C154" i="17"/>
  <c r="C154" i="13" s="1"/>
  <c r="C66" i="17"/>
  <c r="C66" i="13" s="1"/>
  <c r="D52" i="6" l="1"/>
  <c r="D53" i="6" s="1"/>
  <c r="D48" i="6" s="1"/>
  <c r="E129" i="13"/>
  <c r="K11" i="18"/>
  <c r="K11" i="6" s="1"/>
  <c r="K33" i="18"/>
  <c r="K33" i="6" s="1"/>
  <c r="K77" i="18"/>
  <c r="K77" i="6" s="1"/>
  <c r="K121" i="18"/>
  <c r="K121" i="6" s="1"/>
  <c r="K132" i="16"/>
  <c r="K143" i="18"/>
  <c r="K143" i="6" s="1"/>
  <c r="K55" i="18"/>
  <c r="K55" i="6" s="1"/>
  <c r="K66" i="18"/>
  <c r="K66" i="6" s="1"/>
  <c r="K154" i="18"/>
  <c r="K154" i="6" s="1"/>
  <c r="K110" i="18"/>
  <c r="K110" i="6" s="1"/>
  <c r="K44" i="18"/>
  <c r="K44" i="6" s="1"/>
  <c r="K88" i="18"/>
  <c r="K88" i="6" s="1"/>
  <c r="K143" i="16"/>
  <c r="K143" i="12" s="1"/>
  <c r="K121" i="16"/>
  <c r="K121" i="12" s="1"/>
  <c r="K77" i="16"/>
  <c r="K77" i="12" s="1"/>
  <c r="K55" i="16"/>
  <c r="K55" i="12" s="1"/>
  <c r="K110" i="16"/>
  <c r="K110" i="12" s="1"/>
  <c r="K66" i="16"/>
  <c r="K66" i="12" s="1"/>
  <c r="K11" i="16"/>
  <c r="K11" i="12" s="1"/>
  <c r="K88" i="16"/>
  <c r="K88" i="12" s="1"/>
  <c r="K154" i="16"/>
  <c r="K154" i="12" s="1"/>
  <c r="K44" i="16"/>
  <c r="K44" i="12" s="1"/>
  <c r="K33" i="16"/>
  <c r="K33" i="12" s="1"/>
  <c r="K154" i="17"/>
  <c r="K154" i="13" s="1"/>
  <c r="K143" i="17"/>
  <c r="K143" i="13" s="1"/>
  <c r="K121" i="17"/>
  <c r="K121" i="13" s="1"/>
  <c r="K88" i="17"/>
  <c r="K88" i="13" s="1"/>
  <c r="K44" i="17"/>
  <c r="K44" i="13" s="1"/>
  <c r="K110" i="17"/>
  <c r="K110" i="13" s="1"/>
  <c r="K55" i="17"/>
  <c r="K55" i="13" s="1"/>
  <c r="K77" i="17"/>
  <c r="K77" i="13" s="1"/>
  <c r="K11" i="17"/>
  <c r="K11" i="13" s="1"/>
  <c r="K66" i="17"/>
  <c r="K66" i="13" s="1"/>
  <c r="K33" i="17"/>
  <c r="K33" i="13" s="1"/>
  <c r="E129" i="12"/>
  <c r="E64" i="6"/>
  <c r="E59" i="6" s="1"/>
  <c r="D127" i="6"/>
  <c r="E52" i="12"/>
  <c r="E75" i="13"/>
  <c r="D42" i="6"/>
  <c r="D37" i="6" s="1"/>
  <c r="G125" i="6"/>
  <c r="D133" i="13"/>
  <c r="D127" i="13"/>
  <c r="D126" i="13"/>
  <c r="D128" i="13"/>
  <c r="D129" i="13"/>
  <c r="D132" i="13"/>
  <c r="E64" i="13"/>
  <c r="E86" i="6"/>
  <c r="E81" i="6" s="1"/>
  <c r="F125" i="6"/>
  <c r="D31" i="6"/>
  <c r="D26" i="6" s="1"/>
  <c r="E119" i="13"/>
  <c r="D108" i="6"/>
  <c r="D103" i="6" s="1"/>
  <c r="E152" i="6"/>
  <c r="E147" i="6" s="1"/>
  <c r="E31" i="13"/>
  <c r="D119" i="6"/>
  <c r="D114" i="6" s="1"/>
  <c r="E75" i="6"/>
  <c r="E70" i="6" s="1"/>
  <c r="E126" i="6"/>
  <c r="D152" i="13"/>
  <c r="D53" i="13"/>
  <c r="D64" i="6"/>
  <c r="D59" i="6" s="1"/>
  <c r="D9" i="13"/>
  <c r="D141" i="13"/>
  <c r="E152" i="13"/>
  <c r="E133" i="6"/>
  <c r="E31" i="6"/>
  <c r="E26" i="6" s="1"/>
  <c r="D42" i="13"/>
  <c r="E119" i="6"/>
  <c r="E114" i="6" s="1"/>
  <c r="C117" i="16"/>
  <c r="C117" i="12" s="1"/>
  <c r="D119" i="13"/>
  <c r="E42" i="6"/>
  <c r="E37" i="6" s="1"/>
  <c r="E129" i="6"/>
  <c r="C106" i="16"/>
  <c r="C106" i="12" s="1"/>
  <c r="E132" i="6"/>
  <c r="E53" i="13"/>
  <c r="E128" i="6"/>
  <c r="E127" i="6"/>
  <c r="E42" i="13"/>
  <c r="D86" i="6"/>
  <c r="D81" i="6" s="1"/>
  <c r="D75" i="6"/>
  <c r="D70" i="6" s="1"/>
  <c r="D64" i="13"/>
  <c r="C129" i="16"/>
  <c r="D75" i="13"/>
  <c r="E141" i="12"/>
  <c r="E127" i="13"/>
  <c r="C40" i="16"/>
  <c r="C40" i="12" s="1"/>
  <c r="C7" i="16"/>
  <c r="C7" i="12" s="1"/>
  <c r="C129" i="18"/>
  <c r="E133" i="13"/>
  <c r="E42" i="12"/>
  <c r="E132" i="13"/>
  <c r="D108" i="13"/>
  <c r="D132" i="12"/>
  <c r="E9" i="6"/>
  <c r="E4" i="6" s="1"/>
  <c r="F130" i="13"/>
  <c r="C118" i="17"/>
  <c r="C118" i="13" s="1"/>
  <c r="D133" i="12"/>
  <c r="E108" i="13"/>
  <c r="D129" i="12"/>
  <c r="D9" i="6"/>
  <c r="D4" i="6" s="1"/>
  <c r="C29" i="16"/>
  <c r="C29" i="12" s="1"/>
  <c r="D126" i="12"/>
  <c r="D141" i="6"/>
  <c r="D136" i="6" s="1"/>
  <c r="E108" i="6"/>
  <c r="E103" i="6" s="1"/>
  <c r="D31" i="13"/>
  <c r="E52" i="6"/>
  <c r="E141" i="13"/>
  <c r="D86" i="13"/>
  <c r="C150" i="16"/>
  <c r="C150" i="12" s="1"/>
  <c r="C129" i="17"/>
  <c r="E64" i="12"/>
  <c r="C139" i="16"/>
  <c r="C139" i="12" s="1"/>
  <c r="C84" i="16"/>
  <c r="C84" i="12" s="1"/>
  <c r="C52" i="17"/>
  <c r="C52" i="13" s="1"/>
  <c r="E152" i="12"/>
  <c r="E86" i="13"/>
  <c r="C140" i="17"/>
  <c r="C140" i="13" s="1"/>
  <c r="C62" i="16"/>
  <c r="C62" i="12" s="1"/>
  <c r="C74" i="17"/>
  <c r="C74" i="13" s="1"/>
  <c r="C30" i="17"/>
  <c r="C30" i="13" s="1"/>
  <c r="D64" i="12"/>
  <c r="D152" i="6"/>
  <c r="D147" i="6" s="1"/>
  <c r="C51" i="18"/>
  <c r="C51" i="6" s="1"/>
  <c r="C85" i="17"/>
  <c r="C85" i="13" s="1"/>
  <c r="C107" i="17"/>
  <c r="C107" i="13" s="1"/>
  <c r="C151" i="17"/>
  <c r="C151" i="13" s="1"/>
  <c r="E127" i="12"/>
  <c r="C51" i="16"/>
  <c r="C51" i="12" s="1"/>
  <c r="C7" i="18"/>
  <c r="C7" i="6" s="1"/>
  <c r="C84" i="18"/>
  <c r="C84" i="6" s="1"/>
  <c r="D52" i="12"/>
  <c r="C128" i="16"/>
  <c r="C128" i="12" s="1"/>
  <c r="C73" i="16"/>
  <c r="C73" i="12" s="1"/>
  <c r="C139" i="18"/>
  <c r="C139" i="6" s="1"/>
  <c r="C41" i="17"/>
  <c r="C41" i="13" s="1"/>
  <c r="C63" i="17"/>
  <c r="C63" i="13" s="1"/>
  <c r="E31" i="12"/>
  <c r="C106" i="18"/>
  <c r="C106" i="6" s="1"/>
  <c r="C73" i="18"/>
  <c r="C73" i="6" s="1"/>
  <c r="C8" i="17"/>
  <c r="C8" i="13" s="1"/>
  <c r="C29" i="18"/>
  <c r="C29" i="6" s="1"/>
  <c r="E75" i="12"/>
  <c r="D9" i="12"/>
  <c r="D126" i="6"/>
  <c r="F130" i="12"/>
  <c r="F53" i="12"/>
  <c r="C62" i="18"/>
  <c r="C62" i="6" s="1"/>
  <c r="C40" i="18"/>
  <c r="C40" i="6" s="1"/>
  <c r="C150" i="18"/>
  <c r="C150" i="6" s="1"/>
  <c r="D152" i="12"/>
  <c r="E86" i="12"/>
  <c r="D119" i="12"/>
  <c r="E9" i="12"/>
  <c r="E119" i="12"/>
  <c r="E141" i="6"/>
  <c r="E136" i="6" s="1"/>
  <c r="D127" i="12"/>
  <c r="D108" i="12"/>
  <c r="C117" i="18"/>
  <c r="C117" i="6" s="1"/>
  <c r="E128" i="12"/>
  <c r="E133" i="12"/>
  <c r="D31" i="12"/>
  <c r="E108" i="12"/>
  <c r="E132" i="12"/>
  <c r="D129" i="6"/>
  <c r="D42" i="12"/>
  <c r="E9" i="13"/>
  <c r="D141" i="12"/>
  <c r="D75" i="12"/>
  <c r="D86" i="12"/>
  <c r="E126" i="13"/>
  <c r="E126" i="12"/>
  <c r="D128" i="6"/>
  <c r="D133" i="6"/>
  <c r="D132" i="6"/>
  <c r="C164" i="6"/>
  <c r="C164" i="12"/>
  <c r="C74" i="18"/>
  <c r="C74" i="6" s="1"/>
  <c r="C30" i="18"/>
  <c r="C30" i="6" s="1"/>
  <c r="C118" i="16"/>
  <c r="C118" i="12" s="1"/>
  <c r="C140" i="16"/>
  <c r="C140" i="12" s="1"/>
  <c r="C156" i="6"/>
  <c r="C134" i="6"/>
  <c r="C29" i="17"/>
  <c r="C29" i="13" s="1"/>
  <c r="C84" i="17"/>
  <c r="C84" i="13" s="1"/>
  <c r="C139" i="17"/>
  <c r="C139" i="13" s="1"/>
  <c r="C168" i="12"/>
  <c r="C85" i="18"/>
  <c r="C85" i="6" s="1"/>
  <c r="C82" i="6"/>
  <c r="C151" i="18"/>
  <c r="C151" i="6" s="1"/>
  <c r="C41" i="18"/>
  <c r="C41" i="6" s="1"/>
  <c r="C140" i="18"/>
  <c r="C140" i="6" s="1"/>
  <c r="C151" i="16"/>
  <c r="C151" i="12" s="1"/>
  <c r="C107" i="16"/>
  <c r="C107" i="12" s="1"/>
  <c r="C30" i="16"/>
  <c r="C30" i="12" s="1"/>
  <c r="C40" i="17"/>
  <c r="C40" i="13" s="1"/>
  <c r="C73" i="17"/>
  <c r="C73" i="13" s="1"/>
  <c r="C150" i="17"/>
  <c r="C150" i="13" s="1"/>
  <c r="C128" i="18"/>
  <c r="C118" i="18"/>
  <c r="C118" i="6" s="1"/>
  <c r="C8" i="18"/>
  <c r="C8" i="6" s="1"/>
  <c r="C85" i="16"/>
  <c r="C85" i="12" s="1"/>
  <c r="C52" i="16"/>
  <c r="C8" i="16"/>
  <c r="C8" i="12" s="1"/>
  <c r="C168" i="6"/>
  <c r="C168" i="13"/>
  <c r="C117" i="17"/>
  <c r="C117" i="13" s="1"/>
  <c r="C106" i="17"/>
  <c r="C106" i="13" s="1"/>
  <c r="C128" i="17"/>
  <c r="C164" i="13"/>
  <c r="C52" i="18"/>
  <c r="C63" i="18"/>
  <c r="C63" i="6" s="1"/>
  <c r="C107" i="18"/>
  <c r="C107" i="6" s="1"/>
  <c r="C74" i="16"/>
  <c r="C74" i="12" s="1"/>
  <c r="C41" i="16"/>
  <c r="C41" i="12" s="1"/>
  <c r="C63" i="16"/>
  <c r="C63" i="12" s="1"/>
  <c r="C62" i="17"/>
  <c r="C62" i="13" s="1"/>
  <c r="C7" i="17"/>
  <c r="C7" i="13" s="1"/>
  <c r="C51" i="17"/>
  <c r="C51" i="13" s="1"/>
  <c r="E53" i="12" l="1"/>
  <c r="D130" i="12"/>
  <c r="E130" i="13"/>
  <c r="K167" i="18"/>
  <c r="K57" i="18" s="1"/>
  <c r="K57" i="6" s="1"/>
  <c r="K159" i="18"/>
  <c r="K49" i="18" s="1"/>
  <c r="K163" i="18"/>
  <c r="K108" i="18" s="1"/>
  <c r="K161" i="18"/>
  <c r="K162" i="18"/>
  <c r="K160" i="18"/>
  <c r="K50" i="18" s="1"/>
  <c r="K50" i="6" s="1"/>
  <c r="K164" i="18"/>
  <c r="K43" i="18" s="1"/>
  <c r="K43" i="6" s="1"/>
  <c r="K168" i="18"/>
  <c r="K102" i="18" s="1"/>
  <c r="K102" i="6" s="1"/>
  <c r="K25" i="16"/>
  <c r="K25" i="12" s="1"/>
  <c r="K61" i="16"/>
  <c r="K61" i="12" s="1"/>
  <c r="K75" i="16"/>
  <c r="K6" i="16"/>
  <c r="K6" i="12" s="1"/>
  <c r="K124" i="16"/>
  <c r="K124" i="12" s="1"/>
  <c r="K50" i="16"/>
  <c r="K50" i="12" s="1"/>
  <c r="K47" i="16"/>
  <c r="K47" i="12" s="1"/>
  <c r="K138" i="16"/>
  <c r="K138" i="12" s="1"/>
  <c r="K9" i="16"/>
  <c r="K135" i="16"/>
  <c r="K135" i="12" s="1"/>
  <c r="K28" i="16"/>
  <c r="K28" i="12" s="1"/>
  <c r="K116" i="16"/>
  <c r="K116" i="12" s="1"/>
  <c r="K82" i="16"/>
  <c r="K82" i="12" s="1"/>
  <c r="K105" i="16"/>
  <c r="K105" i="12" s="1"/>
  <c r="K108" i="16"/>
  <c r="K65" i="16"/>
  <c r="K65" i="12" s="1"/>
  <c r="K36" i="16"/>
  <c r="K36" i="12" s="1"/>
  <c r="K97" i="17"/>
  <c r="K120" i="17"/>
  <c r="K120" i="13" s="1"/>
  <c r="K82" i="17"/>
  <c r="K112" i="17"/>
  <c r="K112" i="13" s="1"/>
  <c r="K135" i="17"/>
  <c r="K135" i="13" s="1"/>
  <c r="K116" i="17"/>
  <c r="K116" i="13" s="1"/>
  <c r="C64" i="6"/>
  <c r="C59" i="6" s="1"/>
  <c r="C141" i="6"/>
  <c r="C136" i="6" s="1"/>
  <c r="D130" i="13"/>
  <c r="C129" i="6"/>
  <c r="C108" i="6"/>
  <c r="C103" i="6" s="1"/>
  <c r="C64" i="13"/>
  <c r="C86" i="13"/>
  <c r="C129" i="12"/>
  <c r="C152" i="13"/>
  <c r="C132" i="13"/>
  <c r="D130" i="6"/>
  <c r="C108" i="13"/>
  <c r="C9" i="12"/>
  <c r="C152" i="6"/>
  <c r="C147" i="6" s="1"/>
  <c r="E130" i="6"/>
  <c r="E125" i="6" s="1"/>
  <c r="D53" i="12"/>
  <c r="C53" i="13"/>
  <c r="C119" i="13"/>
  <c r="C75" i="13"/>
  <c r="C86" i="6"/>
  <c r="C81" i="6" s="1"/>
  <c r="C75" i="6"/>
  <c r="C70" i="6" s="1"/>
  <c r="C31" i="13"/>
  <c r="C133" i="12"/>
  <c r="C126" i="12"/>
  <c r="C132" i="12"/>
  <c r="C42" i="13"/>
  <c r="C127" i="12"/>
  <c r="C31" i="6"/>
  <c r="C26" i="6" s="1"/>
  <c r="C141" i="12"/>
  <c r="C141" i="13"/>
  <c r="C129" i="13"/>
  <c r="C9" i="6"/>
  <c r="C4" i="6" s="1"/>
  <c r="E53" i="6"/>
  <c r="C42" i="6"/>
  <c r="C37" i="6" s="1"/>
  <c r="C119" i="6"/>
  <c r="C114" i="6" s="1"/>
  <c r="E130" i="12"/>
  <c r="C108" i="12"/>
  <c r="C127" i="6"/>
  <c r="C9" i="13"/>
  <c r="C42" i="12"/>
  <c r="C86" i="12"/>
  <c r="C31" i="12"/>
  <c r="C128" i="13"/>
  <c r="C133" i="13"/>
  <c r="C127" i="13"/>
  <c r="C64" i="12"/>
  <c r="C52" i="6"/>
  <c r="C53" i="6" s="1"/>
  <c r="C48" i="6" s="1"/>
  <c r="C126" i="13"/>
  <c r="C126" i="6"/>
  <c r="C119" i="12"/>
  <c r="C52" i="12"/>
  <c r="C128" i="6"/>
  <c r="C132" i="6"/>
  <c r="C152" i="12"/>
  <c r="C75" i="12"/>
  <c r="C133" i="6"/>
  <c r="K20" i="18" l="1"/>
  <c r="K54" i="18"/>
  <c r="K54" i="6" s="1"/>
  <c r="K42" i="18"/>
  <c r="K148" i="18"/>
  <c r="K148" i="6" s="1"/>
  <c r="K145" i="18"/>
  <c r="K145" i="6" s="1"/>
  <c r="K98" i="18"/>
  <c r="K98" i="6" s="1"/>
  <c r="K141" i="18"/>
  <c r="K124" i="18"/>
  <c r="K124" i="6" s="1"/>
  <c r="K46" i="18"/>
  <c r="K46" i="6" s="1"/>
  <c r="K36" i="18"/>
  <c r="K36" i="6" s="1"/>
  <c r="K82" i="18"/>
  <c r="K82" i="6" s="1"/>
  <c r="K131" i="18"/>
  <c r="K131" i="6" s="1"/>
  <c r="K9" i="18"/>
  <c r="K32" i="18"/>
  <c r="K32" i="6" s="1"/>
  <c r="K134" i="18"/>
  <c r="K79" i="18"/>
  <c r="K79" i="6" s="1"/>
  <c r="K10" i="18"/>
  <c r="K10" i="6" s="1"/>
  <c r="K152" i="18"/>
  <c r="K157" i="18"/>
  <c r="K157" i="6" s="1"/>
  <c r="K64" i="18"/>
  <c r="K137" i="18"/>
  <c r="K137" i="6" s="1"/>
  <c r="K123" i="18"/>
  <c r="K123" i="6" s="1"/>
  <c r="K71" i="18"/>
  <c r="K71" i="6" s="1"/>
  <c r="K21" i="18"/>
  <c r="K21" i="6" s="1"/>
  <c r="K112" i="18"/>
  <c r="K112" i="6" s="1"/>
  <c r="K130" i="18"/>
  <c r="K97" i="18"/>
  <c r="K49" i="6"/>
  <c r="K52" i="18"/>
  <c r="K51" i="18"/>
  <c r="K51" i="6" s="1"/>
  <c r="K6" i="18"/>
  <c r="K6" i="6" s="1"/>
  <c r="K83" i="18"/>
  <c r="K127" i="18"/>
  <c r="K58" i="18"/>
  <c r="K58" i="6" s="1"/>
  <c r="K135" i="18"/>
  <c r="K135" i="6" s="1"/>
  <c r="K61" i="18"/>
  <c r="K61" i="6" s="1"/>
  <c r="K126" i="18"/>
  <c r="K87" i="18"/>
  <c r="K87" i="6" s="1"/>
  <c r="K38" i="18"/>
  <c r="K14" i="18"/>
  <c r="K14" i="6" s="1"/>
  <c r="K31" i="18"/>
  <c r="K13" i="18"/>
  <c r="K13" i="6" s="1"/>
  <c r="K5" i="18"/>
  <c r="K5" i="6" s="1"/>
  <c r="K75" i="18"/>
  <c r="K65" i="18"/>
  <c r="K65" i="6" s="1"/>
  <c r="K91" i="18"/>
  <c r="K91" i="6" s="1"/>
  <c r="K90" i="18"/>
  <c r="K90" i="6" s="1"/>
  <c r="K116" i="18"/>
  <c r="K116" i="6" s="1"/>
  <c r="K80" i="18"/>
  <c r="K80" i="6" s="1"/>
  <c r="K119" i="18"/>
  <c r="K35" i="18"/>
  <c r="K35" i="6" s="1"/>
  <c r="K142" i="18"/>
  <c r="K142" i="6" s="1"/>
  <c r="K53" i="18"/>
  <c r="K138" i="18"/>
  <c r="K27" i="18"/>
  <c r="K156" i="18"/>
  <c r="K39" i="18"/>
  <c r="K39" i="6" s="1"/>
  <c r="K105" i="18"/>
  <c r="K105" i="6" s="1"/>
  <c r="K149" i="18"/>
  <c r="K149" i="6" s="1"/>
  <c r="K113" i="18"/>
  <c r="K113" i="6" s="1"/>
  <c r="K60" i="18"/>
  <c r="K72" i="18"/>
  <c r="K28" i="18"/>
  <c r="K28" i="6" s="1"/>
  <c r="K109" i="18"/>
  <c r="K109" i="6" s="1"/>
  <c r="K115" i="18"/>
  <c r="K115" i="6" s="1"/>
  <c r="K47" i="18"/>
  <c r="K47" i="6" s="1"/>
  <c r="K86" i="18"/>
  <c r="K101" i="18"/>
  <c r="K101" i="6" s="1"/>
  <c r="K104" i="18"/>
  <c r="K104" i="6" s="1"/>
  <c r="K120" i="18"/>
  <c r="K120" i="6" s="1"/>
  <c r="K25" i="18"/>
  <c r="K25" i="6" s="1"/>
  <c r="K76" i="18"/>
  <c r="K76" i="6" s="1"/>
  <c r="K69" i="18"/>
  <c r="K69" i="6" s="1"/>
  <c r="K153" i="18"/>
  <c r="K153" i="6" s="1"/>
  <c r="K146" i="18"/>
  <c r="K146" i="6" s="1"/>
  <c r="K68" i="18"/>
  <c r="K68" i="6" s="1"/>
  <c r="K104" i="17"/>
  <c r="K104" i="13" s="1"/>
  <c r="K27" i="17"/>
  <c r="K27" i="13" s="1"/>
  <c r="K5" i="17"/>
  <c r="K5" i="13" s="1"/>
  <c r="K152" i="17"/>
  <c r="K53" i="17"/>
  <c r="K86" i="17"/>
  <c r="K68" i="17"/>
  <c r="K68" i="13" s="1"/>
  <c r="K25" i="17"/>
  <c r="K25" i="13" s="1"/>
  <c r="K80" i="17"/>
  <c r="K80" i="13" s="1"/>
  <c r="K156" i="17"/>
  <c r="K156" i="13" s="1"/>
  <c r="K90" i="17"/>
  <c r="K90" i="13" s="1"/>
  <c r="K46" i="17"/>
  <c r="K46" i="13" s="1"/>
  <c r="K31" i="17"/>
  <c r="K82" i="13"/>
  <c r="K127" i="17"/>
  <c r="K98" i="17"/>
  <c r="K98" i="13" s="1"/>
  <c r="K43" i="17"/>
  <c r="K43" i="13" s="1"/>
  <c r="K6" i="17"/>
  <c r="K142" i="17"/>
  <c r="K142" i="13" s="1"/>
  <c r="K109" i="17"/>
  <c r="K109" i="13" s="1"/>
  <c r="K134" i="17"/>
  <c r="K134" i="13" s="1"/>
  <c r="K28" i="17"/>
  <c r="K137" i="17"/>
  <c r="K137" i="13" s="1"/>
  <c r="K76" i="17"/>
  <c r="K76" i="13" s="1"/>
  <c r="K47" i="17"/>
  <c r="K47" i="13" s="1"/>
  <c r="K39" i="17"/>
  <c r="K39" i="13" s="1"/>
  <c r="K145" i="17"/>
  <c r="K145" i="13" s="1"/>
  <c r="K71" i="17"/>
  <c r="K75" i="17"/>
  <c r="K87" i="17"/>
  <c r="K87" i="13" s="1"/>
  <c r="K36" i="17"/>
  <c r="K36" i="13" s="1"/>
  <c r="K72" i="17"/>
  <c r="K72" i="13" s="1"/>
  <c r="K54" i="17"/>
  <c r="K54" i="13" s="1"/>
  <c r="K13" i="17"/>
  <c r="K13" i="13" s="1"/>
  <c r="K83" i="17"/>
  <c r="K83" i="13" s="1"/>
  <c r="K115" i="17"/>
  <c r="K117" i="17" s="1"/>
  <c r="K117" i="13" s="1"/>
  <c r="K141" i="17"/>
  <c r="K124" i="17"/>
  <c r="K124" i="13" s="1"/>
  <c r="K123" i="17"/>
  <c r="K123" i="13" s="1"/>
  <c r="K65" i="17"/>
  <c r="K65" i="13" s="1"/>
  <c r="K61" i="17"/>
  <c r="K61" i="13" s="1"/>
  <c r="K101" i="17"/>
  <c r="K101" i="13" s="1"/>
  <c r="K50" i="17"/>
  <c r="K50" i="13" s="1"/>
  <c r="K20" i="17"/>
  <c r="K21" i="17"/>
  <c r="K21" i="13" s="1"/>
  <c r="K91" i="17"/>
  <c r="K91" i="13" s="1"/>
  <c r="K126" i="17"/>
  <c r="K79" i="17"/>
  <c r="K79" i="13" s="1"/>
  <c r="K105" i="17"/>
  <c r="K49" i="17"/>
  <c r="K49" i="13" s="1"/>
  <c r="K42" i="17"/>
  <c r="K131" i="17"/>
  <c r="K131" i="13" s="1"/>
  <c r="K14" i="17"/>
  <c r="K14" i="13" s="1"/>
  <c r="K60" i="17"/>
  <c r="K69" i="17"/>
  <c r="K69" i="13" s="1"/>
  <c r="K149" i="17"/>
  <c r="K149" i="13" s="1"/>
  <c r="K148" i="17"/>
  <c r="K130" i="17"/>
  <c r="K10" i="17"/>
  <c r="K10" i="13" s="1"/>
  <c r="K102" i="17"/>
  <c r="K102" i="13" s="1"/>
  <c r="K113" i="17"/>
  <c r="K113" i="13" s="1"/>
  <c r="K32" i="17"/>
  <c r="K32" i="13" s="1"/>
  <c r="K57" i="17"/>
  <c r="K57" i="13" s="1"/>
  <c r="K119" i="17"/>
  <c r="K153" i="17"/>
  <c r="K153" i="13" s="1"/>
  <c r="K146" i="17"/>
  <c r="K146" i="13" s="1"/>
  <c r="K9" i="17"/>
  <c r="K35" i="17"/>
  <c r="K35" i="13" s="1"/>
  <c r="K138" i="17"/>
  <c r="K138" i="13" s="1"/>
  <c r="K64" i="17"/>
  <c r="K58" i="17"/>
  <c r="K58" i="13" s="1"/>
  <c r="K108" i="17"/>
  <c r="K38" i="17"/>
  <c r="K157" i="17"/>
  <c r="K157" i="13" s="1"/>
  <c r="K104" i="16"/>
  <c r="K104" i="12" s="1"/>
  <c r="K54" i="16"/>
  <c r="K54" i="12" s="1"/>
  <c r="K109" i="16"/>
  <c r="K109" i="12" s="1"/>
  <c r="K102" i="16"/>
  <c r="K102" i="12" s="1"/>
  <c r="K148" i="16"/>
  <c r="K148" i="12" s="1"/>
  <c r="K69" i="16"/>
  <c r="K69" i="12" s="1"/>
  <c r="K49" i="16"/>
  <c r="K14" i="16"/>
  <c r="K14" i="12" s="1"/>
  <c r="K142" i="16"/>
  <c r="K142" i="12" s="1"/>
  <c r="K157" i="16"/>
  <c r="K157" i="12" s="1"/>
  <c r="K97" i="16"/>
  <c r="K126" i="16"/>
  <c r="K113" i="16"/>
  <c r="K113" i="12" s="1"/>
  <c r="K137" i="16"/>
  <c r="K32" i="16"/>
  <c r="K32" i="12" s="1"/>
  <c r="K31" i="16"/>
  <c r="K72" i="16"/>
  <c r="K72" i="12" s="1"/>
  <c r="K87" i="16"/>
  <c r="K87" i="12" s="1"/>
  <c r="K80" i="16"/>
  <c r="K80" i="12" s="1"/>
  <c r="K86" i="16"/>
  <c r="K10" i="16"/>
  <c r="K10" i="12" s="1"/>
  <c r="K53" i="16"/>
  <c r="K71" i="16"/>
  <c r="K71" i="12" s="1"/>
  <c r="K141" i="16"/>
  <c r="K21" i="16"/>
  <c r="K21" i="12" s="1"/>
  <c r="K58" i="16"/>
  <c r="K58" i="12" s="1"/>
  <c r="K42" i="16"/>
  <c r="K27" i="16"/>
  <c r="K127" i="16"/>
  <c r="K130" i="16"/>
  <c r="K131" i="16"/>
  <c r="K131" i="12" s="1"/>
  <c r="K64" i="16"/>
  <c r="K76" i="16"/>
  <c r="K76" i="12" s="1"/>
  <c r="K153" i="16"/>
  <c r="K153" i="12" s="1"/>
  <c r="K38" i="16"/>
  <c r="K38" i="12" s="1"/>
  <c r="K5" i="16"/>
  <c r="K7" i="16" s="1"/>
  <c r="K7" i="12" s="1"/>
  <c r="K149" i="16"/>
  <c r="K149" i="12" s="1"/>
  <c r="K120" i="16"/>
  <c r="K120" i="12" s="1"/>
  <c r="K91" i="16"/>
  <c r="K91" i="12" s="1"/>
  <c r="K152" i="16"/>
  <c r="K60" i="16"/>
  <c r="K43" i="16"/>
  <c r="K43" i="12" s="1"/>
  <c r="K20" i="16"/>
  <c r="K98" i="16"/>
  <c r="K98" i="12" s="1"/>
  <c r="K39" i="16"/>
  <c r="K39" i="12" s="1"/>
  <c r="K146" i="16"/>
  <c r="K146" i="12" s="1"/>
  <c r="K119" i="16"/>
  <c r="K115" i="16"/>
  <c r="K115" i="12" s="1"/>
  <c r="K83" i="16"/>
  <c r="C130" i="6"/>
  <c r="D125" i="6"/>
  <c r="C130" i="12"/>
  <c r="E48" i="6"/>
  <c r="C130" i="13"/>
  <c r="C53" i="12"/>
  <c r="K63" i="18" l="1"/>
  <c r="K63" i="6" s="1"/>
  <c r="K52" i="6"/>
  <c r="K53" i="6" s="1"/>
  <c r="K48" i="6" s="1"/>
  <c r="K40" i="18"/>
  <c r="K40" i="6" s="1"/>
  <c r="K129" i="18"/>
  <c r="K107" i="17"/>
  <c r="K107" i="13" s="1"/>
  <c r="K73" i="18"/>
  <c r="K73" i="6" s="1"/>
  <c r="K84" i="18"/>
  <c r="K84" i="6" s="1"/>
  <c r="K150" i="18"/>
  <c r="K150" i="6" s="1"/>
  <c r="K164" i="6"/>
  <c r="K128" i="18"/>
  <c r="K60" i="6"/>
  <c r="K62" i="18"/>
  <c r="K62" i="6" s="1"/>
  <c r="K27" i="6"/>
  <c r="K29" i="18"/>
  <c r="K29" i="6" s="1"/>
  <c r="K30" i="18"/>
  <c r="K30" i="6" s="1"/>
  <c r="K107" i="18"/>
  <c r="K107" i="6" s="1"/>
  <c r="K138" i="6"/>
  <c r="K140" i="18"/>
  <c r="K140" i="6" s="1"/>
  <c r="K168" i="6"/>
  <c r="K117" i="18"/>
  <c r="K117" i="6" s="1"/>
  <c r="K139" i="18"/>
  <c r="K139" i="6" s="1"/>
  <c r="K151" i="18"/>
  <c r="K151" i="6" s="1"/>
  <c r="K38" i="6"/>
  <c r="K41" i="18"/>
  <c r="K41" i="6" s="1"/>
  <c r="K7" i="18"/>
  <c r="K7" i="6" s="1"/>
  <c r="K106" i="18"/>
  <c r="K106" i="6" s="1"/>
  <c r="K72" i="6"/>
  <c r="K74" i="18"/>
  <c r="K74" i="6" s="1"/>
  <c r="K134" i="6"/>
  <c r="K156" i="6"/>
  <c r="K8" i="18"/>
  <c r="K8" i="6" s="1"/>
  <c r="K83" i="6"/>
  <c r="K85" i="18"/>
  <c r="K85" i="6" s="1"/>
  <c r="K118" i="18"/>
  <c r="K118" i="6" s="1"/>
  <c r="K29" i="17"/>
  <c r="K29" i="13" s="1"/>
  <c r="K129" i="17"/>
  <c r="K74" i="17"/>
  <c r="K74" i="13" s="1"/>
  <c r="K128" i="17"/>
  <c r="K128" i="13" s="1"/>
  <c r="K139" i="17"/>
  <c r="K139" i="13" s="1"/>
  <c r="K84" i="17"/>
  <c r="K84" i="13" s="1"/>
  <c r="K60" i="13"/>
  <c r="K63" i="17"/>
  <c r="K63" i="13" s="1"/>
  <c r="K52" i="17"/>
  <c r="K52" i="13" s="1"/>
  <c r="K6" i="13"/>
  <c r="K7" i="17"/>
  <c r="K7" i="13" s="1"/>
  <c r="K148" i="13"/>
  <c r="K151" i="17"/>
  <c r="K151" i="13" s="1"/>
  <c r="K150" i="17"/>
  <c r="K150" i="13" s="1"/>
  <c r="K168" i="13"/>
  <c r="K105" i="13"/>
  <c r="K106" i="17"/>
  <c r="K106" i="13" s="1"/>
  <c r="K51" i="17"/>
  <c r="K51" i="13" s="1"/>
  <c r="K28" i="13"/>
  <c r="K30" i="17"/>
  <c r="K30" i="13" s="1"/>
  <c r="K85" i="17"/>
  <c r="K85" i="13" s="1"/>
  <c r="K115" i="13"/>
  <c r="K118" i="17"/>
  <c r="K118" i="13" s="1"/>
  <c r="K119" i="13" s="1"/>
  <c r="K71" i="13"/>
  <c r="K73" i="17"/>
  <c r="K73" i="13" s="1"/>
  <c r="K8" i="17"/>
  <c r="K8" i="13" s="1"/>
  <c r="K38" i="13"/>
  <c r="K41" i="17"/>
  <c r="K41" i="13" s="1"/>
  <c r="K40" i="17"/>
  <c r="K40" i="13" s="1"/>
  <c r="K164" i="13"/>
  <c r="K140" i="17"/>
  <c r="K140" i="13" s="1"/>
  <c r="K62" i="17"/>
  <c r="K62" i="13" s="1"/>
  <c r="K164" i="12"/>
  <c r="K140" i="16"/>
  <c r="K140" i="12" s="1"/>
  <c r="K137" i="12"/>
  <c r="K8" i="16"/>
  <c r="K8" i="12" s="1"/>
  <c r="K5" i="12"/>
  <c r="K85" i="16"/>
  <c r="K85" i="12" s="1"/>
  <c r="K83" i="12"/>
  <c r="K168" i="12"/>
  <c r="K63" i="16"/>
  <c r="K63" i="12" s="1"/>
  <c r="K60" i="12"/>
  <c r="K30" i="16"/>
  <c r="K30" i="12" s="1"/>
  <c r="K27" i="12"/>
  <c r="K52" i="16"/>
  <c r="K49" i="12"/>
  <c r="K74" i="16"/>
  <c r="K74" i="12" s="1"/>
  <c r="K29" i="16"/>
  <c r="K29" i="12" s="1"/>
  <c r="K139" i="16"/>
  <c r="K139" i="12" s="1"/>
  <c r="K84" i="16"/>
  <c r="K84" i="12" s="1"/>
  <c r="K41" i="16"/>
  <c r="K41" i="12" s="1"/>
  <c r="K40" i="16"/>
  <c r="K40" i="12" s="1"/>
  <c r="K62" i="16"/>
  <c r="K62" i="12" s="1"/>
  <c r="K51" i="16"/>
  <c r="K51" i="12" s="1"/>
  <c r="K73" i="16"/>
  <c r="K73" i="12" s="1"/>
  <c r="K117" i="16"/>
  <c r="K117" i="12" s="1"/>
  <c r="K118" i="16"/>
  <c r="K118" i="12" s="1"/>
  <c r="K128" i="16"/>
  <c r="K107" i="16"/>
  <c r="K107" i="12" s="1"/>
  <c r="K106" i="16"/>
  <c r="K106" i="12" s="1"/>
  <c r="K151" i="16"/>
  <c r="K151" i="12" s="1"/>
  <c r="K150" i="16"/>
  <c r="K150" i="12" s="1"/>
  <c r="K129" i="16"/>
  <c r="C125" i="6"/>
  <c r="K9" i="12" l="1"/>
  <c r="K64" i="6"/>
  <c r="K59" i="6" s="1"/>
  <c r="K53" i="13"/>
  <c r="K75" i="12"/>
  <c r="K42" i="6"/>
  <c r="K37" i="6" s="1"/>
  <c r="K141" i="13"/>
  <c r="K127" i="6"/>
  <c r="K86" i="6"/>
  <c r="K81" i="6" s="1"/>
  <c r="K108" i="6"/>
  <c r="K103" i="6" s="1"/>
  <c r="K108" i="13"/>
  <c r="K152" i="6"/>
  <c r="K147" i="6" s="1"/>
  <c r="K31" i="6"/>
  <c r="K26" i="6" s="1"/>
  <c r="K133" i="6"/>
  <c r="K129" i="6"/>
  <c r="K128" i="6"/>
  <c r="K132" i="6"/>
  <c r="K126" i="6"/>
  <c r="K9" i="6"/>
  <c r="K4" i="6" s="1"/>
  <c r="K141" i="6"/>
  <c r="K136" i="6" s="1"/>
  <c r="K119" i="6"/>
  <c r="K114" i="6" s="1"/>
  <c r="K75" i="6"/>
  <c r="K70" i="6" s="1"/>
  <c r="K31" i="13"/>
  <c r="K152" i="13"/>
  <c r="K132" i="13"/>
  <c r="K75" i="13"/>
  <c r="K133" i="13"/>
  <c r="K64" i="13"/>
  <c r="K129" i="13"/>
  <c r="K130" i="13" s="1"/>
  <c r="K126" i="13"/>
  <c r="K127" i="13"/>
  <c r="K42" i="13"/>
  <c r="K86" i="13"/>
  <c r="K9" i="13"/>
  <c r="K86" i="12"/>
  <c r="K64" i="12"/>
  <c r="K141" i="12"/>
  <c r="K42" i="12"/>
  <c r="K126" i="12"/>
  <c r="K119" i="12"/>
  <c r="K31" i="12"/>
  <c r="K152" i="12"/>
  <c r="K108" i="12"/>
  <c r="K128" i="12"/>
  <c r="K133" i="12"/>
  <c r="K132" i="12"/>
  <c r="K129" i="12"/>
  <c r="K52" i="12"/>
  <c r="K127" i="12"/>
  <c r="K53" i="12" l="1"/>
  <c r="K130" i="6"/>
  <c r="K125" i="6" s="1"/>
  <c r="K130" i="12"/>
  <c r="D39" i="15" l="1"/>
  <c r="D99" i="16" s="1"/>
  <c r="D40" i="15" s="1"/>
  <c r="F39" i="15"/>
  <c r="F99" i="16" s="1"/>
  <c r="F40" i="15" s="1"/>
  <c r="C51" i="15"/>
  <c r="C100" i="16" s="1"/>
  <c r="C52" i="15" s="1"/>
  <c r="E51" i="15"/>
  <c r="E100" i="16" s="1"/>
  <c r="E52" i="15" s="1"/>
  <c r="C49" i="15"/>
  <c r="C100" i="18" s="1"/>
  <c r="C50" i="15" s="1"/>
  <c r="D51" i="15"/>
  <c r="D100" i="16" s="1"/>
  <c r="D52" i="15" s="1"/>
  <c r="F49" i="15"/>
  <c r="F100" i="18" s="1"/>
  <c r="F50" i="15" s="1"/>
  <c r="G51" i="15"/>
  <c r="G100" i="16" s="1"/>
  <c r="G52" i="15" s="1"/>
  <c r="C39" i="15"/>
  <c r="C99" i="16" s="1"/>
  <c r="C40" i="15" s="1"/>
  <c r="E39" i="15"/>
  <c r="E99" i="16" s="1"/>
  <c r="E40" i="15" s="1"/>
  <c r="G37" i="15"/>
  <c r="G99" i="18" s="1"/>
  <c r="G38" i="15" s="1"/>
  <c r="C37" i="15"/>
  <c r="C99" i="18" s="1"/>
  <c r="C38" i="15" s="1"/>
  <c r="D37" i="15"/>
  <c r="D99" i="18" s="1"/>
  <c r="D38" i="15" s="1"/>
  <c r="D49" i="15"/>
  <c r="D100" i="18" s="1"/>
  <c r="D50" i="15" s="1"/>
  <c r="E49" i="15"/>
  <c r="E100" i="18" s="1"/>
  <c r="E50" i="15" s="1"/>
  <c r="F51" i="15"/>
  <c r="F100" i="16" s="1"/>
  <c r="F52" i="15" s="1"/>
  <c r="E37" i="15"/>
  <c r="E99" i="18" s="1"/>
  <c r="E38" i="15" s="1"/>
  <c r="G49" i="15"/>
  <c r="G100" i="18" s="1"/>
  <c r="G50" i="15" s="1"/>
  <c r="F37" i="15"/>
  <c r="F99" i="18" s="1"/>
  <c r="F38" i="15" s="1"/>
  <c r="G39" i="15"/>
  <c r="G99" i="16" s="1"/>
  <c r="G40" i="15" s="1"/>
  <c r="B39" i="15" l="1"/>
  <c r="B99" i="16" s="1"/>
  <c r="I51" i="15"/>
  <c r="I100" i="16" s="1"/>
  <c r="I52" i="15" s="1"/>
  <c r="J41" i="15"/>
  <c r="I53" i="15"/>
  <c r="I100" i="17" s="1"/>
  <c r="I54" i="15" s="1"/>
  <c r="H41" i="15"/>
  <c r="D41" i="15"/>
  <c r="B51" i="15"/>
  <c r="B100" i="16" s="1"/>
  <c r="K49" i="15"/>
  <c r="K100" i="18" s="1"/>
  <c r="K50" i="15" s="1"/>
  <c r="K41" i="15"/>
  <c r="I39" i="15"/>
  <c r="I99" i="16" s="1"/>
  <c r="I40" i="15" s="1"/>
  <c r="J53" i="15"/>
  <c r="J100" i="17" s="1"/>
  <c r="J54" i="15" s="1"/>
  <c r="K37" i="15"/>
  <c r="K99" i="18" s="1"/>
  <c r="K38" i="15" s="1"/>
  <c r="E41" i="15"/>
  <c r="G53" i="15"/>
  <c r="G100" i="17" s="1"/>
  <c r="G54" i="15" s="1"/>
  <c r="J49" i="15"/>
  <c r="J100" i="18" s="1"/>
  <c r="J50" i="15" s="1"/>
  <c r="K39" i="15"/>
  <c r="K99" i="16" s="1"/>
  <c r="K40" i="15" s="1"/>
  <c r="J37" i="15"/>
  <c r="J99" i="18" s="1"/>
  <c r="J38" i="15" s="1"/>
  <c r="B37" i="15"/>
  <c r="B99" i="18" s="1"/>
  <c r="C53" i="15"/>
  <c r="C100" i="17" s="1"/>
  <c r="C54" i="15" s="1"/>
  <c r="F53" i="15"/>
  <c r="F100" i="17" s="1"/>
  <c r="F54" i="15" s="1"/>
  <c r="H51" i="15"/>
  <c r="H100" i="16" s="1"/>
  <c r="H52" i="15" s="1"/>
  <c r="H37" i="15"/>
  <c r="H99" i="18" s="1"/>
  <c r="H38" i="15" s="1"/>
  <c r="J51" i="15"/>
  <c r="J100" i="16" s="1"/>
  <c r="J52" i="15" s="1"/>
  <c r="I49" i="15"/>
  <c r="I100" i="18" s="1"/>
  <c r="I50" i="15" s="1"/>
  <c r="J39" i="15"/>
  <c r="J99" i="16" s="1"/>
  <c r="J40" i="15" s="1"/>
  <c r="K53" i="15"/>
  <c r="K100" i="17" s="1"/>
  <c r="K54" i="15" s="1"/>
  <c r="H53" i="15"/>
  <c r="H100" i="17" s="1"/>
  <c r="H54" i="15" s="1"/>
  <c r="D53" i="15"/>
  <c r="D100" i="17" s="1"/>
  <c r="D54" i="15" s="1"/>
  <c r="F41" i="15"/>
  <c r="G41" i="15"/>
  <c r="C41" i="15"/>
  <c r="H49" i="15"/>
  <c r="H100" i="18" s="1"/>
  <c r="H50" i="15" s="1"/>
  <c r="H39" i="15"/>
  <c r="H99" i="16" s="1"/>
  <c r="H40" i="15" s="1"/>
  <c r="K51" i="15"/>
  <c r="K100" i="16" s="1"/>
  <c r="K52" i="15" s="1"/>
  <c r="I41" i="15"/>
  <c r="I37" i="15"/>
  <c r="I99" i="18" s="1"/>
  <c r="I38" i="15" s="1"/>
  <c r="E53" i="15"/>
  <c r="E100" i="17" s="1"/>
  <c r="E54" i="15" s="1"/>
  <c r="B100" i="12" l="1"/>
  <c r="B52" i="15"/>
  <c r="B99" i="12"/>
  <c r="B40" i="15"/>
  <c r="B99" i="6"/>
  <c r="B38" i="15"/>
  <c r="G99" i="17"/>
  <c r="G42" i="15" s="1"/>
  <c r="F99" i="17"/>
  <c r="F42" i="15" s="1"/>
  <c r="D99" i="17"/>
  <c r="D42" i="15" s="1"/>
  <c r="J99" i="17"/>
  <c r="J42" i="15" s="1"/>
  <c r="E99" i="17"/>
  <c r="E42" i="15" s="1"/>
  <c r="K99" i="17"/>
  <c r="K42" i="15" s="1"/>
  <c r="H99" i="17"/>
  <c r="H42" i="15" s="1"/>
  <c r="I99" i="17"/>
  <c r="I42" i="15" s="1"/>
  <c r="C99" i="17"/>
  <c r="C42" i="15" s="1"/>
  <c r="H171" i="16"/>
  <c r="I171" i="18"/>
  <c r="J174" i="18"/>
  <c r="B49" i="15"/>
  <c r="B100" i="18" s="1"/>
  <c r="G171" i="17"/>
  <c r="H174" i="16"/>
  <c r="H174" i="18"/>
  <c r="K174" i="18"/>
  <c r="I174" i="18"/>
  <c r="E171" i="17"/>
  <c r="B174" i="18"/>
  <c r="F174" i="18"/>
  <c r="D174" i="18"/>
  <c r="G174" i="18"/>
  <c r="C174" i="18"/>
  <c r="E174" i="18"/>
  <c r="B53" i="15"/>
  <c r="B100" i="17" s="1"/>
  <c r="B41" i="15"/>
  <c r="B99" i="17" s="1"/>
  <c r="B100" i="13" l="1"/>
  <c r="B54" i="15"/>
  <c r="B100" i="6"/>
  <c r="B50" i="15"/>
  <c r="B99" i="13"/>
  <c r="B42" i="15"/>
  <c r="J171" i="17"/>
  <c r="H171" i="17"/>
  <c r="D171" i="18"/>
  <c r="D96" i="18" s="1"/>
  <c r="I93" i="18"/>
  <c r="I96" i="18"/>
  <c r="I95" i="18"/>
  <c r="I94" i="18"/>
  <c r="H96" i="16"/>
  <c r="H93" i="16"/>
  <c r="H94" i="16"/>
  <c r="H95" i="16"/>
  <c r="I174" i="17"/>
  <c r="I174" i="16"/>
  <c r="G174" i="16"/>
  <c r="B174" i="17"/>
  <c r="B171" i="18"/>
  <c r="E174" i="16"/>
  <c r="K171" i="17"/>
  <c r="D171" i="17"/>
  <c r="I171" i="16"/>
  <c r="E171" i="18"/>
  <c r="F174" i="17"/>
  <c r="E171" i="16"/>
  <c r="K171" i="18"/>
  <c r="G171" i="18"/>
  <c r="H174" i="17"/>
  <c r="H95" i="17" s="1"/>
  <c r="H171" i="18"/>
  <c r="I171" i="17"/>
  <c r="G171" i="16"/>
  <c r="D174" i="16"/>
  <c r="K174" i="16"/>
  <c r="B171" i="17"/>
  <c r="F171" i="18"/>
  <c r="C171" i="18"/>
  <c r="C171" i="17"/>
  <c r="K171" i="16"/>
  <c r="J171" i="18"/>
  <c r="K174" i="17"/>
  <c r="C171" i="16"/>
  <c r="B174" i="16"/>
  <c r="C174" i="17"/>
  <c r="F171" i="17"/>
  <c r="D171" i="16"/>
  <c r="B171" i="16"/>
  <c r="J171" i="16"/>
  <c r="F171" i="16"/>
  <c r="J174" i="16"/>
  <c r="F174" i="16"/>
  <c r="G174" i="17"/>
  <c r="G93" i="17" s="1"/>
  <c r="D174" i="17"/>
  <c r="C174" i="16"/>
  <c r="E174" i="17"/>
  <c r="E94" i="17" s="1"/>
  <c r="J174" i="17"/>
  <c r="J95" i="17" s="1"/>
  <c r="D94" i="18" l="1"/>
  <c r="D93" i="18"/>
  <c r="D95" i="18"/>
  <c r="I96" i="6"/>
  <c r="H94" i="12"/>
  <c r="H94" i="17"/>
  <c r="H95" i="13"/>
  <c r="J95" i="13"/>
  <c r="K93" i="16"/>
  <c r="K96" i="16"/>
  <c r="K94" i="16"/>
  <c r="K95" i="16"/>
  <c r="I94" i="16"/>
  <c r="I96" i="16"/>
  <c r="I95" i="16"/>
  <c r="I93" i="16"/>
  <c r="F96" i="16"/>
  <c r="F95" i="16"/>
  <c r="F94" i="16"/>
  <c r="F93" i="16"/>
  <c r="F93" i="17"/>
  <c r="F94" i="17"/>
  <c r="F96" i="17"/>
  <c r="F95" i="17"/>
  <c r="C95" i="18"/>
  <c r="C94" i="18"/>
  <c r="C93" i="18"/>
  <c r="C96" i="18"/>
  <c r="K95" i="17"/>
  <c r="K93" i="17"/>
  <c r="K96" i="17"/>
  <c r="K94" i="17"/>
  <c r="E93" i="17"/>
  <c r="H93" i="17"/>
  <c r="J96" i="17"/>
  <c r="J96" i="13" s="1"/>
  <c r="H96" i="12"/>
  <c r="G95" i="17"/>
  <c r="I94" i="6"/>
  <c r="J94" i="16"/>
  <c r="J96" i="16"/>
  <c r="J93" i="16"/>
  <c r="J95" i="16"/>
  <c r="J93" i="18"/>
  <c r="J95" i="18"/>
  <c r="J96" i="18"/>
  <c r="J94" i="18"/>
  <c r="F95" i="18"/>
  <c r="F94" i="18"/>
  <c r="F96" i="18"/>
  <c r="F93" i="18"/>
  <c r="G94" i="16"/>
  <c r="G96" i="16"/>
  <c r="G95" i="16"/>
  <c r="G93" i="16"/>
  <c r="G93" i="18"/>
  <c r="G95" i="18"/>
  <c r="G96" i="18"/>
  <c r="G94" i="18"/>
  <c r="E93" i="18"/>
  <c r="E95" i="18"/>
  <c r="E94" i="18"/>
  <c r="E96" i="18"/>
  <c r="E95" i="17"/>
  <c r="H96" i="17"/>
  <c r="H96" i="13" s="1"/>
  <c r="J94" i="17"/>
  <c r="H95" i="12"/>
  <c r="H100" i="12"/>
  <c r="H99" i="12"/>
  <c r="G96" i="17"/>
  <c r="I95" i="6"/>
  <c r="I99" i="6"/>
  <c r="I100" i="6"/>
  <c r="I94" i="17"/>
  <c r="I96" i="17"/>
  <c r="I93" i="17"/>
  <c r="I95" i="17"/>
  <c r="B93" i="18"/>
  <c r="B93" i="6" s="1"/>
  <c r="B94" i="18"/>
  <c r="B94" i="6" s="1"/>
  <c r="B96" i="18"/>
  <c r="B96" i="6" s="1"/>
  <c r="B95" i="18"/>
  <c r="B95" i="6" s="1"/>
  <c r="E96" i="17"/>
  <c r="J93" i="17"/>
  <c r="G94" i="17"/>
  <c r="B96" i="16"/>
  <c r="B96" i="12" s="1"/>
  <c r="B95" i="16"/>
  <c r="B95" i="12" s="1"/>
  <c r="B93" i="16"/>
  <c r="B93" i="12" s="1"/>
  <c r="B94" i="16"/>
  <c r="B94" i="12" s="1"/>
  <c r="B93" i="17"/>
  <c r="B93" i="13" s="1"/>
  <c r="B95" i="17"/>
  <c r="B95" i="13" s="1"/>
  <c r="B96" i="17"/>
  <c r="B96" i="13" s="1"/>
  <c r="B94" i="17"/>
  <c r="B94" i="13" s="1"/>
  <c r="K96" i="18"/>
  <c r="K94" i="18"/>
  <c r="K95" i="18"/>
  <c r="K93" i="18"/>
  <c r="D95" i="16"/>
  <c r="D93" i="16"/>
  <c r="D94" i="16"/>
  <c r="D96" i="16"/>
  <c r="C94" i="16"/>
  <c r="C96" i="16"/>
  <c r="C93" i="16"/>
  <c r="C95" i="16"/>
  <c r="C94" i="17"/>
  <c r="C96" i="17"/>
  <c r="C95" i="17"/>
  <c r="C93" i="17"/>
  <c r="H95" i="18"/>
  <c r="H93" i="18"/>
  <c r="H96" i="18"/>
  <c r="H94" i="18"/>
  <c r="E95" i="16"/>
  <c r="E93" i="16"/>
  <c r="E94" i="16"/>
  <c r="E96" i="16"/>
  <c r="D93" i="17"/>
  <c r="D96" i="17"/>
  <c r="D94" i="17"/>
  <c r="D95" i="17"/>
  <c r="H93" i="12"/>
  <c r="I93" i="6"/>
  <c r="D94" i="6" l="1"/>
  <c r="D99" i="6"/>
  <c r="D100" i="6"/>
  <c r="D93" i="6"/>
  <c r="D96" i="6"/>
  <c r="D95" i="6"/>
  <c r="I97" i="6"/>
  <c r="I92" i="6" s="1"/>
  <c r="E96" i="13"/>
  <c r="G96" i="13"/>
  <c r="F96" i="6"/>
  <c r="E96" i="6"/>
  <c r="K96" i="13"/>
  <c r="G94" i="13"/>
  <c r="C93" i="6"/>
  <c r="F96" i="13"/>
  <c r="K96" i="6"/>
  <c r="H94" i="13"/>
  <c r="H97" i="12"/>
  <c r="J94" i="6"/>
  <c r="G96" i="6"/>
  <c r="J96" i="6"/>
  <c r="C94" i="6"/>
  <c r="C94" i="13"/>
  <c r="J94" i="13"/>
  <c r="E94" i="6"/>
  <c r="F94" i="13"/>
  <c r="I96" i="12"/>
  <c r="J93" i="13"/>
  <c r="F93" i="6"/>
  <c r="E96" i="12"/>
  <c r="H94" i="6"/>
  <c r="C93" i="13"/>
  <c r="D96" i="12"/>
  <c r="K93" i="6"/>
  <c r="G93" i="13"/>
  <c r="K93" i="13"/>
  <c r="K96" i="12"/>
  <c r="D96" i="13"/>
  <c r="E93" i="12"/>
  <c r="H93" i="6"/>
  <c r="C96" i="13"/>
  <c r="C96" i="12"/>
  <c r="D93" i="12"/>
  <c r="K94" i="6"/>
  <c r="I96" i="13"/>
  <c r="E95" i="13"/>
  <c r="E100" i="13"/>
  <c r="E99" i="13"/>
  <c r="E93" i="6"/>
  <c r="G93" i="6"/>
  <c r="G94" i="12"/>
  <c r="F95" i="6"/>
  <c r="F99" i="6"/>
  <c r="F100" i="6"/>
  <c r="J93" i="6"/>
  <c r="J94" i="12"/>
  <c r="K94" i="13"/>
  <c r="C96" i="6"/>
  <c r="F95" i="13"/>
  <c r="F100" i="13"/>
  <c r="F99" i="13"/>
  <c r="F93" i="12"/>
  <c r="I93" i="12"/>
  <c r="K95" i="12"/>
  <c r="K100" i="12"/>
  <c r="K99" i="12"/>
  <c r="J99" i="13"/>
  <c r="D93" i="13"/>
  <c r="E95" i="12"/>
  <c r="E100" i="12"/>
  <c r="E99" i="12"/>
  <c r="H95" i="6"/>
  <c r="H99" i="6"/>
  <c r="H100" i="6"/>
  <c r="C94" i="12"/>
  <c r="D95" i="12"/>
  <c r="D100" i="12"/>
  <c r="D99" i="12"/>
  <c r="B92" i="6"/>
  <c r="I94" i="13"/>
  <c r="G94" i="6"/>
  <c r="G93" i="12"/>
  <c r="J95" i="12"/>
  <c r="J100" i="12"/>
  <c r="J99" i="12"/>
  <c r="F94" i="12"/>
  <c r="I95" i="12"/>
  <c r="I100" i="12"/>
  <c r="I99" i="12"/>
  <c r="K94" i="12"/>
  <c r="J100" i="13"/>
  <c r="H99" i="13"/>
  <c r="C95" i="12"/>
  <c r="C99" i="12"/>
  <c r="C100" i="12"/>
  <c r="I95" i="13"/>
  <c r="I100" i="13"/>
  <c r="I99" i="13"/>
  <c r="G95" i="12"/>
  <c r="G99" i="12"/>
  <c r="G100" i="12"/>
  <c r="J93" i="12"/>
  <c r="H93" i="13"/>
  <c r="F95" i="12"/>
  <c r="F100" i="12"/>
  <c r="F99" i="12"/>
  <c r="J97" i="13"/>
  <c r="H100" i="13"/>
  <c r="D95" i="13"/>
  <c r="D100" i="13"/>
  <c r="D99" i="13"/>
  <c r="D94" i="13"/>
  <c r="E94" i="12"/>
  <c r="H96" i="6"/>
  <c r="C95" i="13"/>
  <c r="C100" i="13"/>
  <c r="C99" i="13"/>
  <c r="C93" i="12"/>
  <c r="D94" i="12"/>
  <c r="K99" i="6"/>
  <c r="K95" i="6"/>
  <c r="K100" i="6"/>
  <c r="I93" i="13"/>
  <c r="E95" i="6"/>
  <c r="E100" i="6"/>
  <c r="E99" i="6"/>
  <c r="G95" i="6"/>
  <c r="G100" i="6"/>
  <c r="G99" i="6"/>
  <c r="G96" i="12"/>
  <c r="F94" i="6"/>
  <c r="J95" i="6"/>
  <c r="J100" i="6"/>
  <c r="J99" i="6"/>
  <c r="J96" i="12"/>
  <c r="G95" i="13"/>
  <c r="G100" i="13"/>
  <c r="G99" i="13"/>
  <c r="E93" i="13"/>
  <c r="K95" i="13"/>
  <c r="K100" i="13"/>
  <c r="K99" i="13"/>
  <c r="C95" i="6"/>
  <c r="C100" i="6"/>
  <c r="C99" i="6"/>
  <c r="F93" i="13"/>
  <c r="F96" i="12"/>
  <c r="I94" i="12"/>
  <c r="K93" i="12"/>
  <c r="E94" i="13"/>
  <c r="H97" i="13"/>
  <c r="C97" i="13" l="1"/>
  <c r="G97" i="13"/>
  <c r="D97" i="6"/>
  <c r="D92" i="6" s="1"/>
  <c r="E97" i="13"/>
  <c r="K97" i="13"/>
  <c r="G97" i="6"/>
  <c r="G92" i="6" s="1"/>
  <c r="F97" i="6"/>
  <c r="F92" i="6" s="1"/>
  <c r="F97" i="13"/>
  <c r="J97" i="6"/>
  <c r="J92" i="6" s="1"/>
  <c r="E97" i="6"/>
  <c r="E92" i="6" s="1"/>
  <c r="I97" i="13"/>
  <c r="K97" i="6"/>
  <c r="K92" i="6" s="1"/>
  <c r="D97" i="12"/>
  <c r="K97" i="12"/>
  <c r="E97" i="12"/>
  <c r="C97" i="6"/>
  <c r="C92" i="6" s="1"/>
  <c r="I97" i="12"/>
  <c r="D97" i="13"/>
  <c r="C97" i="12"/>
  <c r="G97" i="12"/>
  <c r="F97" i="12"/>
  <c r="J97" i="12"/>
  <c r="H97" i="6"/>
  <c r="H92" i="6" s="1"/>
  <c r="B32" i="15" l="1"/>
  <c r="B30" i="15"/>
  <c r="B34" i="15"/>
  <c r="C34" i="15" l="1"/>
  <c r="B24" i="17"/>
  <c r="C30" i="15"/>
  <c r="B24" i="18"/>
  <c r="C32" i="15"/>
  <c r="B24" i="16"/>
  <c r="B31" i="15" l="1"/>
  <c r="B24" i="6"/>
  <c r="B167" i="6" s="1"/>
  <c r="D30" i="15"/>
  <c r="C24" i="18"/>
  <c r="B24" i="13"/>
  <c r="B167" i="13" s="1"/>
  <c r="B175" i="13" s="1"/>
  <c r="B35" i="15"/>
  <c r="B33" i="15"/>
  <c r="B24" i="12"/>
  <c r="B167" i="12" s="1"/>
  <c r="B175" i="12" s="1"/>
  <c r="D32" i="15"/>
  <c r="C24" i="16"/>
  <c r="C24" i="17"/>
  <c r="D34" i="15"/>
  <c r="C31" i="15" l="1"/>
  <c r="C24" i="6"/>
  <c r="C167" i="6" s="1"/>
  <c r="D24" i="16"/>
  <c r="E32" i="15"/>
  <c r="E34" i="15"/>
  <c r="D24" i="17"/>
  <c r="C35" i="15"/>
  <c r="C24" i="13"/>
  <c r="C167" i="13" s="1"/>
  <c r="C175" i="13" s="1"/>
  <c r="D24" i="18"/>
  <c r="E30" i="15"/>
  <c r="C24" i="12"/>
  <c r="C167" i="12" s="1"/>
  <c r="C175" i="12" s="1"/>
  <c r="C33" i="15"/>
  <c r="F32" i="15" l="1"/>
  <c r="E24" i="16"/>
  <c r="D24" i="12"/>
  <c r="D167" i="12" s="1"/>
  <c r="D175" i="12" s="1"/>
  <c r="D33" i="15"/>
  <c r="E24" i="18"/>
  <c r="F30" i="15"/>
  <c r="D35" i="15"/>
  <c r="D24" i="13"/>
  <c r="D167" i="13" s="1"/>
  <c r="D175" i="13" s="1"/>
  <c r="D24" i="6"/>
  <c r="D167" i="6" s="1"/>
  <c r="D31" i="15"/>
  <c r="E24" i="17"/>
  <c r="F34" i="15"/>
  <c r="F24" i="17" l="1"/>
  <c r="G34" i="15"/>
  <c r="G30" i="15"/>
  <c r="F24" i="18"/>
  <c r="E24" i="12"/>
  <c r="E167" i="12" s="1"/>
  <c r="E175" i="12" s="1"/>
  <c r="E33" i="15"/>
  <c r="E24" i="13"/>
  <c r="E167" i="13" s="1"/>
  <c r="E175" i="13" s="1"/>
  <c r="E35" i="15"/>
  <c r="E31" i="15"/>
  <c r="E24" i="6"/>
  <c r="E167" i="6" s="1"/>
  <c r="F24" i="16"/>
  <c r="G32" i="15"/>
  <c r="H32" i="15" l="1"/>
  <c r="G24" i="16"/>
  <c r="F24" i="6"/>
  <c r="F167" i="6" s="1"/>
  <c r="F31" i="15"/>
  <c r="G24" i="18"/>
  <c r="H30" i="15"/>
  <c r="F33" i="15"/>
  <c r="F24" i="12"/>
  <c r="F167" i="12" s="1"/>
  <c r="F175" i="12" s="1"/>
  <c r="H34" i="15"/>
  <c r="G24" i="17"/>
  <c r="F24" i="13"/>
  <c r="F167" i="13" s="1"/>
  <c r="F175" i="13" s="1"/>
  <c r="F35" i="15"/>
  <c r="G24" i="13" l="1"/>
  <c r="G167" i="13" s="1"/>
  <c r="G175" i="13" s="1"/>
  <c r="G35" i="15"/>
  <c r="H24" i="18"/>
  <c r="I30" i="15"/>
  <c r="G33" i="15"/>
  <c r="G24" i="12"/>
  <c r="G167" i="12" s="1"/>
  <c r="G175" i="12" s="1"/>
  <c r="H24" i="17"/>
  <c r="I34" i="15"/>
  <c r="G31" i="15"/>
  <c r="G24" i="6"/>
  <c r="G167" i="6" s="1"/>
  <c r="H24" i="16"/>
  <c r="I32" i="15"/>
  <c r="J32" i="15" l="1"/>
  <c r="I24" i="16"/>
  <c r="I24" i="17"/>
  <c r="J34" i="15"/>
  <c r="J30" i="15"/>
  <c r="I24" i="18"/>
  <c r="H33" i="15"/>
  <c r="H24" i="12"/>
  <c r="H167" i="12" s="1"/>
  <c r="H175" i="12" s="1"/>
  <c r="H24" i="13"/>
  <c r="H167" i="13" s="1"/>
  <c r="H175" i="13" s="1"/>
  <c r="H35" i="15"/>
  <c r="H24" i="6"/>
  <c r="H167" i="6" s="1"/>
  <c r="H31" i="15"/>
  <c r="F19" i="15"/>
  <c r="F23" i="18" s="1"/>
  <c r="F9" i="15"/>
  <c r="F22" i="16" s="1"/>
  <c r="E19" i="15"/>
  <c r="E23" i="18" s="1"/>
  <c r="C9" i="15"/>
  <c r="C22" i="16" s="1"/>
  <c r="E21" i="15"/>
  <c r="E23" i="16" s="1"/>
  <c r="G19" i="15"/>
  <c r="G23" i="18" s="1"/>
  <c r="F21" i="15"/>
  <c r="F23" i="16" s="1"/>
  <c r="D19" i="15"/>
  <c r="D23" i="18" s="1"/>
  <c r="E9" i="15"/>
  <c r="E22" i="16" s="1"/>
  <c r="G21" i="15"/>
  <c r="G23" i="16" s="1"/>
  <c r="D21" i="15"/>
  <c r="D23" i="16" s="1"/>
  <c r="G9" i="15"/>
  <c r="G22" i="16" s="1"/>
  <c r="C21" i="15"/>
  <c r="C23" i="16" s="1"/>
  <c r="D9" i="15"/>
  <c r="D22" i="16" s="1"/>
  <c r="C19" i="15"/>
  <c r="C23" i="18" s="1"/>
  <c r="G10" i="15" l="1"/>
  <c r="D20" i="15"/>
  <c r="C10" i="15"/>
  <c r="K34" i="15"/>
  <c r="K24" i="17" s="1"/>
  <c r="J24" i="17"/>
  <c r="C20" i="15"/>
  <c r="D22" i="15"/>
  <c r="F22" i="15"/>
  <c r="E20" i="15"/>
  <c r="I35" i="15"/>
  <c r="I24" i="13"/>
  <c r="I167" i="13" s="1"/>
  <c r="I175" i="13" s="1"/>
  <c r="D10" i="15"/>
  <c r="G22" i="15"/>
  <c r="G20" i="15"/>
  <c r="F10" i="15"/>
  <c r="I24" i="6"/>
  <c r="I167" i="6" s="1"/>
  <c r="I31" i="15"/>
  <c r="I24" i="12"/>
  <c r="I167" i="12" s="1"/>
  <c r="I175" i="12" s="1"/>
  <c r="I33" i="15"/>
  <c r="C22" i="15"/>
  <c r="E10" i="15"/>
  <c r="E22" i="15"/>
  <c r="F20" i="15"/>
  <c r="K30" i="15"/>
  <c r="K24" i="18" s="1"/>
  <c r="J24" i="18"/>
  <c r="J24" i="16"/>
  <c r="K32" i="15"/>
  <c r="K24" i="16" s="1"/>
  <c r="H19" i="15"/>
  <c r="H23" i="18" s="1"/>
  <c r="I9" i="15"/>
  <c r="I22" i="16" s="1"/>
  <c r="I10" i="15" s="1"/>
  <c r="K19" i="15"/>
  <c r="K23" i="18" s="1"/>
  <c r="I21" i="15"/>
  <c r="I23" i="16" s="1"/>
  <c r="I19" i="15"/>
  <c r="I23" i="18" s="1"/>
  <c r="B7" i="15"/>
  <c r="B22" i="18" s="1"/>
  <c r="K9" i="15"/>
  <c r="K22" i="16" s="1"/>
  <c r="K10" i="15" s="1"/>
  <c r="H9" i="15"/>
  <c r="H22" i="16" s="1"/>
  <c r="B19" i="15"/>
  <c r="B23" i="18" s="1"/>
  <c r="B173" i="18"/>
  <c r="J9" i="15"/>
  <c r="J22" i="16" s="1"/>
  <c r="J10" i="15" s="1"/>
  <c r="J21" i="15"/>
  <c r="J23" i="16" s="1"/>
  <c r="H21" i="15"/>
  <c r="H23" i="16" s="1"/>
  <c r="J19" i="15"/>
  <c r="J23" i="18" s="1"/>
  <c r="B21" i="15"/>
  <c r="B23" i="16" s="1"/>
  <c r="B9" i="15"/>
  <c r="B22" i="16" s="1"/>
  <c r="K21" i="15"/>
  <c r="K23" i="16" s="1"/>
  <c r="B22" i="12" l="1"/>
  <c r="B165" i="12" s="1"/>
  <c r="B173" i="12" s="1"/>
  <c r="B10" i="15"/>
  <c r="B23" i="12"/>
  <c r="B22" i="15"/>
  <c r="J22" i="15"/>
  <c r="H10" i="15"/>
  <c r="I20" i="15"/>
  <c r="H20" i="15"/>
  <c r="J31" i="15"/>
  <c r="J24" i="6"/>
  <c r="J167" i="6" s="1"/>
  <c r="J35" i="15"/>
  <c r="J24" i="13"/>
  <c r="J167" i="13" s="1"/>
  <c r="J175" i="13" s="1"/>
  <c r="K22" i="15"/>
  <c r="I22" i="15"/>
  <c r="K31" i="15"/>
  <c r="K24" i="6"/>
  <c r="K167" i="6" s="1"/>
  <c r="K24" i="13"/>
  <c r="K167" i="13" s="1"/>
  <c r="K175" i="13" s="1"/>
  <c r="K35" i="15"/>
  <c r="J20" i="15"/>
  <c r="B8" i="15"/>
  <c r="B22" i="6"/>
  <c r="B165" i="6" s="1"/>
  <c r="K20" i="15"/>
  <c r="K33" i="15"/>
  <c r="K24" i="12"/>
  <c r="K167" i="12" s="1"/>
  <c r="K175" i="12" s="1"/>
  <c r="H22" i="15"/>
  <c r="B20" i="15"/>
  <c r="B23" i="6"/>
  <c r="J33" i="15"/>
  <c r="J24" i="12"/>
  <c r="J167" i="12" s="1"/>
  <c r="J175" i="12" s="1"/>
  <c r="J173" i="16"/>
  <c r="B170" i="18"/>
  <c r="K173" i="16"/>
  <c r="J173" i="18"/>
  <c r="B173" i="16"/>
  <c r="H173" i="16"/>
  <c r="I173" i="18"/>
  <c r="J170" i="16"/>
  <c r="I173" i="16"/>
  <c r="K173" i="18"/>
  <c r="H173" i="18"/>
  <c r="F170" i="16"/>
  <c r="E170" i="16"/>
  <c r="C170" i="16"/>
  <c r="G170" i="16"/>
  <c r="D170" i="16"/>
  <c r="K170" i="16"/>
  <c r="I170" i="16"/>
  <c r="B170" i="16"/>
  <c r="E173" i="16"/>
  <c r="D173" i="16"/>
  <c r="C173" i="16"/>
  <c r="G173" i="16"/>
  <c r="F173" i="16"/>
  <c r="G173" i="18"/>
  <c r="D173" i="18"/>
  <c r="F173" i="18"/>
  <c r="E173" i="18"/>
  <c r="C173" i="18"/>
  <c r="H170" i="16"/>
  <c r="B166" i="6" l="1"/>
  <c r="B166" i="12"/>
  <c r="C17" i="16"/>
  <c r="C19" i="16"/>
  <c r="C16" i="16"/>
  <c r="C18" i="16"/>
  <c r="E17" i="16"/>
  <c r="E19" i="16"/>
  <c r="E18" i="16"/>
  <c r="E16" i="16"/>
  <c r="D17" i="16"/>
  <c r="D18" i="16"/>
  <c r="D16" i="16"/>
  <c r="D19" i="16"/>
  <c r="F16" i="16"/>
  <c r="F17" i="16"/>
  <c r="F19" i="16"/>
  <c r="F18" i="16"/>
  <c r="J17" i="16"/>
  <c r="J19" i="16"/>
  <c r="J16" i="16"/>
  <c r="J18" i="16"/>
  <c r="H19" i="16"/>
  <c r="H18" i="16"/>
  <c r="H16" i="16"/>
  <c r="H17" i="16"/>
  <c r="I18" i="16"/>
  <c r="I19" i="16"/>
  <c r="I17" i="16"/>
  <c r="I16" i="16"/>
  <c r="B18" i="18"/>
  <c r="B18" i="6" s="1"/>
  <c r="B161" i="6" s="1"/>
  <c r="B19" i="18"/>
  <c r="B19" i="6" s="1"/>
  <c r="B162" i="6" s="1"/>
  <c r="B17" i="18"/>
  <c r="B17" i="6" s="1"/>
  <c r="B160" i="6" s="1"/>
  <c r="B16" i="18"/>
  <c r="B16" i="6" s="1"/>
  <c r="K18" i="16"/>
  <c r="K19" i="16"/>
  <c r="K16" i="16"/>
  <c r="K17" i="16"/>
  <c r="B18" i="16"/>
  <c r="B18" i="12" s="1"/>
  <c r="B19" i="16"/>
  <c r="B19" i="12" s="1"/>
  <c r="B17" i="16"/>
  <c r="B17" i="12" s="1"/>
  <c r="B160" i="12" s="1"/>
  <c r="B172" i="12" s="1"/>
  <c r="B16" i="16"/>
  <c r="B16" i="12" s="1"/>
  <c r="B159" i="12" s="1"/>
  <c r="G18" i="16"/>
  <c r="G19" i="16"/>
  <c r="G17" i="16"/>
  <c r="G16" i="16"/>
  <c r="E19" i="12" l="1"/>
  <c r="B174" i="12"/>
  <c r="G19" i="12"/>
  <c r="K19" i="12"/>
  <c r="I19" i="12"/>
  <c r="J19" i="12"/>
  <c r="F17" i="12"/>
  <c r="F160" i="12" s="1"/>
  <c r="C19" i="12"/>
  <c r="G16" i="12"/>
  <c r="G159" i="12" s="1"/>
  <c r="G10" i="19" s="1"/>
  <c r="B171" i="12"/>
  <c r="K17" i="12"/>
  <c r="K160" i="12" s="1"/>
  <c r="B15" i="6"/>
  <c r="B159" i="6"/>
  <c r="B158" i="6" s="1"/>
  <c r="I16" i="12"/>
  <c r="I159" i="12" s="1"/>
  <c r="I10" i="19" s="1"/>
  <c r="H17" i="12"/>
  <c r="H160" i="12" s="1"/>
  <c r="J18" i="12"/>
  <c r="J23" i="12"/>
  <c r="J22" i="12"/>
  <c r="J165" i="12" s="1"/>
  <c r="J173" i="12" s="1"/>
  <c r="F18" i="12"/>
  <c r="F23" i="12"/>
  <c r="F22" i="12"/>
  <c r="F165" i="12" s="1"/>
  <c r="F173" i="12" s="1"/>
  <c r="D19" i="12"/>
  <c r="E16" i="12"/>
  <c r="E159" i="12" s="1"/>
  <c r="E10" i="19" s="1"/>
  <c r="C18" i="12"/>
  <c r="C22" i="12"/>
  <c r="C165" i="12" s="1"/>
  <c r="C173" i="12" s="1"/>
  <c r="C23" i="12"/>
  <c r="B162" i="12"/>
  <c r="B177" i="12"/>
  <c r="G17" i="12"/>
  <c r="G160" i="12" s="1"/>
  <c r="K16" i="12"/>
  <c r="K159" i="12" s="1"/>
  <c r="K10" i="19" s="1"/>
  <c r="I17" i="12"/>
  <c r="I160" i="12" s="1"/>
  <c r="H16" i="12"/>
  <c r="H159" i="12" s="1"/>
  <c r="H10" i="19" s="1"/>
  <c r="J16" i="12"/>
  <c r="J159" i="12" s="1"/>
  <c r="J10" i="19" s="1"/>
  <c r="F19" i="12"/>
  <c r="D16" i="12"/>
  <c r="D159" i="12" s="1"/>
  <c r="D10" i="19" s="1"/>
  <c r="E18" i="12"/>
  <c r="E22" i="12"/>
  <c r="E165" i="12" s="1"/>
  <c r="E173" i="12" s="1"/>
  <c r="E23" i="12"/>
  <c r="C16" i="12"/>
  <c r="C159" i="12" s="1"/>
  <c r="C10" i="19" s="1"/>
  <c r="H18" i="12"/>
  <c r="H22" i="12"/>
  <c r="H165" i="12" s="1"/>
  <c r="H173" i="12" s="1"/>
  <c r="H23" i="12"/>
  <c r="D18" i="12"/>
  <c r="D23" i="12"/>
  <c r="D22" i="12"/>
  <c r="D165" i="12" s="1"/>
  <c r="D173" i="12" s="1"/>
  <c r="G18" i="12"/>
  <c r="G22" i="12"/>
  <c r="G165" i="12" s="1"/>
  <c r="G173" i="12" s="1"/>
  <c r="G23" i="12"/>
  <c r="B176" i="12"/>
  <c r="B161" i="12"/>
  <c r="K18" i="12"/>
  <c r="K23" i="12"/>
  <c r="K22" i="12"/>
  <c r="K165" i="12" s="1"/>
  <c r="K173" i="12" s="1"/>
  <c r="I18" i="12"/>
  <c r="I23" i="12"/>
  <c r="I22" i="12"/>
  <c r="I165" i="12" s="1"/>
  <c r="I173" i="12" s="1"/>
  <c r="H19" i="12"/>
  <c r="J17" i="12"/>
  <c r="J160" i="12" s="1"/>
  <c r="F16" i="12"/>
  <c r="F159" i="12" s="1"/>
  <c r="F10" i="19" s="1"/>
  <c r="D17" i="12"/>
  <c r="D160" i="12" s="1"/>
  <c r="E17" i="12"/>
  <c r="E160" i="12" s="1"/>
  <c r="C17" i="12"/>
  <c r="C160" i="12" s="1"/>
  <c r="K11" i="15"/>
  <c r="K170" i="17"/>
  <c r="J11" i="15"/>
  <c r="J170" i="17"/>
  <c r="C11" i="15"/>
  <c r="C170" i="17"/>
  <c r="B11" i="15"/>
  <c r="B22" i="17" s="1"/>
  <c r="B170" i="17"/>
  <c r="F23" i="15"/>
  <c r="F23" i="17" s="1"/>
  <c r="F173" i="17"/>
  <c r="B23" i="15"/>
  <c r="B23" i="17" s="1"/>
  <c r="B173" i="17"/>
  <c r="G23" i="15"/>
  <c r="G23" i="17" s="1"/>
  <c r="G173" i="17"/>
  <c r="I23" i="15"/>
  <c r="I23" i="17" s="1"/>
  <c r="I173" i="17"/>
  <c r="H11" i="15"/>
  <c r="H170" i="17"/>
  <c r="C23" i="15"/>
  <c r="C23" i="17" s="1"/>
  <c r="C173" i="17"/>
  <c r="E23" i="15"/>
  <c r="E23" i="17" s="1"/>
  <c r="E173" i="17"/>
  <c r="I11" i="15"/>
  <c r="I170" i="17"/>
  <c r="F11" i="15"/>
  <c r="F170" i="17"/>
  <c r="D11" i="15"/>
  <c r="D170" i="17"/>
  <c r="E11" i="15"/>
  <c r="E170" i="17"/>
  <c r="G11" i="15"/>
  <c r="G170" i="17"/>
  <c r="K23" i="15"/>
  <c r="K23" i="17" s="1"/>
  <c r="K173" i="17"/>
  <c r="J23" i="15"/>
  <c r="J23" i="17" s="1"/>
  <c r="J173" i="17"/>
  <c r="H23" i="15"/>
  <c r="H23" i="17" s="1"/>
  <c r="H173" i="17"/>
  <c r="D23" i="15"/>
  <c r="D23" i="17" s="1"/>
  <c r="D173" i="17"/>
  <c r="I177" i="12" l="1"/>
  <c r="K162" i="12"/>
  <c r="B22" i="13"/>
  <c r="B165" i="13" s="1"/>
  <c r="B173" i="13" s="1"/>
  <c r="B12" i="15"/>
  <c r="C172" i="12"/>
  <c r="C19" i="19"/>
  <c r="J172" i="12"/>
  <c r="J19" i="19"/>
  <c r="E172" i="12"/>
  <c r="E19" i="19"/>
  <c r="I172" i="12"/>
  <c r="I19" i="19"/>
  <c r="H172" i="12"/>
  <c r="H19" i="19"/>
  <c r="K172" i="12"/>
  <c r="K19" i="19"/>
  <c r="F172" i="12"/>
  <c r="F19" i="19"/>
  <c r="D172" i="12"/>
  <c r="D19" i="19"/>
  <c r="G172" i="12"/>
  <c r="G19" i="19"/>
  <c r="E177" i="12"/>
  <c r="E162" i="12"/>
  <c r="C162" i="12"/>
  <c r="G177" i="12"/>
  <c r="I162" i="12"/>
  <c r="G162" i="12"/>
  <c r="C177" i="12"/>
  <c r="K177" i="12"/>
  <c r="H166" i="12"/>
  <c r="J177" i="12"/>
  <c r="J166" i="12"/>
  <c r="G166" i="12"/>
  <c r="C166" i="12"/>
  <c r="I166" i="12"/>
  <c r="D166" i="12"/>
  <c r="F166" i="12"/>
  <c r="K166" i="12"/>
  <c r="E166" i="12"/>
  <c r="J162" i="12"/>
  <c r="B158" i="12"/>
  <c r="D24" i="15"/>
  <c r="B23" i="13"/>
  <c r="B166" i="13" s="1"/>
  <c r="B174" i="13" s="1"/>
  <c r="B24" i="15"/>
  <c r="H24" i="15"/>
  <c r="K24" i="15"/>
  <c r="E22" i="17"/>
  <c r="E12" i="15" s="1"/>
  <c r="F22" i="17"/>
  <c r="F12" i="15" s="1"/>
  <c r="E24" i="15"/>
  <c r="H22" i="17"/>
  <c r="H12" i="15" s="1"/>
  <c r="G24" i="15"/>
  <c r="F24" i="15"/>
  <c r="C22" i="17"/>
  <c r="C12" i="15" s="1"/>
  <c r="K22" i="17"/>
  <c r="K12" i="15" s="1"/>
  <c r="F171" i="12"/>
  <c r="K20" i="12"/>
  <c r="K161" i="12"/>
  <c r="K176" i="12"/>
  <c r="C171" i="12"/>
  <c r="D171" i="12"/>
  <c r="E171" i="12"/>
  <c r="F176" i="12"/>
  <c r="F20" i="12"/>
  <c r="F161" i="12"/>
  <c r="G22" i="17"/>
  <c r="G12" i="15" s="1"/>
  <c r="D22" i="17"/>
  <c r="D12" i="15" s="1"/>
  <c r="I22" i="17"/>
  <c r="I12" i="15" s="1"/>
  <c r="G16" i="17"/>
  <c r="G17" i="17"/>
  <c r="G19" i="17"/>
  <c r="G18" i="17"/>
  <c r="G18" i="13" s="1"/>
  <c r="D16" i="17"/>
  <c r="D17" i="17"/>
  <c r="D18" i="17"/>
  <c r="D18" i="13" s="1"/>
  <c r="D19" i="17"/>
  <c r="I18" i="17"/>
  <c r="I18" i="13" s="1"/>
  <c r="I16" i="17"/>
  <c r="I17" i="17"/>
  <c r="I19" i="17"/>
  <c r="B19" i="17"/>
  <c r="B19" i="13" s="1"/>
  <c r="B17" i="17"/>
  <c r="B17" i="13" s="1"/>
  <c r="B160" i="13" s="1"/>
  <c r="B172" i="13" s="1"/>
  <c r="B18" i="17"/>
  <c r="B18" i="13" s="1"/>
  <c r="B16" i="17"/>
  <c r="B16" i="13" s="1"/>
  <c r="B159" i="13" s="1"/>
  <c r="J16" i="17"/>
  <c r="J18" i="17"/>
  <c r="J18" i="13" s="1"/>
  <c r="J19" i="17"/>
  <c r="J17" i="17"/>
  <c r="I161" i="12"/>
  <c r="I176" i="12"/>
  <c r="I20" i="12"/>
  <c r="G176" i="12"/>
  <c r="G20" i="12"/>
  <c r="G161" i="12"/>
  <c r="F162" i="12"/>
  <c r="F177" i="12"/>
  <c r="K171" i="12"/>
  <c r="D162" i="12"/>
  <c r="D177" i="12"/>
  <c r="I171" i="12"/>
  <c r="I24" i="15"/>
  <c r="J22" i="17"/>
  <c r="J12" i="15" s="1"/>
  <c r="H177" i="12"/>
  <c r="H162" i="12"/>
  <c r="D161" i="12"/>
  <c r="D20" i="12"/>
  <c r="D176" i="12"/>
  <c r="J171" i="12"/>
  <c r="B170" i="12"/>
  <c r="J24" i="15"/>
  <c r="C24" i="15"/>
  <c r="E19" i="17"/>
  <c r="E18" i="17"/>
  <c r="E18" i="13" s="1"/>
  <c r="E17" i="17"/>
  <c r="E16" i="17"/>
  <c r="F16" i="17"/>
  <c r="F19" i="17"/>
  <c r="F18" i="17"/>
  <c r="F18" i="13" s="1"/>
  <c r="F17" i="17"/>
  <c r="H18" i="17"/>
  <c r="H18" i="13" s="1"/>
  <c r="H17" i="17"/>
  <c r="H19" i="17"/>
  <c r="H16" i="17"/>
  <c r="C17" i="17"/>
  <c r="C16" i="17"/>
  <c r="C19" i="17"/>
  <c r="C18" i="17"/>
  <c r="C18" i="13" s="1"/>
  <c r="K18" i="17"/>
  <c r="K18" i="13" s="1"/>
  <c r="K17" i="17"/>
  <c r="K16" i="17"/>
  <c r="K19" i="17"/>
  <c r="H161" i="12"/>
  <c r="H176" i="12"/>
  <c r="H20" i="12"/>
  <c r="E176" i="12"/>
  <c r="E20" i="12"/>
  <c r="E161" i="12"/>
  <c r="H171" i="12"/>
  <c r="C20" i="12"/>
  <c r="C176" i="12"/>
  <c r="C161" i="12"/>
  <c r="J161" i="12"/>
  <c r="J176" i="12"/>
  <c r="J20" i="12"/>
  <c r="G171" i="12"/>
  <c r="K174" i="12" l="1"/>
  <c r="K170" i="12" s="1"/>
  <c r="G174" i="12"/>
  <c r="G170" i="12" s="1"/>
  <c r="C163" i="12"/>
  <c r="F174" i="12"/>
  <c r="F170" i="12" s="1"/>
  <c r="J163" i="12"/>
  <c r="H163" i="12"/>
  <c r="D163" i="12"/>
  <c r="I163" i="12"/>
  <c r="E174" i="12"/>
  <c r="E170" i="12" s="1"/>
  <c r="D174" i="12"/>
  <c r="D170" i="12" s="1"/>
  <c r="I174" i="12"/>
  <c r="I170" i="12" s="1"/>
  <c r="C174" i="12"/>
  <c r="C170" i="12" s="1"/>
  <c r="J174" i="12"/>
  <c r="J170" i="12" s="1"/>
  <c r="E163" i="12"/>
  <c r="G163" i="12"/>
  <c r="F163" i="12"/>
  <c r="H174" i="12"/>
  <c r="H170" i="12" s="1"/>
  <c r="K163" i="12"/>
  <c r="I19" i="13"/>
  <c r="I20" i="13" s="1"/>
  <c r="I163" i="13" s="1"/>
  <c r="D19" i="13"/>
  <c r="D177" i="13" s="1"/>
  <c r="J23" i="13"/>
  <c r="J166" i="13" s="1"/>
  <c r="J174" i="13" s="1"/>
  <c r="I23" i="13"/>
  <c r="I166" i="13" s="1"/>
  <c r="I174" i="13" s="1"/>
  <c r="K17" i="13"/>
  <c r="K160" i="13" s="1"/>
  <c r="C16" i="13"/>
  <c r="C159" i="13" s="1"/>
  <c r="H17" i="13"/>
  <c r="H160" i="13" s="1"/>
  <c r="F19" i="13"/>
  <c r="F162" i="13" s="1"/>
  <c r="J22" i="13"/>
  <c r="J165" i="13" s="1"/>
  <c r="J173" i="13" s="1"/>
  <c r="C17" i="13"/>
  <c r="C160" i="13" s="1"/>
  <c r="J17" i="13"/>
  <c r="J160" i="13" s="1"/>
  <c r="J19" i="13"/>
  <c r="J20" i="13" s="1"/>
  <c r="J163" i="13" s="1"/>
  <c r="E176" i="13"/>
  <c r="E161" i="13"/>
  <c r="B171" i="13"/>
  <c r="G161" i="13"/>
  <c r="G176" i="13"/>
  <c r="K22" i="13"/>
  <c r="K165" i="13" s="1"/>
  <c r="K173" i="13" s="1"/>
  <c r="F23" i="13"/>
  <c r="F166" i="13" s="1"/>
  <c r="F174" i="13" s="1"/>
  <c r="H22" i="13"/>
  <c r="H165" i="13" s="1"/>
  <c r="H173" i="13" s="1"/>
  <c r="F22" i="13"/>
  <c r="F165" i="13" s="1"/>
  <c r="F173" i="13" s="1"/>
  <c r="K23" i="13"/>
  <c r="K166" i="13" s="1"/>
  <c r="K174" i="13" s="1"/>
  <c r="H176" i="13"/>
  <c r="H161" i="13"/>
  <c r="F16" i="13"/>
  <c r="F159" i="13" s="1"/>
  <c r="F12" i="19" s="1"/>
  <c r="E19" i="13"/>
  <c r="B161" i="13"/>
  <c r="B176" i="13"/>
  <c r="I17" i="13"/>
  <c r="I160" i="13" s="1"/>
  <c r="D161" i="13"/>
  <c r="D176" i="13"/>
  <c r="G19" i="13"/>
  <c r="I22" i="13"/>
  <c r="I165" i="13" s="1"/>
  <c r="I173" i="13" s="1"/>
  <c r="G22" i="13"/>
  <c r="G165" i="13" s="1"/>
  <c r="G173" i="13" s="1"/>
  <c r="K19" i="13"/>
  <c r="K20" i="13" s="1"/>
  <c r="K163" i="13" s="1"/>
  <c r="C176" i="13"/>
  <c r="C161" i="13"/>
  <c r="H16" i="13"/>
  <c r="H159" i="13" s="1"/>
  <c r="H12" i="19" s="1"/>
  <c r="F17" i="13"/>
  <c r="F160" i="13" s="1"/>
  <c r="E16" i="13"/>
  <c r="E159" i="13" s="1"/>
  <c r="E12" i="19" s="1"/>
  <c r="C23" i="13"/>
  <c r="C166" i="13" s="1"/>
  <c r="C174" i="13" s="1"/>
  <c r="J161" i="13"/>
  <c r="J176" i="13"/>
  <c r="I16" i="13"/>
  <c r="I159" i="13" s="1"/>
  <c r="I12" i="19" s="1"/>
  <c r="D17" i="13"/>
  <c r="D160" i="13" s="1"/>
  <c r="G17" i="13"/>
  <c r="G160" i="13" s="1"/>
  <c r="D22" i="13"/>
  <c r="D165" i="13" s="1"/>
  <c r="D173" i="13" s="1"/>
  <c r="G23" i="13"/>
  <c r="G166" i="13" s="1"/>
  <c r="G174" i="13" s="1"/>
  <c r="E23" i="13"/>
  <c r="E166" i="13" s="1"/>
  <c r="E174" i="13" s="1"/>
  <c r="E22" i="13"/>
  <c r="E165" i="13" s="1"/>
  <c r="E173" i="13" s="1"/>
  <c r="H23" i="13"/>
  <c r="H166" i="13" s="1"/>
  <c r="H174" i="13" s="1"/>
  <c r="D23" i="13"/>
  <c r="D166" i="13" s="1"/>
  <c r="D174" i="13" s="1"/>
  <c r="K161" i="13"/>
  <c r="K176" i="13"/>
  <c r="K16" i="13"/>
  <c r="K159" i="13" s="1"/>
  <c r="K12" i="19" s="1"/>
  <c r="C19" i="13"/>
  <c r="H19" i="13"/>
  <c r="F176" i="13"/>
  <c r="F161" i="13"/>
  <c r="E17" i="13"/>
  <c r="E160" i="13" s="1"/>
  <c r="J16" i="13"/>
  <c r="J159" i="13" s="1"/>
  <c r="J12" i="19" s="1"/>
  <c r="B162" i="13"/>
  <c r="B177" i="13"/>
  <c r="I161" i="13"/>
  <c r="I176" i="13"/>
  <c r="D16" i="13"/>
  <c r="D159" i="13" s="1"/>
  <c r="D12" i="19" s="1"/>
  <c r="G16" i="13"/>
  <c r="G159" i="13" s="1"/>
  <c r="G12" i="19" s="1"/>
  <c r="C22" i="13"/>
  <c r="C165" i="13" s="1"/>
  <c r="C173" i="13" s="1"/>
  <c r="G172" i="13" l="1"/>
  <c r="G21" i="19"/>
  <c r="C172" i="13"/>
  <c r="C21" i="19"/>
  <c r="C171" i="13"/>
  <c r="C12" i="19"/>
  <c r="D172" i="13"/>
  <c r="D21" i="19"/>
  <c r="I172" i="13"/>
  <c r="I21" i="19"/>
  <c r="K172" i="13"/>
  <c r="K21" i="19"/>
  <c r="E172" i="13"/>
  <c r="E21" i="19"/>
  <c r="F172" i="13"/>
  <c r="F21" i="19"/>
  <c r="J172" i="13"/>
  <c r="J21" i="19"/>
  <c r="H172" i="13"/>
  <c r="H21" i="19"/>
  <c r="H158" i="12"/>
  <c r="I158" i="12"/>
  <c r="F20" i="13"/>
  <c r="F163" i="13" s="1"/>
  <c r="F158" i="13" s="1"/>
  <c r="I162" i="13"/>
  <c r="I158" i="13" s="1"/>
  <c r="G158" i="12"/>
  <c r="D20" i="13"/>
  <c r="D163" i="13" s="1"/>
  <c r="D158" i="12"/>
  <c r="C158" i="12"/>
  <c r="E158" i="12"/>
  <c r="F158" i="12"/>
  <c r="J158" i="12"/>
  <c r="I177" i="13"/>
  <c r="K158" i="12"/>
  <c r="D162" i="13"/>
  <c r="F177" i="13"/>
  <c r="J162" i="13"/>
  <c r="J158" i="13" s="1"/>
  <c r="B158" i="13"/>
  <c r="J177" i="13"/>
  <c r="J171" i="13"/>
  <c r="H162" i="13"/>
  <c r="H177" i="13"/>
  <c r="H171" i="13"/>
  <c r="K177" i="13"/>
  <c r="K162" i="13"/>
  <c r="K158" i="13" s="1"/>
  <c r="F171" i="13"/>
  <c r="G171" i="13"/>
  <c r="C177" i="13"/>
  <c r="C162" i="13"/>
  <c r="I171" i="13"/>
  <c r="C20" i="13"/>
  <c r="C163" i="13" s="1"/>
  <c r="H20" i="13"/>
  <c r="H163" i="13" s="1"/>
  <c r="B170" i="13"/>
  <c r="D171" i="13"/>
  <c r="K171" i="13"/>
  <c r="E171" i="13"/>
  <c r="G20" i="13"/>
  <c r="G163" i="13" s="1"/>
  <c r="G162" i="13"/>
  <c r="G177" i="13"/>
  <c r="E162" i="13"/>
  <c r="E177" i="13"/>
  <c r="E20" i="13"/>
  <c r="E163" i="13" s="1"/>
  <c r="C170" i="13" l="1"/>
  <c r="D170" i="13"/>
  <c r="D158" i="13"/>
  <c r="K170" i="13"/>
  <c r="I170" i="13"/>
  <c r="F170" i="13"/>
  <c r="G158" i="13"/>
  <c r="C158" i="13"/>
  <c r="J170" i="13"/>
  <c r="H158" i="13"/>
  <c r="E158" i="13"/>
  <c r="G170" i="13"/>
  <c r="H170" i="13"/>
  <c r="E170" i="13"/>
  <c r="I7" i="15" l="1"/>
  <c r="I22" i="18" s="1"/>
  <c r="I170" i="18"/>
  <c r="I19" i="18" l="1"/>
  <c r="I18" i="18"/>
  <c r="I17" i="18"/>
  <c r="I16" i="18"/>
  <c r="I8" i="15"/>
  <c r="H7" i="15"/>
  <c r="H22" i="18" s="1"/>
  <c r="G170" i="18"/>
  <c r="I22" i="6" l="1"/>
  <c r="I165" i="6" s="1"/>
  <c r="I16" i="6"/>
  <c r="I159" i="6" s="1"/>
  <c r="I8" i="19" s="1"/>
  <c r="I19" i="6"/>
  <c r="I162" i="6" s="1"/>
  <c r="I17" i="6"/>
  <c r="I160" i="6" s="1"/>
  <c r="I17" i="19" s="1"/>
  <c r="H8" i="15"/>
  <c r="I18" i="6"/>
  <c r="I23" i="6"/>
  <c r="I166" i="6" s="1"/>
  <c r="G18" i="18"/>
  <c r="G17" i="18"/>
  <c r="G16" i="18"/>
  <c r="G19" i="18"/>
  <c r="G7" i="15"/>
  <c r="G22" i="18" s="1"/>
  <c r="H170" i="18"/>
  <c r="J7" i="15"/>
  <c r="J22" i="18" s="1"/>
  <c r="J170" i="18"/>
  <c r="E7" i="15"/>
  <c r="E22" i="18" s="1"/>
  <c r="E170" i="18"/>
  <c r="K7" i="15"/>
  <c r="K22" i="18" s="1"/>
  <c r="K170" i="18"/>
  <c r="G19" i="6" l="1"/>
  <c r="G162" i="6" s="1"/>
  <c r="E8" i="15"/>
  <c r="G22" i="6"/>
  <c r="G165" i="6" s="1"/>
  <c r="G8" i="15"/>
  <c r="G18" i="6"/>
  <c r="G23" i="6"/>
  <c r="G166" i="6" s="1"/>
  <c r="K18" i="18"/>
  <c r="K19" i="18"/>
  <c r="K17" i="18"/>
  <c r="K16" i="18"/>
  <c r="J18" i="18"/>
  <c r="J19" i="18"/>
  <c r="J17" i="18"/>
  <c r="J16" i="18"/>
  <c r="K8" i="15"/>
  <c r="J8" i="15"/>
  <c r="G16" i="6"/>
  <c r="I20" i="6"/>
  <c r="I163" i="6" s="1"/>
  <c r="I161" i="6"/>
  <c r="E17" i="18"/>
  <c r="E16" i="18"/>
  <c r="E19" i="18"/>
  <c r="E18" i="18"/>
  <c r="H16" i="18"/>
  <c r="H18" i="18"/>
  <c r="H17" i="18"/>
  <c r="H19" i="18"/>
  <c r="G17" i="6"/>
  <c r="G160" i="6" s="1"/>
  <c r="G17" i="19" s="1"/>
  <c r="F7" i="15"/>
  <c r="F22" i="18" s="1"/>
  <c r="F170" i="18"/>
  <c r="K22" i="6" l="1"/>
  <c r="K165" i="6" s="1"/>
  <c r="E17" i="6"/>
  <c r="E160" i="6" s="1"/>
  <c r="E17" i="19" s="1"/>
  <c r="I158" i="6"/>
  <c r="E16" i="6"/>
  <c r="E159" i="6" s="1"/>
  <c r="E8" i="19" s="1"/>
  <c r="J19" i="6"/>
  <c r="J162" i="6" s="1"/>
  <c r="K19" i="6"/>
  <c r="K162" i="6" s="1"/>
  <c r="H16" i="6"/>
  <c r="G159" i="6"/>
  <c r="G8" i="19" s="1"/>
  <c r="J18" i="6"/>
  <c r="J23" i="6"/>
  <c r="J166" i="6" s="1"/>
  <c r="K18" i="6"/>
  <c r="K23" i="6"/>
  <c r="K166" i="6" s="1"/>
  <c r="F16" i="18"/>
  <c r="F17" i="18"/>
  <c r="F19" i="18"/>
  <c r="F18" i="18"/>
  <c r="H19" i="6"/>
  <c r="H162" i="6" s="1"/>
  <c r="E18" i="6"/>
  <c r="E23" i="6"/>
  <c r="E166" i="6" s="1"/>
  <c r="I15" i="6"/>
  <c r="J22" i="6"/>
  <c r="J165" i="6" s="1"/>
  <c r="J16" i="6"/>
  <c r="K16" i="6"/>
  <c r="E22" i="6"/>
  <c r="E165" i="6" s="1"/>
  <c r="H18" i="6"/>
  <c r="H23" i="6"/>
  <c r="H166" i="6" s="1"/>
  <c r="H22" i="6"/>
  <c r="H165" i="6" s="1"/>
  <c r="F8" i="15"/>
  <c r="H17" i="6"/>
  <c r="H160" i="6" s="1"/>
  <c r="H17" i="19" s="1"/>
  <c r="E19" i="6"/>
  <c r="E162" i="6" s="1"/>
  <c r="J17" i="6"/>
  <c r="J160" i="6" s="1"/>
  <c r="J17" i="19" s="1"/>
  <c r="K17" i="6"/>
  <c r="K160" i="6" s="1"/>
  <c r="K17" i="19" s="1"/>
  <c r="G20" i="6"/>
  <c r="G163" i="6" s="1"/>
  <c r="G161" i="6"/>
  <c r="F22" i="6" l="1"/>
  <c r="F165" i="6" s="1"/>
  <c r="F17" i="6"/>
  <c r="F160" i="6" s="1"/>
  <c r="F17" i="19" s="1"/>
  <c r="H161" i="6"/>
  <c r="H20" i="6"/>
  <c r="H163" i="6" s="1"/>
  <c r="F16" i="6"/>
  <c r="J161" i="6"/>
  <c r="J20" i="6"/>
  <c r="J163" i="6" s="1"/>
  <c r="J159" i="6"/>
  <c r="J8" i="19" s="1"/>
  <c r="F18" i="6"/>
  <c r="F23" i="6"/>
  <c r="F166" i="6" s="1"/>
  <c r="G15" i="6"/>
  <c r="E20" i="6"/>
  <c r="E163" i="6" s="1"/>
  <c r="E161" i="6"/>
  <c r="K159" i="6"/>
  <c r="K8" i="19" s="1"/>
  <c r="F19" i="6"/>
  <c r="F162" i="6" s="1"/>
  <c r="K20" i="6"/>
  <c r="K163" i="6" s="1"/>
  <c r="K161" i="6"/>
  <c r="G158" i="6"/>
  <c r="H159" i="6"/>
  <c r="H8" i="19" s="1"/>
  <c r="D7" i="15"/>
  <c r="D22" i="18" s="1"/>
  <c r="D170" i="18"/>
  <c r="C7" i="15"/>
  <c r="C22" i="18" s="1"/>
  <c r="C170" i="18"/>
  <c r="H158" i="6" l="1"/>
  <c r="E15" i="6"/>
  <c r="H15" i="6"/>
  <c r="E158" i="6"/>
  <c r="J15" i="6"/>
  <c r="J158" i="6"/>
  <c r="C8" i="15"/>
  <c r="F161" i="6"/>
  <c r="F20" i="6"/>
  <c r="F163" i="6" s="1"/>
  <c r="D8" i="15"/>
  <c r="F159" i="6"/>
  <c r="F8" i="19" s="1"/>
  <c r="D16" i="18"/>
  <c r="D17" i="18"/>
  <c r="D18" i="18"/>
  <c r="D19" i="18"/>
  <c r="C16" i="18"/>
  <c r="C17" i="18"/>
  <c r="C18" i="18"/>
  <c r="C19" i="18"/>
  <c r="K15" i="6"/>
  <c r="K158" i="6"/>
  <c r="C19" i="6" l="1"/>
  <c r="C162" i="6" s="1"/>
  <c r="D19" i="6"/>
  <c r="D162" i="6" s="1"/>
  <c r="F15" i="6"/>
  <c r="F158" i="6"/>
  <c r="D18" i="6"/>
  <c r="D23" i="6"/>
  <c r="D166" i="6" s="1"/>
  <c r="C18" i="6"/>
  <c r="C23" i="6"/>
  <c r="C166" i="6" s="1"/>
  <c r="C17" i="6"/>
  <c r="C160" i="6" s="1"/>
  <c r="C17" i="19" s="1"/>
  <c r="D17" i="6"/>
  <c r="D160" i="6" s="1"/>
  <c r="D17" i="19" s="1"/>
  <c r="D22" i="6"/>
  <c r="D165" i="6" s="1"/>
  <c r="C22" i="6"/>
  <c r="C165" i="6" s="1"/>
  <c r="C16" i="6"/>
  <c r="D16" i="6"/>
  <c r="C20" i="6" l="1"/>
  <c r="C163" i="6" s="1"/>
  <c r="C161" i="6"/>
  <c r="D159" i="6"/>
  <c r="D8" i="19" s="1"/>
  <c r="C159" i="6"/>
  <c r="C8" i="19" s="1"/>
  <c r="D161" i="6"/>
  <c r="D20" i="6"/>
  <c r="D163" i="6" s="1"/>
  <c r="C15" i="6" l="1"/>
  <c r="C158" i="6"/>
  <c r="D15" i="6"/>
  <c r="D158" i="6"/>
</calcChain>
</file>

<file path=xl/sharedStrings.xml><?xml version="1.0" encoding="utf-8"?>
<sst xmlns="http://schemas.openxmlformats.org/spreadsheetml/2006/main" count="540" uniqueCount="126">
  <si>
    <t>Region</t>
  </si>
  <si>
    <t>Fiscal Year</t>
  </si>
  <si>
    <t>Mode</t>
  </si>
  <si>
    <t>People in Sample</t>
  </si>
  <si>
    <t>Trips in Sample</t>
  </si>
  <si>
    <t>Total Trips</t>
  </si>
  <si>
    <t>(Million)</t>
  </si>
  <si>
    <t>Total Distance</t>
  </si>
  <si>
    <t>(Million KM)</t>
  </si>
  <si>
    <t>Total Duration</t>
  </si>
  <si>
    <t>(Milllion Hours)</t>
  </si>
  <si>
    <t>Total Trips (Millions)</t>
  </si>
  <si>
    <t>TOTAL</t>
  </si>
  <si>
    <t>Total Distance (Million Kilometres)</t>
  </si>
  <si>
    <t>Total Duration (Million Hours)</t>
  </si>
  <si>
    <t>Total Population</t>
  </si>
  <si>
    <t>Local Bus xAuck-Well-Chris</t>
  </si>
  <si>
    <t>Total Trips Before Final Adjustment (Millions)</t>
  </si>
  <si>
    <t>ADJUSTMENT CONSTANTS</t>
  </si>
  <si>
    <t>ACTUAL TOTAL</t>
  </si>
  <si>
    <t>Local Bus</t>
  </si>
  <si>
    <t>ORIGINAL TOTAL</t>
  </si>
  <si>
    <t>2012/13</t>
  </si>
  <si>
    <t>2013/14</t>
  </si>
  <si>
    <t>2014/15</t>
  </si>
  <si>
    <t>2017/18</t>
  </si>
  <si>
    <t>2022/23</t>
  </si>
  <si>
    <t>2027/28</t>
  </si>
  <si>
    <t>2032/33</t>
  </si>
  <si>
    <t>2037/38</t>
  </si>
  <si>
    <t>2042/43</t>
  </si>
  <si>
    <t>Actual</t>
  </si>
  <si>
    <t>Projected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</si>
  <si>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</si>
  <si>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</si>
  <si>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</si>
  <si>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</si>
  <si>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</si>
  <si>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</si>
  <si>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</si>
  <si>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</si>
  <si>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</si>
  <si>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</si>
  <si>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</si>
  <si>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Canterbury</t>
  </si>
  <si>
    <t>Otago</t>
  </si>
  <si>
    <t>Southland</t>
  </si>
  <si>
    <t>Congestion Charging Assumptions</t>
  </si>
  <si>
    <t>Desired Reduction in Light Vehicle and Vehicle Share VKT Compared to Unconstrained Levels:</t>
  </si>
  <si>
    <t xml:space="preserve">  Household Travel</t>
  </si>
  <si>
    <t xml:space="preserve">  Commercial Travel</t>
  </si>
  <si>
    <t>Desired Modal Diversions:</t>
  </si>
  <si>
    <t xml:space="preserve">  To Light Vehicle + Vehicle Share Passenger</t>
  </si>
  <si>
    <t xml:space="preserve">  To Bus</t>
  </si>
  <si>
    <t xml:space="preserve">  To Rail</t>
  </si>
  <si>
    <t xml:space="preserve">  To Cycling</t>
  </si>
  <si>
    <t xml:space="preserve">  To Walking</t>
  </si>
  <si>
    <t>Assumed Percentage Share of Household Light Vehicle Driver and Passenger Travel Diverted to Taxi/Vehicle Sharing in This Scenario</t>
  </si>
  <si>
    <t>Assumed Percentage Share of Commercial Light Vehicle Travel Diverted to Taxi/Vehicle Sharing in This Scenario</t>
  </si>
  <si>
    <t>Total Duration Before Final Adjustment (Million Hours)</t>
  </si>
  <si>
    <t xml:space="preserve">PT Assumptions </t>
  </si>
  <si>
    <t>Fraction Drawn from Other Modes</t>
  </si>
  <si>
    <t>Pedestrian</t>
  </si>
  <si>
    <t>Cyclist</t>
  </si>
  <si>
    <t>Light Vehicle Drivers</t>
  </si>
  <si>
    <t>Light Vehicle Passengers</t>
  </si>
  <si>
    <t>Bus</t>
  </si>
  <si>
    <t>NET LOCAL TRAIN INCREASE</t>
  </si>
  <si>
    <t>NET LOCAL BUS INCREASE</t>
  </si>
  <si>
    <t>Assumed Change in Average Trip Length</t>
  </si>
  <si>
    <t>Total Distance Travelled Before Final Adjustment (Million KM)</t>
  </si>
  <si>
    <t>All Regions</t>
  </si>
  <si>
    <t xml:space="preserve">Active Mode Assumptions </t>
  </si>
  <si>
    <t>Growth of Pedestrian Trips Compared to BAU</t>
  </si>
  <si>
    <t>Implied Pedestrian Trips Per Capita</t>
  </si>
  <si>
    <t>Growth of Cycling Trips Compared to BAU</t>
  </si>
  <si>
    <t>Implied Cycling Trips per Capita</t>
  </si>
  <si>
    <t>Growth of Pedestrian Kilometres Compared to BAU</t>
  </si>
  <si>
    <t>Implied Pedestrian Kilometres Per Capita</t>
  </si>
  <si>
    <t>Growth of Pedestrian Hours Compared to BAU</t>
  </si>
  <si>
    <t>Implied Pedestrian Hours Per Capita</t>
  </si>
  <si>
    <t>Growth of Cycling Kilometres Compared to BAU</t>
  </si>
  <si>
    <t>Implied Cycling Kilometres per Capita</t>
  </si>
  <si>
    <t>Growth of Cycling Hours Compared to BAU</t>
  </si>
  <si>
    <t>Implied Cycling Hours per Capita</t>
  </si>
  <si>
    <t>Growth of Local Train Trips Compared to BAU</t>
  </si>
  <si>
    <t>Growth of Local Ferry Trips Compared to BAU</t>
  </si>
  <si>
    <t>Implied Local Train Trips (Millions)</t>
  </si>
  <si>
    <t>Implied Local Bus Trips (Millions)</t>
  </si>
  <si>
    <t>Implied Local Train Passenger-Kilometres (Millions)</t>
  </si>
  <si>
    <t>Implied Local Bus Passenger-Kilometres (Millions)</t>
  </si>
  <si>
    <t>Implied Local Bus Passenger-Hours (Millions)</t>
  </si>
  <si>
    <t>Implied Local Train Passenger-Hours (Millions)</t>
  </si>
  <si>
    <t>Implied Local Ferry Trips (Millions)</t>
  </si>
  <si>
    <t>Growth of Local Train Passenger-Kilometres Compared to BAU</t>
  </si>
  <si>
    <t>Growth of Local Train Passenger-Hours Compared to BAU</t>
  </si>
  <si>
    <t>Growth of Local Bus Trips Compared to BAU</t>
  </si>
  <si>
    <t>Growth of Local Bus Passenger-Kilometres Compared to BAU</t>
  </si>
  <si>
    <t>Growth of Local Bus Passenger-Hours Compared to BAU</t>
  </si>
  <si>
    <t>Growth of Local Ferry Passenger-Kilometres Compared to BAU</t>
  </si>
  <si>
    <t>Implied Local Ferry Passenger-Kilometres (Millions)</t>
  </si>
  <si>
    <t>Growth of Local Ferry Passenger-Hours Compared to BAU</t>
  </si>
  <si>
    <t>Implied Local Ferry Passenger-Hours (Millions)</t>
  </si>
  <si>
    <t>NEW ZEALAND TOTAL</t>
  </si>
  <si>
    <t>Local Train</t>
  </si>
  <si>
    <t>Other Modes</t>
  </si>
  <si>
    <t>Light Vehicle Driver</t>
  </si>
  <si>
    <t>Light Vehicle Passenger</t>
  </si>
  <si>
    <t>RESULTS FOR HEALTH MODEL (VEHICLE SHARE COMBINED W/LIGHT VEHICLE DRIVERS AND PASSENGERS)</t>
  </si>
  <si>
    <t>TRIPS/PERSON BASED ON ORIGINAL TOTALS AND ORIGINAL POPULATION</t>
  </si>
  <si>
    <t>CHECK: TRIPS/PERSON BASED ON ACTUAL TOTALS AND  UPDATED POPULATION</t>
  </si>
  <si>
    <t>TOTAL - XAUCK-WELL-CANT</t>
  </si>
  <si>
    <t>KILOMETRES/PERSON BASED ON ORIGINAL TOTALS AND ORIGINAL POPULATION</t>
  </si>
  <si>
    <t>CHECK: KILOMETRES/PERSON BASED ON ACTUAL TOTALS AND  UPDATED POPULATION</t>
  </si>
  <si>
    <t>HOURS/PERSON BASED ON ORIGINAL TOTALS AND ORIGINAL POPULATION</t>
  </si>
  <si>
    <t>CHECK: HOURS/PERSON BASED ON ACTUAL TOTALS AND  UPDATED POPULATION</t>
  </si>
  <si>
    <t>Taxi/Vehicle Share</t>
  </si>
  <si>
    <t>This workbook was copied from X:\Transport Outlook\Scenarios\base\Model Results\trip_summary_region_postprocess base 20170717 updated.xlsx</t>
  </si>
  <si>
    <t>2015/16</t>
  </si>
  <si>
    <t>2016/17</t>
  </si>
  <si>
    <t>2047/48</t>
  </si>
  <si>
    <t>2052/53</t>
  </si>
  <si>
    <t>2057/58</t>
  </si>
  <si>
    <t>NET LOCAL TRAIN INCREASE BEYOND BASE YEAR ADJUSTMENT</t>
  </si>
  <si>
    <t>NET LOCAL BUS INCREASE BEYOND BASE YEAR ADJUSTMENT</t>
  </si>
  <si>
    <t>Copied again from X:\Transport Outlook\Version 2 Models\Base\trip_summary_region_postprocess Version 2 base 20181206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</si>
</sst>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000"/>
    <numFmt numFmtId="167" formatCode="0.0%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/>
    <xf numFmtId="165" fontId="0" fillId="0" borderId="0" xfId="0" applyNumberFormat="1"/>
    <xf numFmtId="1" fontId="0" fillId="0" borderId="0" xfId="0" applyNumberFormat="1"/>
    <xf numFmtId="0" fontId="18" fillId="0" borderId="10" xfId="0" applyFont="1" applyBorder="1"/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5" xfId="0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33" borderId="18" xfId="0" applyFont="1" applyFill="1" applyBorder="1"/>
    <xf numFmtId="167" fontId="0" fillId="0" borderId="10" xfId="0" applyNumberFormat="1" applyBorder="1"/>
    <xf numFmtId="167" fontId="0" fillId="0" borderId="11" xfId="0" applyNumberFormat="1" applyBorder="1"/>
    <xf numFmtId="167" fontId="0" fillId="0" borderId="13" xfId="0" applyNumberFormat="1" applyBorder="1"/>
    <xf numFmtId="167" fontId="0" fillId="0" borderId="0" xfId="0" applyNumberFormat="1" applyBorder="1"/>
    <xf numFmtId="167" fontId="0" fillId="34" borderId="0" xfId="0" applyNumberFormat="1" applyFill="1" applyBorder="1"/>
    <xf numFmtId="167" fontId="0" fillId="34" borderId="14" xfId="0" applyNumberFormat="1" applyFill="1" applyBorder="1"/>
    <xf numFmtId="0" fontId="18" fillId="33" borderId="19" xfId="0" applyFont="1" applyFill="1" applyBorder="1"/>
    <xf numFmtId="167" fontId="0" fillId="0" borderId="20" xfId="0" applyNumberFormat="1" applyBorder="1"/>
    <xf numFmtId="167" fontId="0" fillId="0" borderId="21" xfId="0" applyNumberFormat="1" applyBorder="1"/>
    <xf numFmtId="167" fontId="0" fillId="34" borderId="21" xfId="0" applyNumberFormat="1" applyFill="1" applyBorder="1"/>
    <xf numFmtId="167" fontId="0" fillId="34" borderId="22" xfId="0" applyNumberFormat="1" applyFill="1" applyBorder="1"/>
    <xf numFmtId="0" fontId="0" fillId="0" borderId="23" xfId="0" applyBorder="1"/>
    <xf numFmtId="0" fontId="0" fillId="0" borderId="0" xfId="0" applyBorder="1"/>
    <xf numFmtId="0" fontId="0" fillId="0" borderId="14" xfId="0" applyBorder="1"/>
    <xf numFmtId="0" fontId="0" fillId="33" borderId="0" xfId="0" applyFill="1" applyBorder="1"/>
    <xf numFmtId="0" fontId="0" fillId="33" borderId="18" xfId="0" applyFill="1" applyBorder="1"/>
    <xf numFmtId="0" fontId="0" fillId="0" borderId="0" xfId="0" applyFill="1" applyBorder="1"/>
    <xf numFmtId="0" fontId="0" fillId="0" borderId="21" xfId="0" applyBorder="1"/>
    <xf numFmtId="167" fontId="0" fillId="0" borderId="10" xfId="0" applyNumberFormat="1" applyFill="1" applyBorder="1"/>
    <xf numFmtId="167" fontId="0" fillId="0" borderId="11" xfId="0" applyNumberFormat="1" applyFill="1" applyBorder="1"/>
    <xf numFmtId="167" fontId="0" fillId="0" borderId="12" xfId="0" applyNumberFormat="1" applyFill="1" applyBorder="1"/>
    <xf numFmtId="0" fontId="18" fillId="33" borderId="18" xfId="0" applyFont="1" applyFill="1" applyBorder="1" applyAlignment="1">
      <alignment horizontal="left" indent="1"/>
    </xf>
    <xf numFmtId="167" fontId="0" fillId="0" borderId="13" xfId="0" applyNumberFormat="1" applyFill="1" applyBorder="1"/>
    <xf numFmtId="167" fontId="0" fillId="0" borderId="0" xfId="0" applyNumberFormat="1" applyFill="1" applyBorder="1"/>
    <xf numFmtId="167" fontId="0" fillId="0" borderId="14" xfId="0" applyNumberFormat="1" applyFill="1" applyBorder="1"/>
    <xf numFmtId="0" fontId="18" fillId="33" borderId="18" xfId="0" applyFont="1" applyFill="1" applyBorder="1" applyAlignment="1">
      <alignment horizontal="left" indent="2"/>
    </xf>
    <xf numFmtId="0" fontId="18" fillId="33" borderId="19" xfId="0" applyFont="1" applyFill="1" applyBorder="1" applyAlignment="1">
      <alignment horizontal="left" indent="2"/>
    </xf>
    <xf numFmtId="164" fontId="0" fillId="0" borderId="0" xfId="0" applyNumberFormat="1" applyFill="1" applyBorder="1"/>
    <xf numFmtId="164" fontId="0" fillId="0" borderId="14" xfId="0" applyNumberFormat="1" applyFill="1" applyBorder="1"/>
    <xf numFmtId="167" fontId="0" fillId="34" borderId="13" xfId="0" applyNumberFormat="1" applyFill="1" applyBorder="1"/>
    <xf numFmtId="0" fontId="18" fillId="33" borderId="0" xfId="0" applyFont="1" applyFill="1" applyBorder="1" applyAlignment="1">
      <alignment horizontal="left" indent="1"/>
    </xf>
    <xf numFmtId="0" fontId="18" fillId="33" borderId="22" xfId="0" applyFont="1" applyFill="1" applyBorder="1" applyAlignment="1">
      <alignment horizontal="left" indent="1"/>
    </xf>
    <xf numFmtId="164" fontId="0" fillId="0" borderId="21" xfId="0" applyNumberFormat="1" applyFill="1" applyBorder="1"/>
    <xf numFmtId="164" fontId="0" fillId="0" borderId="22" xfId="0" applyNumberFormat="1" applyFill="1" applyBorder="1"/>
    <xf numFmtId="164" fontId="0" fillId="0" borderId="13" xfId="0" applyNumberFormat="1" applyFill="1" applyBorder="1"/>
    <xf numFmtId="164" fontId="0" fillId="0" borderId="20" xfId="0" applyNumberFormat="1" applyFill="1" applyBorder="1"/>
    <xf numFmtId="167" fontId="0" fillId="0" borderId="21" xfId="0" applyNumberFormat="1" applyFill="1" applyBorder="1"/>
    <xf numFmtId="167" fontId="0" fillId="0" borderId="22" xfId="0" applyNumberFormat="1" applyFill="1" applyBorder="1"/>
    <xf numFmtId="0" fontId="0" fillId="0" borderId="14" xfId="0" applyFill="1" applyBorder="1"/>
    <xf numFmtId="4" fontId="0" fillId="0" borderId="0" xfId="0" applyNumberFormat="1"/>
    <xf numFmtId="167" fontId="0" fillId="34" borderId="20" xfId="0" applyNumberFormat="1" applyFill="1" applyBorder="1"/>
    <xf numFmtId="166" fontId="0" fillId="35" borderId="0" xfId="0" applyNumberFormat="1" applyFill="1"/>
    <xf numFmtId="0" fontId="0" fillId="35" borderId="0" xfId="0" applyFill="1"/>
    <xf numFmtId="165" fontId="0" fillId="35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Base\PT%20Trips%20from%20AT%2020181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Base\PT%20Trips%20from%20GWRC%20201811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Scenarios\metro\Assumptions\Population%20and%20GDP%20metr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Updated%20Version%202%20Metr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Scenarios\metro\Model%20Results\trip_summary_region%20metro%2020161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M PT 2018 outputs"/>
      <sheetName val="PT Projections 2017"/>
      <sheetName val="Historical Statistics"/>
      <sheetName val="Summary Data"/>
      <sheetName val="Annual Projections"/>
      <sheetName val="Transition "/>
    </sheetNames>
    <sheetDataSet>
      <sheetData sheetId="0"/>
      <sheetData sheetId="1"/>
      <sheetData sheetId="2"/>
      <sheetData sheetId="3">
        <row r="32">
          <cell r="B32">
            <v>1.1504942223956107</v>
          </cell>
        </row>
      </sheetData>
      <sheetData sheetId="4"/>
      <sheetData sheetId="5">
        <row r="30">
          <cell r="B30">
            <v>0.94809013753953852</v>
          </cell>
          <cell r="C30">
            <v>1.9292233689221983</v>
          </cell>
          <cell r="D30">
            <v>3.123397949541312</v>
          </cell>
          <cell r="E30">
            <v>4.1465737157088958</v>
          </cell>
          <cell r="F30">
            <v>4.48351564957657</v>
          </cell>
          <cell r="G30">
            <v>4.8558252426324851</v>
          </cell>
          <cell r="H30">
            <v>5.2294284789181615</v>
          </cell>
          <cell r="I30">
            <v>5.5298819820419149</v>
          </cell>
          <cell r="J30">
            <v>5.8442434518179809</v>
          </cell>
          <cell r="K30">
            <v>6.1897779032082072</v>
          </cell>
        </row>
        <row r="31">
          <cell r="B31">
            <v>1.2566494043264</v>
          </cell>
          <cell r="C31">
            <v>2.2936556106006964</v>
          </cell>
          <cell r="D31">
            <v>4.3203624402873233</v>
          </cell>
          <cell r="E31">
            <v>6.0760797357522387</v>
          </cell>
          <cell r="F31">
            <v>6.6819455632741089</v>
          </cell>
          <cell r="G31">
            <v>7.312884286797189</v>
          </cell>
          <cell r="H31">
            <v>7.934249919146402</v>
          </cell>
          <cell r="I31">
            <v>8.468889343292652</v>
          </cell>
          <cell r="J31">
            <v>9.0276532051720597</v>
          </cell>
          <cell r="K31">
            <v>9.6440090170115429</v>
          </cell>
        </row>
        <row r="32">
          <cell r="B32">
            <v>1.2566494043264</v>
          </cell>
          <cell r="C32">
            <v>2.2925800761473454</v>
          </cell>
          <cell r="D32">
            <v>4.30712661223588</v>
          </cell>
          <cell r="E32">
            <v>6.0634122924469587</v>
          </cell>
          <cell r="F32">
            <v>6.6970856810023145</v>
          </cell>
          <cell r="G32">
            <v>7.3312050555085744</v>
          </cell>
          <cell r="H32">
            <v>7.9587296700766048</v>
          </cell>
          <cell r="I32">
            <v>8.4950186313654861</v>
          </cell>
          <cell r="J32">
            <v>9.0555064621527315</v>
          </cell>
          <cell r="K32">
            <v>9.6737639328650715</v>
          </cell>
        </row>
        <row r="33">
          <cell r="B33">
            <v>0.98394675642792462</v>
          </cell>
          <cell r="C33">
            <v>1.0830075391043177</v>
          </cell>
          <cell r="D33">
            <v>1.1584383991115319</v>
          </cell>
          <cell r="E33">
            <v>1.2130129472760938</v>
          </cell>
          <cell r="F33">
            <v>1.280897763401694</v>
          </cell>
          <cell r="G33">
            <v>1.3457408612961363</v>
          </cell>
          <cell r="H33">
            <v>1.414516930860535</v>
          </cell>
          <cell r="I33">
            <v>1.4598770258046889</v>
          </cell>
          <cell r="J33">
            <v>1.5082759409922215</v>
          </cell>
          <cell r="K33">
            <v>1.5616354680338453</v>
          </cell>
        </row>
        <row r="34">
          <cell r="B34">
            <v>0.9988948230602277</v>
          </cell>
          <cell r="C34">
            <v>1.0046613689713551</v>
          </cell>
          <cell r="D34">
            <v>1.2907847563447119</v>
          </cell>
          <cell r="E34">
            <v>1.5391728524155042</v>
          </cell>
          <cell r="F34">
            <v>1.6739346213673436</v>
          </cell>
          <cell r="G34">
            <v>1.7997570261763227</v>
          </cell>
          <cell r="H34">
            <v>1.9289186839452586</v>
          </cell>
          <cell r="I34">
            <v>2.0200758711641384</v>
          </cell>
          <cell r="J34">
            <v>2.1158111479412391</v>
          </cell>
          <cell r="K34">
            <v>2.2208562669733793</v>
          </cell>
        </row>
        <row r="35">
          <cell r="B35">
            <v>0.99889482306022759</v>
          </cell>
          <cell r="C35">
            <v>1.0061853723655385</v>
          </cell>
          <cell r="D35">
            <v>1.2974079117855295</v>
          </cell>
          <cell r="E35">
            <v>1.547398640597585</v>
          </cell>
          <cell r="F35">
            <v>1.6805437550477911</v>
          </cell>
          <cell r="G35">
            <v>1.8045473728694712</v>
          </cell>
          <cell r="H35">
            <v>1.9311867680398123</v>
          </cell>
          <cell r="I35">
            <v>2.0224511407860848</v>
          </cell>
          <cell r="J35">
            <v>2.1182989861542576</v>
          </cell>
          <cell r="K35">
            <v>2.2234676205868502</v>
          </cell>
        </row>
        <row r="38">
          <cell r="B38">
            <v>0</v>
          </cell>
          <cell r="C38">
            <v>11.712251088164892</v>
          </cell>
          <cell r="D38">
            <v>28.000682979208626</v>
          </cell>
          <cell r="E38">
            <v>44.25966355655089</v>
          </cell>
          <cell r="F38">
            <v>51.980302712231953</v>
          </cell>
          <cell r="G38">
            <v>59.922255752793333</v>
          </cell>
          <cell r="H38">
            <v>67.953214092293521</v>
          </cell>
          <cell r="I38">
            <v>75.847254183959393</v>
          </cell>
          <cell r="J38">
            <v>84.265331378817223</v>
          </cell>
          <cell r="K38">
            <v>93.587997994290433</v>
          </cell>
        </row>
        <row r="39">
          <cell r="B39">
            <v>0</v>
          </cell>
          <cell r="C39">
            <v>149.6667176390672</v>
          </cell>
          <cell r="D39">
            <v>479.09040598299362</v>
          </cell>
          <cell r="E39">
            <v>809.17631438213607</v>
          </cell>
          <cell r="F39">
            <v>970.39278933689013</v>
          </cell>
          <cell r="G39">
            <v>1134.7104900301629</v>
          </cell>
          <cell r="H39">
            <v>1300.4296097457241</v>
          </cell>
          <cell r="I39">
            <v>1464.9089669298294</v>
          </cell>
          <cell r="J39">
            <v>1640.9940580316547</v>
          </cell>
          <cell r="K39">
            <v>1837.4276023704674</v>
          </cell>
        </row>
        <row r="40">
          <cell r="B40">
            <v>0</v>
          </cell>
          <cell r="C40">
            <v>5.0749186565425477</v>
          </cell>
          <cell r="D40">
            <v>16.23381290769316</v>
          </cell>
          <cell r="E40">
            <v>27.438308738315701</v>
          </cell>
          <cell r="F40">
            <v>32.940162329693052</v>
          </cell>
          <cell r="G40">
            <v>38.51776049307044</v>
          </cell>
          <cell r="H40">
            <v>44.145758385105552</v>
          </cell>
          <cell r="I40">
            <v>49.727215937492161</v>
          </cell>
          <cell r="J40">
            <v>55.702384820338949</v>
          </cell>
          <cell r="K40">
            <v>62.367904211211012</v>
          </cell>
        </row>
        <row r="41">
          <cell r="B41">
            <v>0</v>
          </cell>
          <cell r="C41">
            <v>5.87829619751016</v>
          </cell>
          <cell r="D41">
            <v>10.861423076137818</v>
          </cell>
          <cell r="E41">
            <v>15.097914622730613</v>
          </cell>
          <cell r="F41">
            <v>20.372765188747607</v>
          </cell>
          <cell r="G41">
            <v>25.756648355021383</v>
          </cell>
          <cell r="H41">
            <v>31.575560302421323</v>
          </cell>
          <cell r="I41">
            <v>36.401937959674001</v>
          </cell>
          <cell r="J41">
            <v>41.694102138376337</v>
          </cell>
          <cell r="K41">
            <v>47.656216567004762</v>
          </cell>
        </row>
        <row r="42">
          <cell r="B42">
            <v>0</v>
          </cell>
          <cell r="C42">
            <v>2.7920897337303359</v>
          </cell>
          <cell r="D42">
            <v>149.0547866152898</v>
          </cell>
          <cell r="E42">
            <v>291.99274191995642</v>
          </cell>
          <cell r="F42">
            <v>378.25025298041726</v>
          </cell>
          <cell r="G42">
            <v>464.60412008258197</v>
          </cell>
          <cell r="H42">
            <v>554.574613999897</v>
          </cell>
          <cell r="I42">
            <v>635.10085314243668</v>
          </cell>
          <cell r="J42">
            <v>722.18756261278156</v>
          </cell>
          <cell r="K42">
            <v>819.67549985521759</v>
          </cell>
        </row>
        <row r="43">
          <cell r="B43">
            <v>0</v>
          </cell>
          <cell r="C43">
            <v>0.18151910476814237</v>
          </cell>
          <cell r="D43">
            <v>7.8104173676279487</v>
          </cell>
          <cell r="E43">
            <v>15.185404176046603</v>
          </cell>
          <cell r="F43">
            <v>19.593230290737221</v>
          </cell>
          <cell r="G43">
            <v>24.006309636254777</v>
          </cell>
          <cell r="H43">
            <v>28.596589241456901</v>
          </cell>
          <cell r="I43">
            <v>32.745234426743714</v>
          </cell>
          <cell r="J43">
            <v>37.231685264280401</v>
          </cell>
          <cell r="K43">
            <v>42.253770569481119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ata"/>
      <sheetName val="Annual Projections"/>
      <sheetName val="Transition "/>
      <sheetName val="Sheet2"/>
      <sheetName val="Sheet3"/>
    </sheetNames>
    <sheetDataSet>
      <sheetData sheetId="0"/>
      <sheetData sheetId="1"/>
      <sheetData sheetId="2">
        <row r="30">
          <cell r="B30">
            <v>1.2168898928977931</v>
          </cell>
          <cell r="C30">
            <v>1.2432678644930908</v>
          </cell>
          <cell r="D30">
            <v>1.3278700831628523</v>
          </cell>
          <cell r="E30">
            <v>1.4037087788346065</v>
          </cell>
          <cell r="F30">
            <v>1.4638936117321586</v>
          </cell>
          <cell r="G30">
            <v>1.5143857151672186</v>
          </cell>
          <cell r="H30">
            <v>1.5674022023737166</v>
          </cell>
          <cell r="I30">
            <v>1.6467479323641134</v>
          </cell>
          <cell r="J30">
            <v>1.7349793316507192</v>
          </cell>
          <cell r="K30">
            <v>1.8318749142151585</v>
          </cell>
        </row>
        <row r="31">
          <cell r="B31">
            <v>1.1859723137389515</v>
          </cell>
          <cell r="C31">
            <v>1.1927260431886724</v>
          </cell>
          <cell r="D31">
            <v>1.2732430263295709</v>
          </cell>
          <cell r="E31">
            <v>1.3371138829914495</v>
          </cell>
          <cell r="F31">
            <v>1.4003263132422203</v>
          </cell>
          <cell r="G31">
            <v>1.4583352987972347</v>
          </cell>
          <cell r="H31">
            <v>1.5211747250902652</v>
          </cell>
          <cell r="I31">
            <v>1.5980420821825705</v>
          </cell>
          <cell r="J31">
            <v>1.6835202135443743</v>
          </cell>
          <cell r="K31">
            <v>1.7773902356024713</v>
          </cell>
        </row>
        <row r="32">
          <cell r="B32">
            <v>1.1859723137389515</v>
          </cell>
          <cell r="C32">
            <v>1.1967693826000709</v>
          </cell>
          <cell r="D32">
            <v>1.2809148141591724</v>
          </cell>
          <cell r="E32">
            <v>1.3486655859117562</v>
          </cell>
          <cell r="F32">
            <v>1.4112775092789409</v>
          </cell>
          <cell r="G32">
            <v>1.4702176391553523</v>
          </cell>
          <cell r="H32">
            <v>1.533728096326372</v>
          </cell>
          <cell r="I32">
            <v>1.6112297950584653</v>
          </cell>
          <cell r="J32">
            <v>1.6974133277774275</v>
          </cell>
          <cell r="K32">
            <v>1.7920580045910897</v>
          </cell>
        </row>
        <row r="33">
          <cell r="B33">
            <v>0.94273733534187465</v>
          </cell>
          <cell r="C33">
            <v>0.95872465215781943</v>
          </cell>
          <cell r="D33">
            <v>1.0596539897351755</v>
          </cell>
          <cell r="E33">
            <v>1.1278812136242518</v>
          </cell>
          <cell r="F33">
            <v>1.1634760999713571</v>
          </cell>
          <cell r="G33">
            <v>1.206798010012091</v>
          </cell>
          <cell r="H33">
            <v>1.2567245354862757</v>
          </cell>
          <cell r="I33">
            <v>1.2848302439103947</v>
          </cell>
          <cell r="J33">
            <v>1.3176284914837382</v>
          </cell>
          <cell r="K33">
            <v>1.3541741975831174</v>
          </cell>
        </row>
        <row r="34">
          <cell r="B34">
            <v>0.87704976700634296</v>
          </cell>
          <cell r="C34">
            <v>0.87473339435438169</v>
          </cell>
          <cell r="D34">
            <v>0.96300312938686305</v>
          </cell>
          <cell r="E34">
            <v>1.0221124210346433</v>
          </cell>
          <cell r="F34">
            <v>1.0446970901622226</v>
          </cell>
          <cell r="G34">
            <v>1.071720286844438</v>
          </cell>
          <cell r="H34">
            <v>1.10456723251494</v>
          </cell>
          <cell r="I34">
            <v>1.1252325167719961</v>
          </cell>
          <cell r="J34">
            <v>1.1498575698437246</v>
          </cell>
          <cell r="K34">
            <v>1.1775521633959207</v>
          </cell>
        </row>
        <row r="35">
          <cell r="B35">
            <v>0.87704976700634285</v>
          </cell>
          <cell r="C35">
            <v>0.87840718512215454</v>
          </cell>
          <cell r="D35">
            <v>0.96727891116790554</v>
          </cell>
          <cell r="E35">
            <v>1.0245637344927596</v>
          </cell>
          <cell r="F35">
            <v>1.0477921240960064</v>
          </cell>
          <cell r="G35">
            <v>1.0762274878737872</v>
          </cell>
          <cell r="H35">
            <v>1.1104117613700513</v>
          </cell>
          <cell r="I35">
            <v>1.1311863905783102</v>
          </cell>
          <cell r="J35">
            <v>1.1559417406831205</v>
          </cell>
          <cell r="K35">
            <v>1.1837828729396902</v>
          </cell>
        </row>
        <row r="38">
          <cell r="B38">
            <v>0</v>
          </cell>
          <cell r="C38">
            <v>0.28854635749980773</v>
          </cell>
          <cell r="D38">
            <v>1.2724689095795387</v>
          </cell>
          <cell r="E38">
            <v>2.2172709087787457</v>
          </cell>
          <cell r="F38">
            <v>3.005092854551604</v>
          </cell>
          <cell r="G38">
            <v>3.7246262519093296</v>
          </cell>
          <cell r="H38">
            <v>4.497124307268372</v>
          </cell>
          <cell r="I38">
            <v>5.5516150990482043</v>
          </cell>
          <cell r="J38">
            <v>6.713934060584716</v>
          </cell>
          <cell r="K38">
            <v>7.9795899905257315</v>
          </cell>
        </row>
        <row r="39">
          <cell r="B39">
            <v>0</v>
          </cell>
          <cell r="C39">
            <v>1.8125443048732564</v>
          </cell>
          <cell r="D39">
            <v>24.583470168114673</v>
          </cell>
          <cell r="E39">
            <v>44.380066406277251</v>
          </cell>
          <cell r="F39">
            <v>64.240700271677611</v>
          </cell>
          <cell r="G39">
            <v>83.430739683517118</v>
          </cell>
          <cell r="H39">
            <v>104.39882007406368</v>
          </cell>
          <cell r="I39">
            <v>129.18791421694652</v>
          </cell>
          <cell r="J39">
            <v>156.51792000892442</v>
          </cell>
          <cell r="K39">
            <v>186.28048406112038</v>
          </cell>
        </row>
        <row r="40">
          <cell r="B40">
            <v>0</v>
          </cell>
          <cell r="C40">
            <v>6.3557504535590503E-2</v>
          </cell>
          <cell r="D40">
            <v>0.58507581978432821</v>
          </cell>
          <cell r="E40">
            <v>1.0423738284840027</v>
          </cell>
          <cell r="F40">
            <v>1.4745261290924159</v>
          </cell>
          <cell r="G40">
            <v>1.9007844067922921</v>
          </cell>
          <cell r="H40">
            <v>2.3641732846539263</v>
          </cell>
          <cell r="I40">
            <v>2.9101782097085138</v>
          </cell>
          <cell r="J40">
            <v>3.5118924877581694</v>
          </cell>
          <cell r="K40">
            <v>4.1669990052605765</v>
          </cell>
        </row>
        <row r="41">
          <cell r="B41">
            <v>0</v>
          </cell>
          <cell r="C41">
            <v>0.41188752627259362</v>
          </cell>
          <cell r="D41">
            <v>3.0562724795702536</v>
          </cell>
          <cell r="E41">
            <v>4.9048596751611662</v>
          </cell>
          <cell r="F41">
            <v>5.849175684566692</v>
          </cell>
          <cell r="G41">
            <v>6.9538134562679588</v>
          </cell>
          <cell r="H41">
            <v>8.1774492106575707</v>
          </cell>
          <cell r="I41">
            <v>8.9683522881181439</v>
          </cell>
          <cell r="J41">
            <v>9.8617007749256409</v>
          </cell>
          <cell r="K41">
            <v>10.836612184069303</v>
          </cell>
        </row>
        <row r="42">
          <cell r="B42">
            <v>0</v>
          </cell>
          <cell r="C42">
            <v>-0.45467703292075612</v>
          </cell>
          <cell r="D42">
            <v>17.199542166879439</v>
          </cell>
          <cell r="E42">
            <v>29.460659222508326</v>
          </cell>
          <cell r="F42">
            <v>34.226017684354559</v>
          </cell>
          <cell r="G42">
            <v>39.776190632410533</v>
          </cell>
          <cell r="H42">
            <v>46.279323381775384</v>
          </cell>
          <cell r="I42">
            <v>50.816708145982744</v>
          </cell>
          <cell r="J42">
            <v>56.04924435355656</v>
          </cell>
          <cell r="K42">
            <v>61.816529624469467</v>
          </cell>
        </row>
        <row r="43">
          <cell r="B43">
            <v>0</v>
          </cell>
          <cell r="C43">
            <v>1.3301984160015934E-2</v>
          </cell>
          <cell r="D43">
            <v>0.90116684100100208</v>
          </cell>
          <cell r="E43">
            <v>1.4983319546275489</v>
          </cell>
          <cell r="F43">
            <v>1.7423870906884495</v>
          </cell>
          <cell r="G43">
            <v>2.031746403488766</v>
          </cell>
          <cell r="H43">
            <v>2.3672212982516001</v>
          </cell>
          <cell r="I43">
            <v>2.5950077802134857</v>
          </cell>
          <cell r="J43">
            <v>2.8574948872089223</v>
          </cell>
          <cell r="K43">
            <v>3.1466888765694669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GDP"/>
      <sheetName val="Regional GDP"/>
      <sheetName val="Tourism"/>
      <sheetName val="Other Assumptions"/>
      <sheetName val="Population and GDP metro"/>
    </sheetNames>
    <sheetDataSet>
      <sheetData sheetId="0">
        <row r="4">
          <cell r="D4">
            <v>164700</v>
          </cell>
          <cell r="E4">
            <v>173877.05633753625</v>
          </cell>
          <cell r="F4">
            <v>180060.85711291956</v>
          </cell>
          <cell r="G4">
            <v>185847.5812930041</v>
          </cell>
          <cell r="H4">
            <v>190771.19904998079</v>
          </cell>
          <cell r="I4">
            <v>194317.69760050299</v>
          </cell>
          <cell r="J4">
            <v>197033.85141978972</v>
          </cell>
        </row>
        <row r="5">
          <cell r="D5">
            <v>1493200</v>
          </cell>
          <cell r="E5">
            <v>1612318.0468722712</v>
          </cell>
          <cell r="F5">
            <v>1703012.5667982257</v>
          </cell>
          <cell r="G5">
            <v>1793759.239984632</v>
          </cell>
          <cell r="H5">
            <v>1879812.1197303622</v>
          </cell>
          <cell r="I5">
            <v>1959137.2288777898</v>
          </cell>
          <cell r="J5">
            <v>2032569.0195941462</v>
          </cell>
        </row>
        <row r="6">
          <cell r="D6">
            <v>424600</v>
          </cell>
          <cell r="E6">
            <v>447882.00551849394</v>
          </cell>
          <cell r="F6">
            <v>464004.90726834547</v>
          </cell>
          <cell r="G6">
            <v>478833.05508015794</v>
          </cell>
          <cell r="H6">
            <v>491489.05731549719</v>
          </cell>
          <cell r="I6">
            <v>501368.31755789183</v>
          </cell>
          <cell r="J6">
            <v>508954.77279871469</v>
          </cell>
        </row>
        <row r="7">
          <cell r="D7">
            <v>279700</v>
          </cell>
          <cell r="E7">
            <v>291356.88589291327</v>
          </cell>
          <cell r="F7">
            <v>299633.34148300794</v>
          </cell>
          <cell r="G7">
            <v>307213.98134888755</v>
          </cell>
          <cell r="H7">
            <v>313218.03639411827</v>
          </cell>
          <cell r="I7">
            <v>317282.31986308546</v>
          </cell>
          <cell r="J7">
            <v>319673.78016834898</v>
          </cell>
        </row>
        <row r="8">
          <cell r="D8">
            <v>47000</v>
          </cell>
          <cell r="E8">
            <v>47800</v>
          </cell>
          <cell r="F8">
            <v>48300</v>
          </cell>
          <cell r="G8">
            <v>48600</v>
          </cell>
          <cell r="H8">
            <v>48600</v>
          </cell>
          <cell r="I8">
            <v>48200</v>
          </cell>
          <cell r="J8">
            <v>47600</v>
          </cell>
        </row>
        <row r="9">
          <cell r="D9">
            <v>158000</v>
          </cell>
          <cell r="E9">
            <v>165718.64063427754</v>
          </cell>
          <cell r="F9">
            <v>170977.27288603262</v>
          </cell>
          <cell r="G9">
            <v>175938.58405225107</v>
          </cell>
          <cell r="H9">
            <v>179958.79291676852</v>
          </cell>
          <cell r="I9">
            <v>183033.42181551468</v>
          </cell>
          <cell r="J9">
            <v>185405.33337990288</v>
          </cell>
        </row>
        <row r="10">
          <cell r="D10">
            <v>113600</v>
          </cell>
          <cell r="E10">
            <v>120250.55010303517</v>
          </cell>
          <cell r="F10">
            <v>125133.47769899759</v>
          </cell>
          <cell r="G10">
            <v>129919.0981802941</v>
          </cell>
          <cell r="H10">
            <v>134262.35898152352</v>
          </cell>
          <cell r="I10">
            <v>138058.23757465684</v>
          </cell>
          <cell r="J10">
            <v>141349.82012503929</v>
          </cell>
        </row>
        <row r="11">
          <cell r="D11">
            <v>231200</v>
          </cell>
          <cell r="E11">
            <v>238161.10160315741</v>
          </cell>
          <cell r="F11">
            <v>242632.75470643706</v>
          </cell>
          <cell r="G11">
            <v>246507.32422898256</v>
          </cell>
          <cell r="H11">
            <v>249019.4160176033</v>
          </cell>
          <cell r="I11">
            <v>249955.28972093185</v>
          </cell>
          <cell r="J11">
            <v>249561.60804722155</v>
          </cell>
        </row>
        <row r="12">
          <cell r="D12">
            <v>486700</v>
          </cell>
          <cell r="E12">
            <v>518228.39579476789</v>
          </cell>
          <cell r="F12">
            <v>541070.94408158981</v>
          </cell>
          <cell r="G12">
            <v>563023.92511613283</v>
          </cell>
          <cell r="H12">
            <v>582937.95885578566</v>
          </cell>
          <cell r="I12">
            <v>600106.1681394293</v>
          </cell>
          <cell r="J12">
            <v>614895.47693059966</v>
          </cell>
        </row>
        <row r="13">
          <cell r="D13">
            <v>142200</v>
          </cell>
          <cell r="E13">
            <v>147900</v>
          </cell>
          <cell r="F13">
            <v>151500</v>
          </cell>
          <cell r="G13">
            <v>154400</v>
          </cell>
          <cell r="H13">
            <v>156200</v>
          </cell>
          <cell r="I13">
            <v>156900</v>
          </cell>
          <cell r="J13">
            <v>156600</v>
          </cell>
        </row>
        <row r="14">
          <cell r="D14">
            <v>33000</v>
          </cell>
          <cell r="E14">
            <v>33800</v>
          </cell>
          <cell r="F14">
            <v>34000</v>
          </cell>
          <cell r="G14">
            <v>34100</v>
          </cell>
          <cell r="H14">
            <v>34000</v>
          </cell>
          <cell r="I14">
            <v>33700</v>
          </cell>
          <cell r="J14">
            <v>33200</v>
          </cell>
        </row>
        <row r="15">
          <cell r="D15">
            <v>562900</v>
          </cell>
          <cell r="E15">
            <v>617655.26876462577</v>
          </cell>
          <cell r="F15">
            <v>652620.64196151029</v>
          </cell>
          <cell r="G15">
            <v>687398.47368237237</v>
          </cell>
          <cell r="H15">
            <v>720255.03824525862</v>
          </cell>
          <cell r="I15">
            <v>750304.45321504655</v>
          </cell>
          <cell r="J15">
            <v>777946.05497537646</v>
          </cell>
        </row>
        <row r="16">
          <cell r="D16">
            <v>208800</v>
          </cell>
          <cell r="E16">
            <v>224552.04847892141</v>
          </cell>
          <cell r="F16">
            <v>236253.23600293387</v>
          </cell>
          <cell r="G16">
            <v>247758.73703328561</v>
          </cell>
          <cell r="H16">
            <v>258476.02249310189</v>
          </cell>
          <cell r="I16">
            <v>268236.86563515069</v>
          </cell>
          <cell r="J16">
            <v>277210.28256086062</v>
          </cell>
        </row>
        <row r="17">
          <cell r="D17">
            <v>96000</v>
          </cell>
          <cell r="E17">
            <v>98400</v>
          </cell>
          <cell r="F17">
            <v>98900</v>
          </cell>
          <cell r="G17">
            <v>99200</v>
          </cell>
          <cell r="H17">
            <v>98900</v>
          </cell>
          <cell r="I17">
            <v>98000</v>
          </cell>
          <cell r="J17">
            <v>96800</v>
          </cell>
        </row>
        <row r="18">
          <cell r="D18">
            <v>4441600</v>
          </cell>
          <cell r="E18">
            <v>4737900</v>
          </cell>
          <cell r="F18">
            <v>4948100.0000000009</v>
          </cell>
          <cell r="G18">
            <v>5152500</v>
          </cell>
          <cell r="H18">
            <v>5337900</v>
          </cell>
          <cell r="I18">
            <v>5498600.0000000009</v>
          </cell>
          <cell r="J18">
            <v>5638800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Population"/>
      <sheetName val="GDP"/>
      <sheetName val="Regional GDP"/>
      <sheetName val="Tourism"/>
      <sheetName val="Other Assumptions"/>
    </sheetNames>
    <sheetDataSet>
      <sheetData sheetId="0"/>
      <sheetData sheetId="1">
        <row r="4">
          <cell r="D4">
            <v>164700</v>
          </cell>
          <cell r="E4">
            <v>178402.87799937133</v>
          </cell>
          <cell r="F4">
            <v>187531.95138136984</v>
          </cell>
          <cell r="G4">
            <v>194636.72243372566</v>
          </cell>
          <cell r="H4">
            <v>200417.5998044078</v>
          </cell>
          <cell r="I4">
            <v>204957.64730536833</v>
          </cell>
          <cell r="J4">
            <v>208429.34581397788</v>
          </cell>
          <cell r="K4">
            <v>211315.9462645202</v>
          </cell>
          <cell r="L4">
            <v>213646.21217469987</v>
          </cell>
          <cell r="M4">
            <v>215626.03804451777</v>
          </cell>
        </row>
        <row r="5">
          <cell r="D5">
            <v>1493200</v>
          </cell>
          <cell r="E5">
            <v>1657378.4639027626</v>
          </cell>
          <cell r="F5">
            <v>1779208.4803185361</v>
          </cell>
          <cell r="G5">
            <v>1877413.0697495723</v>
          </cell>
          <cell r="H5">
            <v>1968055.4364150744</v>
          </cell>
          <cell r="I5">
            <v>2049049.4498969652</v>
          </cell>
          <cell r="J5">
            <v>2123472.1525619086</v>
          </cell>
          <cell r="K5">
            <v>2193546.6575697772</v>
          </cell>
          <cell r="L5">
            <v>2259222.0470752073</v>
          </cell>
          <cell r="M5">
            <v>2322368.166869136</v>
          </cell>
        </row>
        <row r="6">
          <cell r="D6">
            <v>424600</v>
          </cell>
          <cell r="E6">
            <v>465214.60305263521</v>
          </cell>
          <cell r="F6">
            <v>490369.40379309142</v>
          </cell>
          <cell r="G6">
            <v>509947.73846529983</v>
          </cell>
          <cell r="H6">
            <v>526565.39415319054</v>
          </cell>
          <cell r="I6">
            <v>539912.52837833122</v>
          </cell>
          <cell r="J6">
            <v>550898.65879640949</v>
          </cell>
          <cell r="K6">
            <v>560141.05292459682</v>
          </cell>
          <cell r="L6">
            <v>567683.95084338856</v>
          </cell>
          <cell r="M6">
            <v>574048.07355348067</v>
          </cell>
        </row>
        <row r="7">
          <cell r="D7">
            <v>279700</v>
          </cell>
          <cell r="E7">
            <v>301872.10017114319</v>
          </cell>
          <cell r="F7">
            <v>315346.56840487581</v>
          </cell>
          <cell r="G7">
            <v>325525.55970800878</v>
          </cell>
          <cell r="H7">
            <v>333697.83102231845</v>
          </cell>
          <cell r="I7">
            <v>339596.01131640526</v>
          </cell>
          <cell r="J7">
            <v>343966.97286158358</v>
          </cell>
          <cell r="K7">
            <v>347156.44062817976</v>
          </cell>
          <cell r="L7">
            <v>349215.38596491166</v>
          </cell>
          <cell r="M7">
            <v>350484.83398531139</v>
          </cell>
        </row>
        <row r="8">
          <cell r="D8">
            <v>47000</v>
          </cell>
          <cell r="E8">
            <v>48500</v>
          </cell>
          <cell r="F8">
            <v>49400</v>
          </cell>
          <cell r="G8">
            <v>50000</v>
          </cell>
          <cell r="H8">
            <v>50300</v>
          </cell>
          <cell r="I8">
            <v>50200</v>
          </cell>
          <cell r="J8">
            <v>49900</v>
          </cell>
          <cell r="K8">
            <v>49431.663701127458</v>
          </cell>
          <cell r="L8">
            <v>48811.850271600131</v>
          </cell>
          <cell r="M8">
            <v>48096.224053239421</v>
          </cell>
        </row>
        <row r="9">
          <cell r="D9">
            <v>158000</v>
          </cell>
          <cell r="E9">
            <v>169233.22273060668</v>
          </cell>
          <cell r="F9">
            <v>176691.16691697808</v>
          </cell>
          <cell r="G9">
            <v>182435.56285145471</v>
          </cell>
          <cell r="H9">
            <v>187091.51618874643</v>
          </cell>
          <cell r="I9">
            <v>190651.8703503196</v>
          </cell>
          <cell r="J9">
            <v>193574.68128951138</v>
          </cell>
          <cell r="K9">
            <v>195988.45255466783</v>
          </cell>
          <cell r="L9">
            <v>197922.97763326025</v>
          </cell>
          <cell r="M9">
            <v>199571.06941746542</v>
          </cell>
        </row>
        <row r="10">
          <cell r="D10">
            <v>113600</v>
          </cell>
          <cell r="E10">
            <v>122777.20303167895</v>
          </cell>
          <cell r="F10">
            <v>129267.7831720862</v>
          </cell>
          <cell r="G10">
            <v>134438.48625615591</v>
          </cell>
          <cell r="H10">
            <v>139018.72096678425</v>
          </cell>
          <cell r="I10">
            <v>142900.77189060807</v>
          </cell>
          <cell r="J10">
            <v>146343.51926233803</v>
          </cell>
          <cell r="K10">
            <v>149419.08180062534</v>
          </cell>
          <cell r="L10">
            <v>152138.92844993039</v>
          </cell>
          <cell r="M10">
            <v>154641.86265847328</v>
          </cell>
        </row>
        <row r="11">
          <cell r="D11">
            <v>231200</v>
          </cell>
          <cell r="E11">
            <v>244980.88784883521</v>
          </cell>
          <cell r="F11">
            <v>252693.64325381583</v>
          </cell>
          <cell r="G11">
            <v>258285.26073137508</v>
          </cell>
          <cell r="H11">
            <v>262253.99741538893</v>
          </cell>
          <cell r="I11">
            <v>264583.19653522404</v>
          </cell>
          <cell r="J11">
            <v>265644.92682756454</v>
          </cell>
          <cell r="K11">
            <v>265939.64051175449</v>
          </cell>
          <cell r="L11">
            <v>265535.70869954414</v>
          </cell>
          <cell r="M11">
            <v>264715.80752770253</v>
          </cell>
        </row>
        <row r="12">
          <cell r="D12">
            <v>486700</v>
          </cell>
          <cell r="E12">
            <v>528942.28982571338</v>
          </cell>
          <cell r="F12">
            <v>559013.1885019734</v>
          </cell>
          <cell r="G12">
            <v>583458.0524606196</v>
          </cell>
          <cell r="H12">
            <v>604990.16799972067</v>
          </cell>
          <cell r="I12">
            <v>623192.22521043615</v>
          </cell>
          <cell r="J12">
            <v>638979.75620830571</v>
          </cell>
          <cell r="K12">
            <v>653070.63597965206</v>
          </cell>
          <cell r="L12">
            <v>665505.154659261</v>
          </cell>
          <cell r="M12">
            <v>676883.32803142606</v>
          </cell>
        </row>
        <row r="13">
          <cell r="D13">
            <v>142200</v>
          </cell>
          <cell r="E13">
            <v>149100</v>
          </cell>
          <cell r="F13">
            <v>153600</v>
          </cell>
          <cell r="G13">
            <v>157000</v>
          </cell>
          <cell r="H13">
            <v>159400</v>
          </cell>
          <cell r="I13">
            <v>160700</v>
          </cell>
          <cell r="J13">
            <v>161000</v>
          </cell>
          <cell r="K13">
            <v>160754.89583405922</v>
          </cell>
          <cell r="L13">
            <v>160006.7871768855</v>
          </cell>
          <cell r="M13">
            <v>158927.40643210392</v>
          </cell>
        </row>
        <row r="14">
          <cell r="D14">
            <v>33000</v>
          </cell>
          <cell r="E14">
            <v>32500</v>
          </cell>
          <cell r="F14">
            <v>32500</v>
          </cell>
          <cell r="G14">
            <v>32300</v>
          </cell>
          <cell r="H14">
            <v>31900</v>
          </cell>
          <cell r="I14">
            <v>31300</v>
          </cell>
          <cell r="J14">
            <v>30600</v>
          </cell>
          <cell r="K14">
            <v>29813.047284347907</v>
          </cell>
          <cell r="L14">
            <v>28953.873470953382</v>
          </cell>
          <cell r="M14">
            <v>28059.029410232182</v>
          </cell>
        </row>
        <row r="15">
          <cell r="D15">
            <v>562900</v>
          </cell>
          <cell r="E15">
            <v>631919.43348119175</v>
          </cell>
          <cell r="F15">
            <v>680422.54549264791</v>
          </cell>
          <cell r="G15">
            <v>718981.94614229328</v>
          </cell>
          <cell r="H15">
            <v>754334.86081520026</v>
          </cell>
          <cell r="I15">
            <v>786182.94855226856</v>
          </cell>
          <cell r="J15">
            <v>815461.26226817095</v>
          </cell>
          <cell r="K15">
            <v>843000.10167011863</v>
          </cell>
          <cell r="L15">
            <v>868766.74519193312</v>
          </cell>
          <cell r="M15">
            <v>893469.12381984561</v>
          </cell>
        </row>
        <row r="16">
          <cell r="D16">
            <v>208800</v>
          </cell>
          <cell r="E16">
            <v>233878.9179560616</v>
          </cell>
          <cell r="F16">
            <v>251155.26876462577</v>
          </cell>
          <cell r="G16">
            <v>264077.60120149492</v>
          </cell>
          <cell r="H16">
            <v>275774.475219168</v>
          </cell>
          <cell r="I16">
            <v>285973.35056407389</v>
          </cell>
          <cell r="J16">
            <v>295228.72411023016</v>
          </cell>
          <cell r="K16">
            <v>303748.54765372648</v>
          </cell>
          <cell r="L16">
            <v>311531.69016251812</v>
          </cell>
          <cell r="M16">
            <v>318841.80974484415</v>
          </cell>
        </row>
        <row r="17">
          <cell r="D17">
            <v>96000</v>
          </cell>
          <cell r="E17">
            <v>99200</v>
          </cell>
          <cell r="F17">
            <v>100100</v>
          </cell>
          <cell r="G17">
            <v>100600</v>
          </cell>
          <cell r="H17">
            <v>100600</v>
          </cell>
          <cell r="I17">
            <v>100000</v>
          </cell>
          <cell r="J17">
            <v>99000</v>
          </cell>
          <cell r="K17">
            <v>97673.835622846746</v>
          </cell>
          <cell r="L17">
            <v>96058.688225904029</v>
          </cell>
          <cell r="M17">
            <v>94267.226452221803</v>
          </cell>
        </row>
        <row r="18">
          <cell r="D18">
            <v>4441600</v>
          </cell>
          <cell r="E18">
            <v>4863900</v>
          </cell>
          <cell r="F18">
            <v>5157300</v>
          </cell>
          <cell r="G18">
            <v>5389100</v>
          </cell>
          <cell r="H18">
            <v>5594399.9999999991</v>
          </cell>
          <cell r="I18">
            <v>5769200</v>
          </cell>
          <cell r="J18">
            <v>5922499.9999999991</v>
          </cell>
          <cell r="K18">
            <v>6061000.0000000009</v>
          </cell>
          <cell r="L18">
            <v>6184999.9999999991</v>
          </cell>
          <cell r="M18">
            <v>6300000.0000000009</v>
          </cell>
        </row>
      </sheetData>
      <sheetData sheetId="2"/>
      <sheetData sheetId="3"/>
      <sheetData sheetId="4"/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0.1</v>
          </cell>
          <cell r="L6">
            <v>0.2</v>
          </cell>
          <cell r="M6">
            <v>0.3</v>
          </cell>
          <cell r="N6">
            <v>0.4</v>
          </cell>
          <cell r="O6">
            <v>0.5</v>
          </cell>
          <cell r="P6">
            <v>0.6</v>
          </cell>
          <cell r="Q6">
            <v>0.7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</v>
          </cell>
          <cell r="L7">
            <v>0.2</v>
          </cell>
          <cell r="M7">
            <v>0.3</v>
          </cell>
          <cell r="N7">
            <v>0.4</v>
          </cell>
          <cell r="O7">
            <v>0.5</v>
          </cell>
          <cell r="P7">
            <v>0.6</v>
          </cell>
          <cell r="Q7">
            <v>0.7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</v>
          </cell>
          <cell r="L8">
            <v>0.2</v>
          </cell>
          <cell r="M8">
            <v>0.3</v>
          </cell>
          <cell r="N8">
            <v>0.4</v>
          </cell>
          <cell r="O8">
            <v>0.5</v>
          </cell>
          <cell r="P8">
            <v>0.6</v>
          </cell>
          <cell r="Q8">
            <v>0.7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</v>
          </cell>
          <cell r="L9">
            <v>0.2</v>
          </cell>
          <cell r="M9">
            <v>0.3</v>
          </cell>
          <cell r="N9">
            <v>0.4</v>
          </cell>
          <cell r="O9">
            <v>0.5</v>
          </cell>
          <cell r="P9">
            <v>0.6</v>
          </cell>
          <cell r="Q9">
            <v>0.7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</v>
          </cell>
          <cell r="L10">
            <v>0.2</v>
          </cell>
          <cell r="M10">
            <v>0.3</v>
          </cell>
          <cell r="N10">
            <v>0.4</v>
          </cell>
          <cell r="O10">
            <v>0.5</v>
          </cell>
          <cell r="P10">
            <v>0.6</v>
          </cell>
          <cell r="Q10">
            <v>0.7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</v>
          </cell>
          <cell r="L11">
            <v>0.2</v>
          </cell>
          <cell r="M11">
            <v>0.3</v>
          </cell>
          <cell r="N11">
            <v>0.4</v>
          </cell>
          <cell r="O11">
            <v>0.5</v>
          </cell>
          <cell r="P11">
            <v>0.6</v>
          </cell>
          <cell r="Q11">
            <v>0.7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</v>
          </cell>
          <cell r="L12">
            <v>0.2</v>
          </cell>
          <cell r="M12">
            <v>0.3</v>
          </cell>
          <cell r="N12">
            <v>0.4</v>
          </cell>
          <cell r="O12">
            <v>0.5</v>
          </cell>
          <cell r="P12">
            <v>0.6</v>
          </cell>
          <cell r="Q12">
            <v>0.7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</v>
          </cell>
          <cell r="L13">
            <v>0.2</v>
          </cell>
          <cell r="M13">
            <v>0.3</v>
          </cell>
          <cell r="N13">
            <v>0.4</v>
          </cell>
          <cell r="O13">
            <v>0.5</v>
          </cell>
          <cell r="P13">
            <v>0.6</v>
          </cell>
          <cell r="Q13">
            <v>0.7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0.1</v>
          </cell>
          <cell r="L14">
            <v>0.2</v>
          </cell>
          <cell r="M14">
            <v>0.3</v>
          </cell>
          <cell r="N14">
            <v>0.4</v>
          </cell>
          <cell r="O14">
            <v>0.5</v>
          </cell>
          <cell r="P14">
            <v>0.6</v>
          </cell>
          <cell r="Q14">
            <v>0.7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0.1</v>
          </cell>
          <cell r="L15">
            <v>0.2</v>
          </cell>
          <cell r="M15">
            <v>0.3</v>
          </cell>
          <cell r="N15">
            <v>0.4</v>
          </cell>
          <cell r="O15">
            <v>0.5</v>
          </cell>
          <cell r="P15">
            <v>0.6</v>
          </cell>
          <cell r="Q15">
            <v>0.7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0.1</v>
          </cell>
          <cell r="L16">
            <v>0.2</v>
          </cell>
          <cell r="M16">
            <v>0.3</v>
          </cell>
          <cell r="N16">
            <v>0.4</v>
          </cell>
          <cell r="O16">
            <v>0.5</v>
          </cell>
          <cell r="P16">
            <v>0.6</v>
          </cell>
          <cell r="Q16">
            <v>0.7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0.1</v>
          </cell>
          <cell r="L17">
            <v>0.2</v>
          </cell>
          <cell r="M17">
            <v>0.3</v>
          </cell>
          <cell r="N17">
            <v>0.4</v>
          </cell>
          <cell r="O17">
            <v>0.5</v>
          </cell>
          <cell r="P17">
            <v>0.6</v>
          </cell>
          <cell r="Q17">
            <v>0.7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0.1</v>
          </cell>
          <cell r="L18">
            <v>0.2</v>
          </cell>
          <cell r="M18">
            <v>0.3</v>
          </cell>
          <cell r="N18">
            <v>0.4</v>
          </cell>
          <cell r="O18">
            <v>0.5</v>
          </cell>
          <cell r="P18">
            <v>0.6</v>
          </cell>
          <cell r="Q18">
            <v>0.7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</v>
          </cell>
          <cell r="L19">
            <v>0.2</v>
          </cell>
          <cell r="M19">
            <v>0.3</v>
          </cell>
          <cell r="N19">
            <v>0.4</v>
          </cell>
          <cell r="O19">
            <v>0.5</v>
          </cell>
          <cell r="P19">
            <v>0.6</v>
          </cell>
          <cell r="Q19">
            <v>0.7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1"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p_summary_region"/>
      <sheetName val="trip_summary_region metro 20161"/>
    </sheetNames>
    <sheetDataSet>
      <sheetData sheetId="0">
        <row r="1">
          <cell r="A1" t="str">
            <v>region_NS</v>
          </cell>
          <cell r="B1" t="str">
            <v>outmode</v>
          </cell>
          <cell r="C1" t="str">
            <v>Year</v>
          </cell>
          <cell r="D1" t="str">
            <v>sampeopler</v>
          </cell>
          <cell r="E1" t="str">
            <v>samcountr</v>
          </cell>
          <cell r="F1" t="str">
            <v>tottripr</v>
          </cell>
          <cell r="G1" t="str">
            <v>totdistr</v>
          </cell>
          <cell r="H1" t="str">
            <v>totdurationr</v>
          </cell>
          <cell r="I1" t="str">
            <v>modename</v>
          </cell>
          <cell r="J1" t="str">
            <v>yearname</v>
          </cell>
        </row>
        <row r="2">
          <cell r="A2" t="str">
            <v>01 NORTHLAND</v>
          </cell>
          <cell r="B2">
            <v>0</v>
          </cell>
          <cell r="C2">
            <v>2013</v>
          </cell>
          <cell r="D2">
            <v>259</v>
          </cell>
          <cell r="E2">
            <v>844</v>
          </cell>
          <cell r="F2">
            <v>23.706864376999999</v>
          </cell>
          <cell r="G2">
            <v>17.849116999</v>
          </cell>
          <cell r="H2">
            <v>5.0772161771000004</v>
          </cell>
          <cell r="I2" t="str">
            <v>Pedestrian</v>
          </cell>
          <cell r="J2" t="str">
            <v>2012/13</v>
          </cell>
        </row>
        <row r="3">
          <cell r="A3" t="str">
            <v>01 NORTHLAND</v>
          </cell>
          <cell r="B3">
            <v>0</v>
          </cell>
          <cell r="C3">
            <v>2018</v>
          </cell>
          <cell r="D3">
            <v>259</v>
          </cell>
          <cell r="E3">
            <v>844</v>
          </cell>
          <cell r="F3">
            <v>24.204158259</v>
          </cell>
          <cell r="G3">
            <v>18.032544703999999</v>
          </cell>
          <cell r="H3">
            <v>5.1366717068999996</v>
          </cell>
          <cell r="I3" t="str">
            <v>Pedestrian</v>
          </cell>
          <cell r="J3" t="str">
            <v>2017/18</v>
          </cell>
        </row>
        <row r="4">
          <cell r="A4" t="str">
            <v>01 NORTHLAND</v>
          </cell>
          <cell r="B4">
            <v>0</v>
          </cell>
          <cell r="C4">
            <v>2023</v>
          </cell>
          <cell r="D4">
            <v>259</v>
          </cell>
          <cell r="E4">
            <v>844</v>
          </cell>
          <cell r="F4">
            <v>24.432664984999999</v>
          </cell>
          <cell r="G4">
            <v>17.969776123999999</v>
          </cell>
          <cell r="H4">
            <v>5.1331206324999998</v>
          </cell>
          <cell r="I4" t="str">
            <v>Pedestrian</v>
          </cell>
          <cell r="J4" t="str">
            <v>2022/23</v>
          </cell>
        </row>
        <row r="5">
          <cell r="A5" t="str">
            <v>01 NORTHLAND</v>
          </cell>
          <cell r="B5">
            <v>0</v>
          </cell>
          <cell r="C5">
            <v>2028</v>
          </cell>
          <cell r="D5">
            <v>259</v>
          </cell>
          <cell r="E5">
            <v>844</v>
          </cell>
          <cell r="F5">
            <v>24.530438723</v>
          </cell>
          <cell r="G5">
            <v>17.847356708</v>
          </cell>
          <cell r="H5">
            <v>5.0875962971000002</v>
          </cell>
          <cell r="I5" t="str">
            <v>Pedestrian</v>
          </cell>
          <cell r="J5" t="str">
            <v>2027/28</v>
          </cell>
        </row>
        <row r="6">
          <cell r="A6" t="str">
            <v>01 NORTHLAND</v>
          </cell>
          <cell r="B6">
            <v>0</v>
          </cell>
          <cell r="C6">
            <v>2033</v>
          </cell>
          <cell r="D6">
            <v>259</v>
          </cell>
          <cell r="E6">
            <v>844</v>
          </cell>
          <cell r="F6">
            <v>24.360605504999999</v>
          </cell>
          <cell r="G6">
            <v>17.407911568999999</v>
          </cell>
          <cell r="H6">
            <v>4.9752177157000004</v>
          </cell>
          <cell r="I6" t="str">
            <v>Pedestrian</v>
          </cell>
          <cell r="J6" t="str">
            <v>2032/33</v>
          </cell>
        </row>
        <row r="7">
          <cell r="A7" t="str">
            <v>01 NORTHLAND</v>
          </cell>
          <cell r="B7">
            <v>0</v>
          </cell>
          <cell r="C7">
            <v>2038</v>
          </cell>
          <cell r="D7">
            <v>259</v>
          </cell>
          <cell r="E7">
            <v>844</v>
          </cell>
          <cell r="F7">
            <v>23.96272797</v>
          </cell>
          <cell r="G7">
            <v>16.757316444000001</v>
          </cell>
          <cell r="H7">
            <v>4.8028862178000002</v>
          </cell>
          <cell r="I7" t="str">
            <v>Pedestrian</v>
          </cell>
          <cell r="J7" t="str">
            <v>2037/38</v>
          </cell>
        </row>
        <row r="8">
          <cell r="A8" t="str">
            <v>01 NORTHLAND</v>
          </cell>
          <cell r="B8">
            <v>0</v>
          </cell>
          <cell r="C8">
            <v>2043</v>
          </cell>
          <cell r="D8">
            <v>259</v>
          </cell>
          <cell r="E8">
            <v>844</v>
          </cell>
          <cell r="F8">
            <v>23.474969459</v>
          </cell>
          <cell r="G8">
            <v>16.057189291</v>
          </cell>
          <cell r="H8">
            <v>4.6108281109</v>
          </cell>
          <cell r="I8" t="str">
            <v>Pedestrian</v>
          </cell>
          <cell r="J8" t="str">
            <v>2042/43</v>
          </cell>
        </row>
        <row r="9">
          <cell r="A9" t="str">
            <v>01 NORTHLAND</v>
          </cell>
          <cell r="B9">
            <v>1</v>
          </cell>
          <cell r="C9">
            <v>2013</v>
          </cell>
          <cell r="D9">
            <v>5</v>
          </cell>
          <cell r="E9">
            <v>19</v>
          </cell>
          <cell r="F9">
            <v>0.66592947719999995</v>
          </cell>
          <cell r="G9">
            <v>1.0072239942000001</v>
          </cell>
          <cell r="H9">
            <v>0.15772883609999999</v>
          </cell>
          <cell r="I9" t="str">
            <v>Cyclist</v>
          </cell>
          <cell r="J9" t="str">
            <v>2012/13</v>
          </cell>
        </row>
        <row r="10">
          <cell r="A10" t="str">
            <v>01 NORTHLAND</v>
          </cell>
          <cell r="B10">
            <v>1</v>
          </cell>
          <cell r="C10">
            <v>2018</v>
          </cell>
          <cell r="D10">
            <v>5</v>
          </cell>
          <cell r="E10">
            <v>19</v>
          </cell>
          <cell r="F10">
            <v>0.62665387790000004</v>
          </cell>
          <cell r="G10">
            <v>0.95920884959999997</v>
          </cell>
          <cell r="H10">
            <v>0.14998056870000001</v>
          </cell>
          <cell r="I10" t="str">
            <v>Cyclist</v>
          </cell>
          <cell r="J10" t="str">
            <v>2017/18</v>
          </cell>
        </row>
        <row r="11">
          <cell r="A11" t="str">
            <v>01 NORTHLAND</v>
          </cell>
          <cell r="B11">
            <v>1</v>
          </cell>
          <cell r="C11">
            <v>2023</v>
          </cell>
          <cell r="D11">
            <v>5</v>
          </cell>
          <cell r="E11">
            <v>19</v>
          </cell>
          <cell r="F11">
            <v>0.63783943210000005</v>
          </cell>
          <cell r="G11">
            <v>0.98617074579999997</v>
          </cell>
          <cell r="H11">
            <v>0.1543567381</v>
          </cell>
          <cell r="I11" t="str">
            <v>Cyclist</v>
          </cell>
          <cell r="J11" t="str">
            <v>2022/23</v>
          </cell>
        </row>
        <row r="12">
          <cell r="A12" t="str">
            <v>01 NORTHLAND</v>
          </cell>
          <cell r="B12">
            <v>1</v>
          </cell>
          <cell r="C12">
            <v>2028</v>
          </cell>
          <cell r="D12">
            <v>5</v>
          </cell>
          <cell r="E12">
            <v>19</v>
          </cell>
          <cell r="F12">
            <v>0.62394237320000001</v>
          </cell>
          <cell r="G12">
            <v>0.97209749619999997</v>
          </cell>
          <cell r="H12">
            <v>0.1526580649</v>
          </cell>
          <cell r="I12" t="str">
            <v>Cyclist</v>
          </cell>
          <cell r="J12" t="str">
            <v>2027/28</v>
          </cell>
        </row>
        <row r="13">
          <cell r="A13" t="str">
            <v>01 NORTHLAND</v>
          </cell>
          <cell r="B13">
            <v>1</v>
          </cell>
          <cell r="C13">
            <v>2033</v>
          </cell>
          <cell r="D13">
            <v>5</v>
          </cell>
          <cell r="E13">
            <v>19</v>
          </cell>
          <cell r="F13">
            <v>0.58590263580000002</v>
          </cell>
          <cell r="G13">
            <v>0.91888916399999998</v>
          </cell>
          <cell r="H13">
            <v>0.1446068908</v>
          </cell>
          <cell r="I13" t="str">
            <v>Cyclist</v>
          </cell>
          <cell r="J13" t="str">
            <v>2032/33</v>
          </cell>
        </row>
        <row r="14">
          <cell r="A14" t="str">
            <v>01 NORTHLAND</v>
          </cell>
          <cell r="B14">
            <v>1</v>
          </cell>
          <cell r="C14">
            <v>2038</v>
          </cell>
          <cell r="D14">
            <v>5</v>
          </cell>
          <cell r="E14">
            <v>19</v>
          </cell>
          <cell r="F14">
            <v>0.49134130259999997</v>
          </cell>
          <cell r="G14">
            <v>0.77524979869999999</v>
          </cell>
          <cell r="H14">
            <v>0.121956184</v>
          </cell>
          <cell r="I14" t="str">
            <v>Cyclist</v>
          </cell>
          <cell r="J14" t="str">
            <v>2037/38</v>
          </cell>
        </row>
        <row r="15">
          <cell r="A15" t="str">
            <v>01 NORTHLAND</v>
          </cell>
          <cell r="B15">
            <v>1</v>
          </cell>
          <cell r="C15">
            <v>2043</v>
          </cell>
          <cell r="D15">
            <v>5</v>
          </cell>
          <cell r="E15">
            <v>19</v>
          </cell>
          <cell r="F15">
            <v>0.40361572159999998</v>
          </cell>
          <cell r="G15">
            <v>0.64077790940000001</v>
          </cell>
          <cell r="H15">
            <v>0.1007832583</v>
          </cell>
          <cell r="I15" t="str">
            <v>Cyclist</v>
          </cell>
          <cell r="J15" t="str">
            <v>2042/43</v>
          </cell>
        </row>
        <row r="16">
          <cell r="A16" t="str">
            <v>01 NORTHLAND</v>
          </cell>
          <cell r="B16">
            <v>2</v>
          </cell>
          <cell r="C16">
            <v>2013</v>
          </cell>
          <cell r="D16">
            <v>476</v>
          </cell>
          <cell r="E16">
            <v>2980</v>
          </cell>
          <cell r="F16">
            <v>86.333691700000003</v>
          </cell>
          <cell r="G16">
            <v>1011.4273062</v>
          </cell>
          <cell r="H16">
            <v>23.421840091</v>
          </cell>
          <cell r="I16" t="str">
            <v>Light Vehicle Driver</v>
          </cell>
          <cell r="J16" t="str">
            <v>2012/13</v>
          </cell>
        </row>
        <row r="17">
          <cell r="A17" t="str">
            <v>01 NORTHLAND</v>
          </cell>
          <cell r="B17">
            <v>2</v>
          </cell>
          <cell r="C17">
            <v>2018</v>
          </cell>
          <cell r="D17">
            <v>476</v>
          </cell>
          <cell r="E17">
            <v>2980</v>
          </cell>
          <cell r="F17">
            <v>90.810339967999994</v>
          </cell>
          <cell r="G17">
            <v>1072.2253321999999</v>
          </cell>
          <cell r="H17">
            <v>24.805095076000001</v>
          </cell>
          <cell r="I17" t="str">
            <v>Light Vehicle Driver</v>
          </cell>
          <cell r="J17" t="str">
            <v>2017/18</v>
          </cell>
        </row>
        <row r="18">
          <cell r="A18" t="str">
            <v>01 NORTHLAND</v>
          </cell>
          <cell r="B18">
            <v>2</v>
          </cell>
          <cell r="C18">
            <v>2023</v>
          </cell>
          <cell r="D18">
            <v>476</v>
          </cell>
          <cell r="E18">
            <v>2980</v>
          </cell>
          <cell r="F18">
            <v>93.502987924999999</v>
          </cell>
          <cell r="G18">
            <v>1105.3844257999999</v>
          </cell>
          <cell r="H18">
            <v>25.537103938000001</v>
          </cell>
          <cell r="I18" t="str">
            <v>Light Vehicle Driver</v>
          </cell>
          <cell r="J18" t="str">
            <v>2022/23</v>
          </cell>
        </row>
        <row r="19">
          <cell r="A19" t="str">
            <v>01 NORTHLAND</v>
          </cell>
          <cell r="B19">
            <v>2</v>
          </cell>
          <cell r="C19">
            <v>2028</v>
          </cell>
          <cell r="D19">
            <v>476</v>
          </cell>
          <cell r="E19">
            <v>2980</v>
          </cell>
          <cell r="F19">
            <v>97.395297670000005</v>
          </cell>
          <cell r="G19">
            <v>1146.9551033</v>
          </cell>
          <cell r="H19">
            <v>26.428384068</v>
          </cell>
          <cell r="I19" t="str">
            <v>Light Vehicle Driver</v>
          </cell>
          <cell r="J19" t="str">
            <v>2027/28</v>
          </cell>
        </row>
        <row r="20">
          <cell r="A20" t="str">
            <v>01 NORTHLAND</v>
          </cell>
          <cell r="B20">
            <v>2</v>
          </cell>
          <cell r="C20">
            <v>2033</v>
          </cell>
          <cell r="D20">
            <v>476</v>
          </cell>
          <cell r="E20">
            <v>2980</v>
          </cell>
          <cell r="F20">
            <v>100.71381083</v>
          </cell>
          <cell r="G20">
            <v>1185.7144410999999</v>
          </cell>
          <cell r="H20">
            <v>27.296708428999999</v>
          </cell>
          <cell r="I20" t="str">
            <v>Light Vehicle Driver</v>
          </cell>
          <cell r="J20" t="str">
            <v>2032/33</v>
          </cell>
        </row>
        <row r="21">
          <cell r="A21" t="str">
            <v>01 NORTHLAND</v>
          </cell>
          <cell r="B21">
            <v>2</v>
          </cell>
          <cell r="C21">
            <v>2038</v>
          </cell>
          <cell r="D21">
            <v>476</v>
          </cell>
          <cell r="E21">
            <v>2980</v>
          </cell>
          <cell r="F21">
            <v>102.07565332999999</v>
          </cell>
          <cell r="G21">
            <v>1208.7882614</v>
          </cell>
          <cell r="H21">
            <v>27.810402643</v>
          </cell>
          <cell r="I21" t="str">
            <v>Light Vehicle Driver</v>
          </cell>
          <cell r="J21" t="str">
            <v>2037/38</v>
          </cell>
        </row>
        <row r="22">
          <cell r="A22" t="str">
            <v>01 NORTHLAND</v>
          </cell>
          <cell r="B22">
            <v>2</v>
          </cell>
          <cell r="C22">
            <v>2043</v>
          </cell>
          <cell r="D22">
            <v>476</v>
          </cell>
          <cell r="E22">
            <v>2980</v>
          </cell>
          <cell r="F22">
            <v>103.08701818999999</v>
          </cell>
          <cell r="G22">
            <v>1226.7759963999999</v>
          </cell>
          <cell r="H22">
            <v>28.196575898999999</v>
          </cell>
          <cell r="I22" t="str">
            <v>Light Vehicle Driver</v>
          </cell>
          <cell r="J22" t="str">
            <v>2042/43</v>
          </cell>
        </row>
        <row r="23">
          <cell r="A23" t="str">
            <v>01 NORTHLAND</v>
          </cell>
          <cell r="B23">
            <v>3</v>
          </cell>
          <cell r="C23">
            <v>2013</v>
          </cell>
          <cell r="D23">
            <v>380</v>
          </cell>
          <cell r="E23">
            <v>1743</v>
          </cell>
          <cell r="F23">
            <v>50.299563868</v>
          </cell>
          <cell r="G23">
            <v>666.23785996000004</v>
          </cell>
          <cell r="H23">
            <v>15.174949781</v>
          </cell>
          <cell r="I23" t="str">
            <v>Light Vehicle Passenger</v>
          </cell>
          <cell r="J23" t="str">
            <v>2012/13</v>
          </cell>
        </row>
        <row r="24">
          <cell r="A24" t="str">
            <v>01 NORTHLAND</v>
          </cell>
          <cell r="B24">
            <v>3</v>
          </cell>
          <cell r="C24">
            <v>2018</v>
          </cell>
          <cell r="D24">
            <v>380</v>
          </cell>
          <cell r="E24">
            <v>1743</v>
          </cell>
          <cell r="F24">
            <v>50.294252911000001</v>
          </cell>
          <cell r="G24">
            <v>679.52550068999994</v>
          </cell>
          <cell r="H24">
            <v>15.404934486</v>
          </cell>
          <cell r="I24" t="str">
            <v>Light Vehicle Passenger</v>
          </cell>
          <cell r="J24" t="str">
            <v>2017/18</v>
          </cell>
        </row>
        <row r="25">
          <cell r="A25" t="str">
            <v>01 NORTHLAND</v>
          </cell>
          <cell r="B25">
            <v>3</v>
          </cell>
          <cell r="C25">
            <v>2023</v>
          </cell>
          <cell r="D25">
            <v>380</v>
          </cell>
          <cell r="E25">
            <v>1743</v>
          </cell>
          <cell r="F25">
            <v>50.043539699999997</v>
          </cell>
          <cell r="G25">
            <v>685.33432728000002</v>
          </cell>
          <cell r="H25">
            <v>15.467226911999999</v>
          </cell>
          <cell r="I25" t="str">
            <v>Light Vehicle Passenger</v>
          </cell>
          <cell r="J25" t="str">
            <v>2022/23</v>
          </cell>
        </row>
        <row r="26">
          <cell r="A26" t="str">
            <v>01 NORTHLAND</v>
          </cell>
          <cell r="B26">
            <v>3</v>
          </cell>
          <cell r="C26">
            <v>2028</v>
          </cell>
          <cell r="D26">
            <v>380</v>
          </cell>
          <cell r="E26">
            <v>1743</v>
          </cell>
          <cell r="F26">
            <v>50.358372277000001</v>
          </cell>
          <cell r="G26">
            <v>699.07251783000004</v>
          </cell>
          <cell r="H26">
            <v>15.657848668</v>
          </cell>
          <cell r="I26" t="str">
            <v>Light Vehicle Passenger</v>
          </cell>
          <cell r="J26" t="str">
            <v>2027/28</v>
          </cell>
        </row>
        <row r="27">
          <cell r="A27" t="str">
            <v>01 NORTHLAND</v>
          </cell>
          <cell r="B27">
            <v>3</v>
          </cell>
          <cell r="C27">
            <v>2033</v>
          </cell>
          <cell r="D27">
            <v>380</v>
          </cell>
          <cell r="E27">
            <v>1743</v>
          </cell>
          <cell r="F27">
            <v>50.774381144000003</v>
          </cell>
          <cell r="G27">
            <v>708.60279621999996</v>
          </cell>
          <cell r="H27">
            <v>15.799028680999999</v>
          </cell>
          <cell r="I27" t="str">
            <v>Light Vehicle Passenger</v>
          </cell>
          <cell r="J27" t="str">
            <v>2032/33</v>
          </cell>
        </row>
        <row r="28">
          <cell r="A28" t="str">
            <v>01 NORTHLAND</v>
          </cell>
          <cell r="B28">
            <v>3</v>
          </cell>
          <cell r="C28">
            <v>2038</v>
          </cell>
          <cell r="D28">
            <v>380</v>
          </cell>
          <cell r="E28">
            <v>1743</v>
          </cell>
          <cell r="F28">
            <v>50.467069518999999</v>
          </cell>
          <cell r="G28">
            <v>714.65398909999999</v>
          </cell>
          <cell r="H28">
            <v>15.822855904000001</v>
          </cell>
          <cell r="I28" t="str">
            <v>Light Vehicle Passenger</v>
          </cell>
          <cell r="J28" t="str">
            <v>2037/38</v>
          </cell>
        </row>
        <row r="29">
          <cell r="A29" t="str">
            <v>01 NORTHLAND</v>
          </cell>
          <cell r="B29">
            <v>3</v>
          </cell>
          <cell r="C29">
            <v>2043</v>
          </cell>
          <cell r="D29">
            <v>380</v>
          </cell>
          <cell r="E29">
            <v>1743</v>
          </cell>
          <cell r="F29">
            <v>50.028677604999999</v>
          </cell>
          <cell r="G29">
            <v>718.34429895999995</v>
          </cell>
          <cell r="H29">
            <v>15.793590046</v>
          </cell>
          <cell r="I29" t="str">
            <v>Light Vehicle Passenger</v>
          </cell>
          <cell r="J29" t="str">
            <v>2042/43</v>
          </cell>
        </row>
        <row r="30">
          <cell r="A30" t="str">
            <v>01 NORTHLAND</v>
          </cell>
          <cell r="B30">
            <v>4</v>
          </cell>
          <cell r="C30">
            <v>2013</v>
          </cell>
          <cell r="D30">
            <v>4</v>
          </cell>
          <cell r="E30">
            <v>6</v>
          </cell>
          <cell r="F30">
            <v>0.18126348840000001</v>
          </cell>
          <cell r="G30">
            <v>0.75976041549999995</v>
          </cell>
          <cell r="H30">
            <v>2.5131369800000001E-2</v>
          </cell>
          <cell r="J30" t="str">
            <v>2012/13</v>
          </cell>
        </row>
        <row r="31">
          <cell r="A31" t="str">
            <v>01 NORTHLAND</v>
          </cell>
          <cell r="B31">
            <v>4</v>
          </cell>
          <cell r="C31">
            <v>2018</v>
          </cell>
          <cell r="D31">
            <v>4</v>
          </cell>
          <cell r="E31">
            <v>6</v>
          </cell>
          <cell r="F31">
            <v>0.1834144895</v>
          </cell>
          <cell r="G31">
            <v>0.78198399110000005</v>
          </cell>
          <cell r="H31">
            <v>2.5206432899999999E-2</v>
          </cell>
          <cell r="J31" t="str">
            <v>2017/18</v>
          </cell>
        </row>
        <row r="32">
          <cell r="A32" t="str">
            <v>01 NORTHLAND</v>
          </cell>
          <cell r="B32">
            <v>4</v>
          </cell>
          <cell r="C32">
            <v>2023</v>
          </cell>
          <cell r="D32">
            <v>4</v>
          </cell>
          <cell r="E32">
            <v>6</v>
          </cell>
          <cell r="F32">
            <v>0.1890964852</v>
          </cell>
          <cell r="G32">
            <v>0.86476589940000004</v>
          </cell>
          <cell r="H32">
            <v>2.65194121E-2</v>
          </cell>
          <cell r="J32" t="str">
            <v>2022/23</v>
          </cell>
        </row>
        <row r="33">
          <cell r="A33" t="str">
            <v>01 NORTHLAND</v>
          </cell>
          <cell r="B33">
            <v>4</v>
          </cell>
          <cell r="C33">
            <v>2028</v>
          </cell>
          <cell r="D33">
            <v>4</v>
          </cell>
          <cell r="E33">
            <v>6</v>
          </cell>
          <cell r="F33">
            <v>0.2019608722</v>
          </cell>
          <cell r="G33">
            <v>1.0293937885</v>
          </cell>
          <cell r="H33">
            <v>2.95729744E-2</v>
          </cell>
          <cell r="J33" t="str">
            <v>2027/28</v>
          </cell>
        </row>
        <row r="34">
          <cell r="A34" t="str">
            <v>01 NORTHLAND</v>
          </cell>
          <cell r="B34">
            <v>4</v>
          </cell>
          <cell r="C34">
            <v>2033</v>
          </cell>
          <cell r="D34">
            <v>4</v>
          </cell>
          <cell r="E34">
            <v>6</v>
          </cell>
          <cell r="F34">
            <v>0.200151469</v>
          </cell>
          <cell r="G34">
            <v>1.1494157753000001</v>
          </cell>
          <cell r="H34">
            <v>3.0875840099999999E-2</v>
          </cell>
          <cell r="J34" t="str">
            <v>2032/33</v>
          </cell>
        </row>
        <row r="35">
          <cell r="A35" t="str">
            <v>01 NORTHLAND</v>
          </cell>
          <cell r="B35">
            <v>4</v>
          </cell>
          <cell r="C35">
            <v>2038</v>
          </cell>
          <cell r="D35">
            <v>4</v>
          </cell>
          <cell r="E35">
            <v>6</v>
          </cell>
          <cell r="F35">
            <v>0.19181391510000001</v>
          </cell>
          <cell r="G35">
            <v>1.1589046382999999</v>
          </cell>
          <cell r="H35">
            <v>3.0098517200000001E-2</v>
          </cell>
          <cell r="J35" t="str">
            <v>2037/38</v>
          </cell>
        </row>
        <row r="36">
          <cell r="A36" t="str">
            <v>01 NORTHLAND</v>
          </cell>
          <cell r="B36">
            <v>4</v>
          </cell>
          <cell r="C36">
            <v>2043</v>
          </cell>
          <cell r="D36">
            <v>4</v>
          </cell>
          <cell r="E36">
            <v>6</v>
          </cell>
          <cell r="F36">
            <v>0.18271819580000001</v>
          </cell>
          <cell r="G36">
            <v>1.1584447639</v>
          </cell>
          <cell r="H36">
            <v>2.9121961700000001E-2</v>
          </cell>
          <cell r="J36" t="str">
            <v>2042/43</v>
          </cell>
        </row>
        <row r="37">
          <cell r="A37" t="str">
            <v>01 NORTHLAND</v>
          </cell>
          <cell r="B37">
            <v>5</v>
          </cell>
          <cell r="C37">
            <v>2013</v>
          </cell>
          <cell r="D37">
            <v>5</v>
          </cell>
          <cell r="E37">
            <v>28</v>
          </cell>
          <cell r="F37">
            <v>1.4141085707000001</v>
          </cell>
          <cell r="G37">
            <v>9.2423909657000003</v>
          </cell>
          <cell r="H37">
            <v>0.28382488960000002</v>
          </cell>
          <cell r="I37" t="str">
            <v>Motorcyclist</v>
          </cell>
          <cell r="J37" t="str">
            <v>2012/13</v>
          </cell>
        </row>
        <row r="38">
          <cell r="A38" t="str">
            <v>01 NORTHLAND</v>
          </cell>
          <cell r="B38">
            <v>5</v>
          </cell>
          <cell r="C38">
            <v>2018</v>
          </cell>
          <cell r="D38">
            <v>5</v>
          </cell>
          <cell r="E38">
            <v>28</v>
          </cell>
          <cell r="F38">
            <v>1.4332547929999999</v>
          </cell>
          <cell r="G38">
            <v>9.7002967839000007</v>
          </cell>
          <cell r="H38">
            <v>0.29572600589999998</v>
          </cell>
          <cell r="I38" t="str">
            <v>Motorcyclist</v>
          </cell>
          <cell r="J38" t="str">
            <v>2017/18</v>
          </cell>
        </row>
        <row r="39">
          <cell r="A39" t="str">
            <v>01 NORTHLAND</v>
          </cell>
          <cell r="B39">
            <v>5</v>
          </cell>
          <cell r="C39">
            <v>2023</v>
          </cell>
          <cell r="D39">
            <v>5</v>
          </cell>
          <cell r="E39">
            <v>28</v>
          </cell>
          <cell r="F39">
            <v>1.3872448195</v>
          </cell>
          <cell r="G39">
            <v>9.5856546256000001</v>
          </cell>
          <cell r="H39">
            <v>0.29168247580000001</v>
          </cell>
          <cell r="I39" t="str">
            <v>Motorcyclist</v>
          </cell>
          <cell r="J39" t="str">
            <v>2022/23</v>
          </cell>
        </row>
        <row r="40">
          <cell r="A40" t="str">
            <v>01 NORTHLAND</v>
          </cell>
          <cell r="B40">
            <v>5</v>
          </cell>
          <cell r="C40">
            <v>2028</v>
          </cell>
          <cell r="D40">
            <v>5</v>
          </cell>
          <cell r="E40">
            <v>28</v>
          </cell>
          <cell r="F40">
            <v>1.316323508</v>
          </cell>
          <cell r="G40">
            <v>9.4499772945</v>
          </cell>
          <cell r="H40">
            <v>0.2839886566</v>
          </cell>
          <cell r="I40" t="str">
            <v>Motorcyclist</v>
          </cell>
          <cell r="J40" t="str">
            <v>2027/28</v>
          </cell>
        </row>
        <row r="41">
          <cell r="A41" t="str">
            <v>01 NORTHLAND</v>
          </cell>
          <cell r="B41">
            <v>5</v>
          </cell>
          <cell r="C41">
            <v>2033</v>
          </cell>
          <cell r="D41">
            <v>5</v>
          </cell>
          <cell r="E41">
            <v>28</v>
          </cell>
          <cell r="F41">
            <v>1.3004489078000001</v>
          </cell>
          <cell r="G41">
            <v>9.4937218836999993</v>
          </cell>
          <cell r="H41">
            <v>0.28305456089999997</v>
          </cell>
          <cell r="I41" t="str">
            <v>Motorcyclist</v>
          </cell>
          <cell r="J41" t="str">
            <v>2032/33</v>
          </cell>
        </row>
        <row r="42">
          <cell r="A42" t="str">
            <v>01 NORTHLAND</v>
          </cell>
          <cell r="B42">
            <v>5</v>
          </cell>
          <cell r="C42">
            <v>2038</v>
          </cell>
          <cell r="D42">
            <v>5</v>
          </cell>
          <cell r="E42">
            <v>28</v>
          </cell>
          <cell r="F42">
            <v>1.328254144</v>
          </cell>
          <cell r="G42">
            <v>9.7473099071</v>
          </cell>
          <cell r="H42">
            <v>0.28946466040000002</v>
          </cell>
          <cell r="I42" t="str">
            <v>Motorcyclist</v>
          </cell>
          <cell r="J42" t="str">
            <v>2037/38</v>
          </cell>
        </row>
        <row r="43">
          <cell r="A43" t="str">
            <v>01 NORTHLAND</v>
          </cell>
          <cell r="B43">
            <v>5</v>
          </cell>
          <cell r="C43">
            <v>2043</v>
          </cell>
          <cell r="D43">
            <v>5</v>
          </cell>
          <cell r="E43">
            <v>28</v>
          </cell>
          <cell r="F43">
            <v>1.3387908873000001</v>
          </cell>
          <cell r="G43">
            <v>9.8358111036999993</v>
          </cell>
          <cell r="H43">
            <v>0.2917350132</v>
          </cell>
          <cell r="I43" t="str">
            <v>Motorcyclist</v>
          </cell>
          <cell r="J43" t="str">
            <v>2042/43</v>
          </cell>
        </row>
        <row r="44">
          <cell r="A44" t="str">
            <v>01 NORTHLAND</v>
          </cell>
          <cell r="B44">
            <v>7</v>
          </cell>
          <cell r="C44">
            <v>2013</v>
          </cell>
          <cell r="D44">
            <v>50</v>
          </cell>
          <cell r="E44">
            <v>135</v>
          </cell>
          <cell r="F44">
            <v>3.6339219343</v>
          </cell>
          <cell r="G44">
            <v>44.734594063999999</v>
          </cell>
          <cell r="H44">
            <v>1.5691203781</v>
          </cell>
          <cell r="I44" t="str">
            <v>Local Bus</v>
          </cell>
          <cell r="J44" t="str">
            <v>2012/13</v>
          </cell>
        </row>
        <row r="45">
          <cell r="A45" t="str">
            <v>01 NORTHLAND</v>
          </cell>
          <cell r="B45">
            <v>7</v>
          </cell>
          <cell r="C45">
            <v>2018</v>
          </cell>
          <cell r="D45">
            <v>50</v>
          </cell>
          <cell r="E45">
            <v>135</v>
          </cell>
          <cell r="F45">
            <v>3.310483209</v>
          </cell>
          <cell r="G45">
            <v>39.941067166000003</v>
          </cell>
          <cell r="H45">
            <v>1.4279936769999999</v>
          </cell>
          <cell r="I45" t="str">
            <v>Local Bus</v>
          </cell>
          <cell r="J45" t="str">
            <v>2017/18</v>
          </cell>
        </row>
        <row r="46">
          <cell r="A46" t="str">
            <v>01 NORTHLAND</v>
          </cell>
          <cell r="B46">
            <v>7</v>
          </cell>
          <cell r="C46">
            <v>2023</v>
          </cell>
          <cell r="D46">
            <v>50</v>
          </cell>
          <cell r="E46">
            <v>135</v>
          </cell>
          <cell r="F46">
            <v>3.1063782566999998</v>
          </cell>
          <cell r="G46">
            <v>37.020023074000001</v>
          </cell>
          <cell r="H46">
            <v>1.3358259884000001</v>
          </cell>
          <cell r="I46" t="str">
            <v>Local Bus</v>
          </cell>
          <cell r="J46" t="str">
            <v>2022/23</v>
          </cell>
        </row>
        <row r="47">
          <cell r="A47" t="str">
            <v>01 NORTHLAND</v>
          </cell>
          <cell r="B47">
            <v>7</v>
          </cell>
          <cell r="C47">
            <v>2028</v>
          </cell>
          <cell r="D47">
            <v>50</v>
          </cell>
          <cell r="E47">
            <v>135</v>
          </cell>
          <cell r="F47">
            <v>2.9265171552</v>
          </cell>
          <cell r="G47">
            <v>35.153467608</v>
          </cell>
          <cell r="H47">
            <v>1.2512532846</v>
          </cell>
          <cell r="I47" t="str">
            <v>Local Bus</v>
          </cell>
          <cell r="J47" t="str">
            <v>2027/28</v>
          </cell>
        </row>
        <row r="48">
          <cell r="A48" t="str">
            <v>01 NORTHLAND</v>
          </cell>
          <cell r="B48">
            <v>7</v>
          </cell>
          <cell r="C48">
            <v>2033</v>
          </cell>
          <cell r="D48">
            <v>50</v>
          </cell>
          <cell r="E48">
            <v>135</v>
          </cell>
          <cell r="F48">
            <v>2.7482612411999998</v>
          </cell>
          <cell r="G48">
            <v>33.119119822000002</v>
          </cell>
          <cell r="H48">
            <v>1.1680337102</v>
          </cell>
          <cell r="I48" t="str">
            <v>Local Bus</v>
          </cell>
          <cell r="J48" t="str">
            <v>2032/33</v>
          </cell>
        </row>
        <row r="49">
          <cell r="A49" t="str">
            <v>01 NORTHLAND</v>
          </cell>
          <cell r="B49">
            <v>7</v>
          </cell>
          <cell r="C49">
            <v>2038</v>
          </cell>
          <cell r="D49">
            <v>50</v>
          </cell>
          <cell r="E49">
            <v>135</v>
          </cell>
          <cell r="F49">
            <v>2.5839824382000001</v>
          </cell>
          <cell r="G49">
            <v>31.470100347999999</v>
          </cell>
          <cell r="H49">
            <v>1.0951688941</v>
          </cell>
          <cell r="I49" t="str">
            <v>Local Bus</v>
          </cell>
          <cell r="J49" t="str">
            <v>2037/38</v>
          </cell>
        </row>
        <row r="50">
          <cell r="A50" t="str">
            <v>01 NORTHLAND</v>
          </cell>
          <cell r="B50">
            <v>7</v>
          </cell>
          <cell r="C50">
            <v>2043</v>
          </cell>
          <cell r="D50">
            <v>50</v>
          </cell>
          <cell r="E50">
            <v>135</v>
          </cell>
          <cell r="F50">
            <v>2.4115093731999999</v>
          </cell>
          <cell r="G50">
            <v>29.699513847999999</v>
          </cell>
          <cell r="H50">
            <v>1.0189326635</v>
          </cell>
          <cell r="I50" t="str">
            <v>Local Bus</v>
          </cell>
          <cell r="J50" t="str">
            <v>2042/43</v>
          </cell>
        </row>
        <row r="51">
          <cell r="A51" t="str">
            <v>01 NORTHLAND</v>
          </cell>
          <cell r="B51">
            <v>8</v>
          </cell>
          <cell r="C51">
            <v>2013</v>
          </cell>
          <cell r="D51">
            <v>2</v>
          </cell>
          <cell r="E51">
            <v>3</v>
          </cell>
          <cell r="F51">
            <v>4.69171767E-2</v>
          </cell>
          <cell r="G51">
            <v>0</v>
          </cell>
          <cell r="H51">
            <v>1.43058123E-2</v>
          </cell>
          <cell r="I51" t="str">
            <v>Local Ferry</v>
          </cell>
          <cell r="J51" t="str">
            <v>2012/13</v>
          </cell>
        </row>
        <row r="52">
          <cell r="A52" t="str">
            <v>01 NORTHLAND</v>
          </cell>
          <cell r="B52">
            <v>8</v>
          </cell>
          <cell r="C52">
            <v>2018</v>
          </cell>
          <cell r="D52">
            <v>2</v>
          </cell>
          <cell r="E52">
            <v>3</v>
          </cell>
          <cell r="F52">
            <v>5.1946996199999998E-2</v>
          </cell>
          <cell r="G52">
            <v>0</v>
          </cell>
          <cell r="H52">
            <v>1.49288728E-2</v>
          </cell>
          <cell r="I52" t="str">
            <v>Local Ferry</v>
          </cell>
          <cell r="J52" t="str">
            <v>2017/18</v>
          </cell>
        </row>
        <row r="53">
          <cell r="A53" t="str">
            <v>01 NORTHLAND</v>
          </cell>
          <cell r="B53">
            <v>8</v>
          </cell>
          <cell r="C53">
            <v>2023</v>
          </cell>
          <cell r="D53">
            <v>2</v>
          </cell>
          <cell r="E53">
            <v>3</v>
          </cell>
          <cell r="F53">
            <v>5.3720908099999999E-2</v>
          </cell>
          <cell r="G53">
            <v>0</v>
          </cell>
          <cell r="H53">
            <v>1.47405991E-2</v>
          </cell>
          <cell r="I53" t="str">
            <v>Local Ferry</v>
          </cell>
          <cell r="J53" t="str">
            <v>2022/23</v>
          </cell>
        </row>
        <row r="54">
          <cell r="A54" t="str">
            <v>01 NORTHLAND</v>
          </cell>
          <cell r="B54">
            <v>8</v>
          </cell>
          <cell r="C54">
            <v>2028</v>
          </cell>
          <cell r="D54">
            <v>2</v>
          </cell>
          <cell r="E54">
            <v>3</v>
          </cell>
          <cell r="F54">
            <v>5.6809892600000002E-2</v>
          </cell>
          <cell r="G54">
            <v>0</v>
          </cell>
          <cell r="H54">
            <v>1.4722521800000001E-2</v>
          </cell>
          <cell r="I54" t="str">
            <v>Local Ferry</v>
          </cell>
          <cell r="J54" t="str">
            <v>2027/28</v>
          </cell>
        </row>
        <row r="55">
          <cell r="A55" t="str">
            <v>01 NORTHLAND</v>
          </cell>
          <cell r="B55">
            <v>8</v>
          </cell>
          <cell r="C55">
            <v>2033</v>
          </cell>
          <cell r="D55">
            <v>2</v>
          </cell>
          <cell r="E55">
            <v>3</v>
          </cell>
          <cell r="F55">
            <v>5.6740333599999998E-2</v>
          </cell>
          <cell r="G55">
            <v>0</v>
          </cell>
          <cell r="H55">
            <v>1.4104986200000001E-2</v>
          </cell>
          <cell r="I55" t="str">
            <v>Local Ferry</v>
          </cell>
          <cell r="J55" t="str">
            <v>2032/33</v>
          </cell>
        </row>
        <row r="56">
          <cell r="A56" t="str">
            <v>01 NORTHLAND</v>
          </cell>
          <cell r="B56">
            <v>8</v>
          </cell>
          <cell r="C56">
            <v>2038</v>
          </cell>
          <cell r="D56">
            <v>2</v>
          </cell>
          <cell r="E56">
            <v>3</v>
          </cell>
          <cell r="F56">
            <v>5.3961887100000001E-2</v>
          </cell>
          <cell r="G56">
            <v>0</v>
          </cell>
          <cell r="H56">
            <v>1.30236156E-2</v>
          </cell>
          <cell r="I56" t="str">
            <v>Local Ferry</v>
          </cell>
          <cell r="J56" t="str">
            <v>2037/38</v>
          </cell>
        </row>
        <row r="57">
          <cell r="A57" t="str">
            <v>01 NORTHLAND</v>
          </cell>
          <cell r="B57">
            <v>8</v>
          </cell>
          <cell r="C57">
            <v>2043</v>
          </cell>
          <cell r="D57">
            <v>2</v>
          </cell>
          <cell r="E57">
            <v>3</v>
          </cell>
          <cell r="F57">
            <v>5.0894163399999998E-2</v>
          </cell>
          <cell r="G57">
            <v>0</v>
          </cell>
          <cell r="H57">
            <v>1.19629123E-2</v>
          </cell>
          <cell r="I57" t="str">
            <v>Local Ferry</v>
          </cell>
          <cell r="J57" t="str">
            <v>2042/43</v>
          </cell>
        </row>
        <row r="58">
          <cell r="A58" t="str">
            <v>01 NORTHLAND</v>
          </cell>
          <cell r="B58">
            <v>9</v>
          </cell>
          <cell r="C58">
            <v>2013</v>
          </cell>
          <cell r="D58">
            <v>2</v>
          </cell>
          <cell r="E58">
            <v>3</v>
          </cell>
          <cell r="F58">
            <v>0.1184310407</v>
          </cell>
          <cell r="G58">
            <v>0</v>
          </cell>
          <cell r="H58">
            <v>0</v>
          </cell>
          <cell r="I58" t="str">
            <v>Other Household Travel</v>
          </cell>
          <cell r="J58" t="str">
            <v>2012/13</v>
          </cell>
        </row>
        <row r="59">
          <cell r="A59" t="str">
            <v>01 NORTHLAND</v>
          </cell>
          <cell r="B59">
            <v>9</v>
          </cell>
          <cell r="C59">
            <v>2018</v>
          </cell>
          <cell r="D59">
            <v>2</v>
          </cell>
          <cell r="E59">
            <v>3</v>
          </cell>
          <cell r="F59">
            <v>0.12676171920000001</v>
          </cell>
          <cell r="G59">
            <v>0</v>
          </cell>
          <cell r="H59">
            <v>0</v>
          </cell>
          <cell r="I59" t="str">
            <v>Other Household Travel</v>
          </cell>
          <cell r="J59" t="str">
            <v>2017/18</v>
          </cell>
        </row>
        <row r="60">
          <cell r="A60" t="str">
            <v>01 NORTHLAND</v>
          </cell>
          <cell r="B60">
            <v>9</v>
          </cell>
          <cell r="C60">
            <v>2023</v>
          </cell>
          <cell r="D60">
            <v>2</v>
          </cell>
          <cell r="E60">
            <v>3</v>
          </cell>
          <cell r="F60">
            <v>0.1266621684</v>
          </cell>
          <cell r="G60">
            <v>0</v>
          </cell>
          <cell r="H60">
            <v>0</v>
          </cell>
          <cell r="I60" t="str">
            <v>Other Household Travel</v>
          </cell>
          <cell r="J60" t="str">
            <v>2022/23</v>
          </cell>
        </row>
        <row r="61">
          <cell r="A61" t="str">
            <v>01 NORTHLAND</v>
          </cell>
          <cell r="B61">
            <v>9</v>
          </cell>
          <cell r="C61">
            <v>2028</v>
          </cell>
          <cell r="D61">
            <v>2</v>
          </cell>
          <cell r="E61">
            <v>3</v>
          </cell>
          <cell r="F61">
            <v>0.12554221930000001</v>
          </cell>
          <cell r="G61">
            <v>0</v>
          </cell>
          <cell r="H61">
            <v>0</v>
          </cell>
          <cell r="I61" t="str">
            <v>Other Household Travel</v>
          </cell>
          <cell r="J61" t="str">
            <v>2027/28</v>
          </cell>
        </row>
        <row r="62">
          <cell r="A62" t="str">
            <v>01 NORTHLAND</v>
          </cell>
          <cell r="B62">
            <v>9</v>
          </cell>
          <cell r="C62">
            <v>2033</v>
          </cell>
          <cell r="D62">
            <v>2</v>
          </cell>
          <cell r="E62">
            <v>3</v>
          </cell>
          <cell r="F62">
            <v>0.1234636118</v>
          </cell>
          <cell r="G62">
            <v>0</v>
          </cell>
          <cell r="H62">
            <v>0</v>
          </cell>
          <cell r="I62" t="str">
            <v>Other Household Travel</v>
          </cell>
          <cell r="J62" t="str">
            <v>2032/33</v>
          </cell>
        </row>
        <row r="63">
          <cell r="A63" t="str">
            <v>01 NORTHLAND</v>
          </cell>
          <cell r="B63">
            <v>9</v>
          </cell>
          <cell r="C63">
            <v>2038</v>
          </cell>
          <cell r="D63">
            <v>2</v>
          </cell>
          <cell r="E63">
            <v>3</v>
          </cell>
          <cell r="F63">
            <v>0.1206569901</v>
          </cell>
          <cell r="G63">
            <v>0</v>
          </cell>
          <cell r="H63">
            <v>0</v>
          </cell>
          <cell r="I63" t="str">
            <v>Other Household Travel</v>
          </cell>
          <cell r="J63" t="str">
            <v>2037/38</v>
          </cell>
        </row>
        <row r="64">
          <cell r="A64" t="str">
            <v>01 NORTHLAND</v>
          </cell>
          <cell r="B64">
            <v>9</v>
          </cell>
          <cell r="C64">
            <v>2043</v>
          </cell>
          <cell r="D64">
            <v>2</v>
          </cell>
          <cell r="E64">
            <v>3</v>
          </cell>
          <cell r="F64">
            <v>0.11669127379999999</v>
          </cell>
          <cell r="G64">
            <v>0</v>
          </cell>
          <cell r="H64">
            <v>0</v>
          </cell>
          <cell r="I64" t="str">
            <v>Other Household Travel</v>
          </cell>
          <cell r="J64" t="str">
            <v>2042/43</v>
          </cell>
        </row>
        <row r="65">
          <cell r="A65" t="str">
            <v>01 NORTHLAND</v>
          </cell>
          <cell r="B65">
            <v>10</v>
          </cell>
          <cell r="C65">
            <v>2013</v>
          </cell>
          <cell r="D65">
            <v>5</v>
          </cell>
          <cell r="E65">
            <v>8</v>
          </cell>
          <cell r="F65">
            <v>0.226285661</v>
          </cell>
          <cell r="G65">
            <v>0</v>
          </cell>
          <cell r="H65">
            <v>0.25491621720000002</v>
          </cell>
          <cell r="I65" t="str">
            <v>Air/Non-Local PT</v>
          </cell>
          <cell r="J65" t="str">
            <v>2012/13</v>
          </cell>
        </row>
        <row r="66">
          <cell r="A66" t="str">
            <v>01 NORTHLAND</v>
          </cell>
          <cell r="B66">
            <v>10</v>
          </cell>
          <cell r="C66">
            <v>2018</v>
          </cell>
          <cell r="D66">
            <v>5</v>
          </cell>
          <cell r="E66">
            <v>8</v>
          </cell>
          <cell r="F66">
            <v>0.2482538118</v>
          </cell>
          <cell r="G66">
            <v>0</v>
          </cell>
          <cell r="H66">
            <v>0.291929834</v>
          </cell>
          <cell r="I66" t="str">
            <v>Air/Non-Local PT</v>
          </cell>
          <cell r="J66" t="str">
            <v>2017/18</v>
          </cell>
        </row>
        <row r="67">
          <cell r="A67" t="str">
            <v>01 NORTHLAND</v>
          </cell>
          <cell r="B67">
            <v>10</v>
          </cell>
          <cell r="C67">
            <v>2023</v>
          </cell>
          <cell r="D67">
            <v>5</v>
          </cell>
          <cell r="E67">
            <v>8</v>
          </cell>
          <cell r="F67">
            <v>0.27348784329999998</v>
          </cell>
          <cell r="G67">
            <v>0</v>
          </cell>
          <cell r="H67">
            <v>0.32459716770000002</v>
          </cell>
          <cell r="I67" t="str">
            <v>Air/Non-Local PT</v>
          </cell>
          <cell r="J67" t="str">
            <v>2022/23</v>
          </cell>
        </row>
        <row r="68">
          <cell r="A68" t="str">
            <v>01 NORTHLAND</v>
          </cell>
          <cell r="B68">
            <v>10</v>
          </cell>
          <cell r="C68">
            <v>2028</v>
          </cell>
          <cell r="D68">
            <v>5</v>
          </cell>
          <cell r="E68">
            <v>8</v>
          </cell>
          <cell r="F68">
            <v>0.31843596190000001</v>
          </cell>
          <cell r="G68">
            <v>0</v>
          </cell>
          <cell r="H68">
            <v>0.37769996519999999</v>
          </cell>
          <cell r="I68" t="str">
            <v>Air/Non-Local PT</v>
          </cell>
          <cell r="J68" t="str">
            <v>2027/28</v>
          </cell>
        </row>
        <row r="69">
          <cell r="A69" t="str">
            <v>01 NORTHLAND</v>
          </cell>
          <cell r="B69">
            <v>10</v>
          </cell>
          <cell r="C69">
            <v>2033</v>
          </cell>
          <cell r="D69">
            <v>5</v>
          </cell>
          <cell r="E69">
            <v>8</v>
          </cell>
          <cell r="F69">
            <v>0.34610509639999998</v>
          </cell>
          <cell r="G69">
            <v>0</v>
          </cell>
          <cell r="H69">
            <v>0.40879713270000001</v>
          </cell>
          <cell r="I69" t="str">
            <v>Air/Non-Local PT</v>
          </cell>
          <cell r="J69" t="str">
            <v>2032/33</v>
          </cell>
        </row>
        <row r="70">
          <cell r="A70" t="str">
            <v>01 NORTHLAND</v>
          </cell>
          <cell r="B70">
            <v>10</v>
          </cell>
          <cell r="C70">
            <v>2038</v>
          </cell>
          <cell r="D70">
            <v>5</v>
          </cell>
          <cell r="E70">
            <v>8</v>
          </cell>
          <cell r="F70">
            <v>0.34472573200000001</v>
          </cell>
          <cell r="G70">
            <v>0</v>
          </cell>
          <cell r="H70">
            <v>0.4085259336</v>
          </cell>
          <cell r="I70" t="str">
            <v>Air/Non-Local PT</v>
          </cell>
          <cell r="J70" t="str">
            <v>2037/38</v>
          </cell>
        </row>
        <row r="71">
          <cell r="A71" t="str">
            <v>01 NORTHLAND</v>
          </cell>
          <cell r="B71">
            <v>10</v>
          </cell>
          <cell r="C71">
            <v>2043</v>
          </cell>
          <cell r="D71">
            <v>5</v>
          </cell>
          <cell r="E71">
            <v>8</v>
          </cell>
          <cell r="F71">
            <v>0.3394369921</v>
          </cell>
          <cell r="G71">
            <v>0</v>
          </cell>
          <cell r="H71">
            <v>0.4034511428</v>
          </cell>
          <cell r="I71" t="str">
            <v>Air/Non-Local PT</v>
          </cell>
          <cell r="J71" t="str">
            <v>2042/43</v>
          </cell>
        </row>
        <row r="72">
          <cell r="A72" t="str">
            <v>01 NORTHLAND</v>
          </cell>
          <cell r="B72">
            <v>11</v>
          </cell>
          <cell r="C72">
            <v>2013</v>
          </cell>
          <cell r="D72">
            <v>13</v>
          </cell>
          <cell r="E72">
            <v>59</v>
          </cell>
          <cell r="F72">
            <v>2.0613233212000002</v>
          </cell>
          <cell r="G72">
            <v>34.810730239000002</v>
          </cell>
          <cell r="H72">
            <v>0.70164482120000005</v>
          </cell>
          <cell r="I72" t="str">
            <v>Non-Household Travel</v>
          </cell>
          <cell r="J72" t="str">
            <v>2012/13</v>
          </cell>
        </row>
        <row r="73">
          <cell r="A73" t="str">
            <v>01 NORTHLAND</v>
          </cell>
          <cell r="B73">
            <v>11</v>
          </cell>
          <cell r="C73">
            <v>2018</v>
          </cell>
          <cell r="D73">
            <v>13</v>
          </cell>
          <cell r="E73">
            <v>59</v>
          </cell>
          <cell r="F73">
            <v>2.1087922689999998</v>
          </cell>
          <cell r="G73">
            <v>33.821159747999999</v>
          </cell>
          <cell r="H73">
            <v>0.69923907669999996</v>
          </cell>
          <cell r="I73" t="str">
            <v>Non-Household Travel</v>
          </cell>
          <cell r="J73" t="str">
            <v>2017/18</v>
          </cell>
        </row>
        <row r="74">
          <cell r="A74" t="str">
            <v>01 NORTHLAND</v>
          </cell>
          <cell r="B74">
            <v>11</v>
          </cell>
          <cell r="C74">
            <v>2023</v>
          </cell>
          <cell r="D74">
            <v>13</v>
          </cell>
          <cell r="E74">
            <v>59</v>
          </cell>
          <cell r="F74">
            <v>2.2429852858000001</v>
          </cell>
          <cell r="G74">
            <v>34.808776491000003</v>
          </cell>
          <cell r="H74">
            <v>0.73545862220000002</v>
          </cell>
          <cell r="I74" t="str">
            <v>Non-Household Travel</v>
          </cell>
          <cell r="J74" t="str">
            <v>2022/23</v>
          </cell>
        </row>
        <row r="75">
          <cell r="A75" t="str">
            <v>01 NORTHLAND</v>
          </cell>
          <cell r="B75">
            <v>11</v>
          </cell>
          <cell r="C75">
            <v>2028</v>
          </cell>
          <cell r="D75">
            <v>13</v>
          </cell>
          <cell r="E75">
            <v>59</v>
          </cell>
          <cell r="F75">
            <v>2.5076186951000001</v>
          </cell>
          <cell r="G75">
            <v>38.644338615000002</v>
          </cell>
          <cell r="H75">
            <v>0.82729450810000005</v>
          </cell>
          <cell r="I75" t="str">
            <v>Non-Household Travel</v>
          </cell>
          <cell r="J75" t="str">
            <v>2027/28</v>
          </cell>
        </row>
        <row r="76">
          <cell r="A76" t="str">
            <v>01 NORTHLAND</v>
          </cell>
          <cell r="B76">
            <v>11</v>
          </cell>
          <cell r="C76">
            <v>2033</v>
          </cell>
          <cell r="D76">
            <v>13</v>
          </cell>
          <cell r="E76">
            <v>59</v>
          </cell>
          <cell r="F76">
            <v>2.7211312747999998</v>
          </cell>
          <cell r="G76">
            <v>41.719259923000003</v>
          </cell>
          <cell r="H76">
            <v>0.90069304709999998</v>
          </cell>
          <cell r="I76" t="str">
            <v>Non-Household Travel</v>
          </cell>
          <cell r="J76" t="str">
            <v>2032/33</v>
          </cell>
        </row>
        <row r="77">
          <cell r="A77" t="str">
            <v>01 NORTHLAND</v>
          </cell>
          <cell r="B77">
            <v>11</v>
          </cell>
          <cell r="C77">
            <v>2038</v>
          </cell>
          <cell r="D77">
            <v>13</v>
          </cell>
          <cell r="E77">
            <v>59</v>
          </cell>
          <cell r="F77">
            <v>2.7105833736</v>
          </cell>
          <cell r="G77">
            <v>41.470486458000003</v>
          </cell>
          <cell r="H77">
            <v>0.89807640919999998</v>
          </cell>
          <cell r="I77" t="str">
            <v>Non-Household Travel</v>
          </cell>
          <cell r="J77" t="str">
            <v>2037/38</v>
          </cell>
        </row>
        <row r="78">
          <cell r="A78" t="str">
            <v>01 NORTHLAND</v>
          </cell>
          <cell r="B78">
            <v>11</v>
          </cell>
          <cell r="C78">
            <v>2043</v>
          </cell>
          <cell r="D78">
            <v>13</v>
          </cell>
          <cell r="E78">
            <v>59</v>
          </cell>
          <cell r="F78">
            <v>2.6788612354999999</v>
          </cell>
          <cell r="G78">
            <v>40.899926184999998</v>
          </cell>
          <cell r="H78">
            <v>0.88820776869999996</v>
          </cell>
          <cell r="I78" t="str">
            <v>Non-Household Travel</v>
          </cell>
          <cell r="J78" t="str">
            <v>2042/43</v>
          </cell>
        </row>
        <row r="79">
          <cell r="A79" t="str">
            <v>02 AUCKLAND</v>
          </cell>
          <cell r="B79">
            <v>0</v>
          </cell>
          <cell r="C79">
            <v>2013</v>
          </cell>
          <cell r="D79">
            <v>1541</v>
          </cell>
          <cell r="E79">
            <v>5702</v>
          </cell>
          <cell r="F79">
            <v>324.81096006000001</v>
          </cell>
          <cell r="G79">
            <v>294.55939388000002</v>
          </cell>
          <cell r="H79">
            <v>73.381071999</v>
          </cell>
          <cell r="I79" t="str">
            <v>Pedestrian</v>
          </cell>
          <cell r="J79" t="str">
            <v>2012/13</v>
          </cell>
        </row>
        <row r="80">
          <cell r="A80" t="str">
            <v>02 AUCKLAND</v>
          </cell>
          <cell r="B80">
            <v>0</v>
          </cell>
          <cell r="C80">
            <v>2018</v>
          </cell>
          <cell r="D80">
            <v>1541</v>
          </cell>
          <cell r="E80">
            <v>5702</v>
          </cell>
          <cell r="F80">
            <v>344.36546155000002</v>
          </cell>
          <cell r="G80">
            <v>311.51424893000001</v>
          </cell>
          <cell r="H80">
            <v>77.572461533999999</v>
          </cell>
          <cell r="I80" t="str">
            <v>Pedestrian</v>
          </cell>
          <cell r="J80" t="str">
            <v>2017/18</v>
          </cell>
        </row>
        <row r="81">
          <cell r="A81" t="str">
            <v>02 AUCKLAND</v>
          </cell>
          <cell r="B81">
            <v>0</v>
          </cell>
          <cell r="C81">
            <v>2023</v>
          </cell>
          <cell r="D81">
            <v>1541</v>
          </cell>
          <cell r="E81">
            <v>5702</v>
          </cell>
          <cell r="F81">
            <v>356.66226705999998</v>
          </cell>
          <cell r="G81">
            <v>321.19773973000002</v>
          </cell>
          <cell r="H81">
            <v>80.122141310999993</v>
          </cell>
          <cell r="I81" t="str">
            <v>Pedestrian</v>
          </cell>
          <cell r="J81" t="str">
            <v>2022/23</v>
          </cell>
        </row>
        <row r="82">
          <cell r="A82" t="str">
            <v>02 AUCKLAND</v>
          </cell>
          <cell r="B82">
            <v>0</v>
          </cell>
          <cell r="C82">
            <v>2028</v>
          </cell>
          <cell r="D82">
            <v>1541</v>
          </cell>
          <cell r="E82">
            <v>5702</v>
          </cell>
          <cell r="F82">
            <v>364.36465414000003</v>
          </cell>
          <cell r="G82">
            <v>326.32615634000001</v>
          </cell>
          <cell r="H82">
            <v>81.803245849999996</v>
          </cell>
          <cell r="I82" t="str">
            <v>Pedestrian</v>
          </cell>
          <cell r="J82" t="str">
            <v>2027/28</v>
          </cell>
        </row>
        <row r="83">
          <cell r="A83" t="str">
            <v>02 AUCKLAND</v>
          </cell>
          <cell r="B83">
            <v>0</v>
          </cell>
          <cell r="C83">
            <v>2033</v>
          </cell>
          <cell r="D83">
            <v>1541</v>
          </cell>
          <cell r="E83">
            <v>5702</v>
          </cell>
          <cell r="F83">
            <v>369.17903816</v>
          </cell>
          <cell r="G83">
            <v>328.97262988</v>
          </cell>
          <cell r="H83">
            <v>82.870065775</v>
          </cell>
          <cell r="I83" t="str">
            <v>Pedestrian</v>
          </cell>
          <cell r="J83" t="str">
            <v>2032/33</v>
          </cell>
        </row>
        <row r="84">
          <cell r="A84" t="str">
            <v>02 AUCKLAND</v>
          </cell>
          <cell r="B84">
            <v>0</v>
          </cell>
          <cell r="C84">
            <v>2038</v>
          </cell>
          <cell r="D84">
            <v>1541</v>
          </cell>
          <cell r="E84">
            <v>5702</v>
          </cell>
          <cell r="F84">
            <v>372.36319698</v>
          </cell>
          <cell r="G84">
            <v>331.35353219000001</v>
          </cell>
          <cell r="H84">
            <v>83.833278840999995</v>
          </cell>
          <cell r="I84" t="str">
            <v>Pedestrian</v>
          </cell>
          <cell r="J84" t="str">
            <v>2037/38</v>
          </cell>
        </row>
        <row r="85">
          <cell r="A85" t="str">
            <v>02 AUCKLAND</v>
          </cell>
          <cell r="B85">
            <v>0</v>
          </cell>
          <cell r="C85">
            <v>2043</v>
          </cell>
          <cell r="D85">
            <v>1541</v>
          </cell>
          <cell r="E85">
            <v>5702</v>
          </cell>
          <cell r="F85">
            <v>373.09787464999999</v>
          </cell>
          <cell r="G85">
            <v>331.73674390999997</v>
          </cell>
          <cell r="H85">
            <v>84.244346922999995</v>
          </cell>
          <cell r="I85" t="str">
            <v>Pedestrian</v>
          </cell>
          <cell r="J85" t="str">
            <v>2042/43</v>
          </cell>
        </row>
        <row r="86">
          <cell r="A86" t="str">
            <v>02 AUCKLAND</v>
          </cell>
          <cell r="B86">
            <v>1</v>
          </cell>
          <cell r="C86">
            <v>2013</v>
          </cell>
          <cell r="D86">
            <v>49</v>
          </cell>
          <cell r="E86">
            <v>125</v>
          </cell>
          <cell r="F86">
            <v>7.0506319707999996</v>
          </cell>
          <cell r="G86">
            <v>55.843008154000003</v>
          </cell>
          <cell r="H86">
            <v>4.3659429593999999</v>
          </cell>
          <cell r="I86" t="str">
            <v>Cyclist</v>
          </cell>
          <cell r="J86" t="str">
            <v>2012/13</v>
          </cell>
        </row>
        <row r="87">
          <cell r="A87" t="str">
            <v>02 AUCKLAND</v>
          </cell>
          <cell r="B87">
            <v>1</v>
          </cell>
          <cell r="C87">
            <v>2018</v>
          </cell>
          <cell r="D87">
            <v>49</v>
          </cell>
          <cell r="E87">
            <v>125</v>
          </cell>
          <cell r="F87">
            <v>7.5722770519999996</v>
          </cell>
          <cell r="G87">
            <v>61.870468318</v>
          </cell>
          <cell r="H87">
            <v>4.7912840522</v>
          </cell>
          <cell r="I87" t="str">
            <v>Cyclist</v>
          </cell>
          <cell r="J87" t="str">
            <v>2017/18</v>
          </cell>
        </row>
        <row r="88">
          <cell r="A88" t="str">
            <v>02 AUCKLAND</v>
          </cell>
          <cell r="B88">
            <v>1</v>
          </cell>
          <cell r="C88">
            <v>2023</v>
          </cell>
          <cell r="D88">
            <v>49</v>
          </cell>
          <cell r="E88">
            <v>125</v>
          </cell>
          <cell r="F88">
            <v>7.9398843045999996</v>
          </cell>
          <cell r="G88">
            <v>65.724543562999997</v>
          </cell>
          <cell r="H88">
            <v>5.0664519384000002</v>
          </cell>
          <cell r="I88" t="str">
            <v>Cyclist</v>
          </cell>
          <cell r="J88" t="str">
            <v>2022/23</v>
          </cell>
        </row>
        <row r="89">
          <cell r="A89" t="str">
            <v>02 AUCKLAND</v>
          </cell>
          <cell r="B89">
            <v>1</v>
          </cell>
          <cell r="C89">
            <v>2028</v>
          </cell>
          <cell r="D89">
            <v>49</v>
          </cell>
          <cell r="E89">
            <v>125</v>
          </cell>
          <cell r="F89">
            <v>8.2239793841999997</v>
          </cell>
          <cell r="G89">
            <v>68.830142468000005</v>
          </cell>
          <cell r="H89">
            <v>5.2966971160999998</v>
          </cell>
          <cell r="I89" t="str">
            <v>Cyclist</v>
          </cell>
          <cell r="J89" t="str">
            <v>2027/28</v>
          </cell>
        </row>
        <row r="90">
          <cell r="A90" t="str">
            <v>02 AUCKLAND</v>
          </cell>
          <cell r="B90">
            <v>1</v>
          </cell>
          <cell r="C90">
            <v>2033</v>
          </cell>
          <cell r="D90">
            <v>49</v>
          </cell>
          <cell r="E90">
            <v>125</v>
          </cell>
          <cell r="F90">
            <v>8.4075321889999994</v>
          </cell>
          <cell r="G90">
            <v>72.882048549000004</v>
          </cell>
          <cell r="H90">
            <v>5.5772602733000003</v>
          </cell>
          <cell r="I90" t="str">
            <v>Cyclist</v>
          </cell>
          <cell r="J90" t="str">
            <v>2032/33</v>
          </cell>
        </row>
        <row r="91">
          <cell r="A91" t="str">
            <v>02 AUCKLAND</v>
          </cell>
          <cell r="B91">
            <v>1</v>
          </cell>
          <cell r="C91">
            <v>2038</v>
          </cell>
          <cell r="D91">
            <v>49</v>
          </cell>
          <cell r="E91">
            <v>125</v>
          </cell>
          <cell r="F91">
            <v>8.7871776154999992</v>
          </cell>
          <cell r="G91">
            <v>79.116988981000006</v>
          </cell>
          <cell r="H91">
            <v>6.0052062975</v>
          </cell>
          <cell r="I91" t="str">
            <v>Cyclist</v>
          </cell>
          <cell r="J91" t="str">
            <v>2037/38</v>
          </cell>
        </row>
        <row r="92">
          <cell r="A92" t="str">
            <v>02 AUCKLAND</v>
          </cell>
          <cell r="B92">
            <v>1</v>
          </cell>
          <cell r="C92">
            <v>2043</v>
          </cell>
          <cell r="D92">
            <v>49</v>
          </cell>
          <cell r="E92">
            <v>125</v>
          </cell>
          <cell r="F92">
            <v>9.1430611678999991</v>
          </cell>
          <cell r="G92">
            <v>85.378907386999998</v>
          </cell>
          <cell r="H92">
            <v>6.4346472009999998</v>
          </cell>
          <cell r="I92" t="str">
            <v>Cyclist</v>
          </cell>
          <cell r="J92" t="str">
            <v>2042/43</v>
          </cell>
        </row>
        <row r="93">
          <cell r="A93" t="str">
            <v>02 AUCKLAND</v>
          </cell>
          <cell r="B93">
            <v>2</v>
          </cell>
          <cell r="C93">
            <v>2013</v>
          </cell>
          <cell r="D93">
            <v>2765</v>
          </cell>
          <cell r="E93">
            <v>18286</v>
          </cell>
          <cell r="F93">
            <v>981.24355252999999</v>
          </cell>
          <cell r="G93">
            <v>9374.4733825999992</v>
          </cell>
          <cell r="H93">
            <v>295.36669345000001</v>
          </cell>
          <cell r="I93" t="str">
            <v>Light Vehicle Driver</v>
          </cell>
          <cell r="J93" t="str">
            <v>2012/13</v>
          </cell>
        </row>
        <row r="94">
          <cell r="A94" t="str">
            <v>02 AUCKLAND</v>
          </cell>
          <cell r="B94">
            <v>2</v>
          </cell>
          <cell r="C94">
            <v>2018</v>
          </cell>
          <cell r="D94">
            <v>2765</v>
          </cell>
          <cell r="E94">
            <v>18286</v>
          </cell>
          <cell r="F94">
            <v>1070.5837898</v>
          </cell>
          <cell r="G94">
            <v>10264.424131</v>
          </cell>
          <cell r="H94">
            <v>323.24559554000001</v>
          </cell>
          <cell r="I94" t="str">
            <v>Light Vehicle Driver</v>
          </cell>
          <cell r="J94" t="str">
            <v>2017/18</v>
          </cell>
        </row>
        <row r="95">
          <cell r="A95" t="str">
            <v>02 AUCKLAND</v>
          </cell>
          <cell r="B95">
            <v>2</v>
          </cell>
          <cell r="C95">
            <v>2023</v>
          </cell>
          <cell r="D95">
            <v>2765</v>
          </cell>
          <cell r="E95">
            <v>18286</v>
          </cell>
          <cell r="F95">
            <v>1122.7414653000001</v>
          </cell>
          <cell r="G95">
            <v>10744.648424999999</v>
          </cell>
          <cell r="H95">
            <v>338.51156032</v>
          </cell>
          <cell r="I95" t="str">
            <v>Light Vehicle Driver</v>
          </cell>
          <cell r="J95" t="str">
            <v>2022/23</v>
          </cell>
        </row>
        <row r="96">
          <cell r="A96" t="str">
            <v>02 AUCKLAND</v>
          </cell>
          <cell r="B96">
            <v>2</v>
          </cell>
          <cell r="C96">
            <v>2028</v>
          </cell>
          <cell r="D96">
            <v>2765</v>
          </cell>
          <cell r="E96">
            <v>18286</v>
          </cell>
          <cell r="F96">
            <v>1173.7675494</v>
          </cell>
          <cell r="G96">
            <v>11246.466146999999</v>
          </cell>
          <cell r="H96">
            <v>353.38200726000002</v>
          </cell>
          <cell r="I96" t="str">
            <v>Light Vehicle Driver</v>
          </cell>
          <cell r="J96" t="str">
            <v>2027/28</v>
          </cell>
        </row>
        <row r="97">
          <cell r="A97" t="str">
            <v>02 AUCKLAND</v>
          </cell>
          <cell r="B97">
            <v>2</v>
          </cell>
          <cell r="C97">
            <v>2033</v>
          </cell>
          <cell r="D97">
            <v>2765</v>
          </cell>
          <cell r="E97">
            <v>18286</v>
          </cell>
          <cell r="F97">
            <v>1225.6003992000001</v>
          </cell>
          <cell r="G97">
            <v>11759.957747</v>
          </cell>
          <cell r="H97">
            <v>368.85119050999998</v>
          </cell>
          <cell r="I97" t="str">
            <v>Light Vehicle Driver</v>
          </cell>
          <cell r="J97" t="str">
            <v>2032/33</v>
          </cell>
        </row>
        <row r="98">
          <cell r="A98" t="str">
            <v>02 AUCKLAND</v>
          </cell>
          <cell r="B98">
            <v>2</v>
          </cell>
          <cell r="C98">
            <v>2038</v>
          </cell>
          <cell r="D98">
            <v>2765</v>
          </cell>
          <cell r="E98">
            <v>18286</v>
          </cell>
          <cell r="F98">
            <v>1270.5837355000001</v>
          </cell>
          <cell r="G98">
            <v>12190.171695999999</v>
          </cell>
          <cell r="H98">
            <v>382.39832824000001</v>
          </cell>
          <cell r="I98" t="str">
            <v>Light Vehicle Driver</v>
          </cell>
          <cell r="J98" t="str">
            <v>2037/38</v>
          </cell>
        </row>
        <row r="99">
          <cell r="A99" t="str">
            <v>02 AUCKLAND</v>
          </cell>
          <cell r="B99">
            <v>2</v>
          </cell>
          <cell r="C99">
            <v>2043</v>
          </cell>
          <cell r="D99">
            <v>2765</v>
          </cell>
          <cell r="E99">
            <v>18286</v>
          </cell>
          <cell r="F99">
            <v>1308.9446461</v>
          </cell>
          <cell r="G99">
            <v>12560.076225000001</v>
          </cell>
          <cell r="H99">
            <v>394.00518577000003</v>
          </cell>
          <cell r="I99" t="str">
            <v>Light Vehicle Driver</v>
          </cell>
          <cell r="J99" t="str">
            <v>2042/43</v>
          </cell>
        </row>
        <row r="100">
          <cell r="A100" t="str">
            <v>02 AUCKLAND</v>
          </cell>
          <cell r="B100">
            <v>3</v>
          </cell>
          <cell r="C100">
            <v>2013</v>
          </cell>
          <cell r="D100">
            <v>2092</v>
          </cell>
          <cell r="E100">
            <v>9587</v>
          </cell>
          <cell r="F100">
            <v>488.06073574999999</v>
          </cell>
          <cell r="G100">
            <v>4814.6436660999998</v>
          </cell>
          <cell r="H100">
            <v>145.42645436999999</v>
          </cell>
          <cell r="I100" t="str">
            <v>Light Vehicle Passenger</v>
          </cell>
          <cell r="J100" t="str">
            <v>2012/13</v>
          </cell>
        </row>
        <row r="101">
          <cell r="A101" t="str">
            <v>02 AUCKLAND</v>
          </cell>
          <cell r="B101">
            <v>3</v>
          </cell>
          <cell r="C101">
            <v>2018</v>
          </cell>
          <cell r="D101">
            <v>2092</v>
          </cell>
          <cell r="E101">
            <v>9587</v>
          </cell>
          <cell r="F101">
            <v>509.31307053</v>
          </cell>
          <cell r="G101">
            <v>5097.2481027000003</v>
          </cell>
          <cell r="H101">
            <v>152.86478138000001</v>
          </cell>
          <cell r="I101" t="str">
            <v>Light Vehicle Passenger</v>
          </cell>
          <cell r="J101" t="str">
            <v>2017/18</v>
          </cell>
        </row>
        <row r="102">
          <cell r="A102" t="str">
            <v>02 AUCKLAND</v>
          </cell>
          <cell r="B102">
            <v>3</v>
          </cell>
          <cell r="C102">
            <v>2023</v>
          </cell>
          <cell r="D102">
            <v>2092</v>
          </cell>
          <cell r="E102">
            <v>9587</v>
          </cell>
          <cell r="F102">
            <v>523.42770669000004</v>
          </cell>
          <cell r="G102">
            <v>5280.8785778000001</v>
          </cell>
          <cell r="H102">
            <v>157.45772586999999</v>
          </cell>
          <cell r="I102" t="str">
            <v>Light Vehicle Passenger</v>
          </cell>
          <cell r="J102" t="str">
            <v>2022/23</v>
          </cell>
        </row>
        <row r="103">
          <cell r="A103" t="str">
            <v>02 AUCKLAND</v>
          </cell>
          <cell r="B103">
            <v>3</v>
          </cell>
          <cell r="C103">
            <v>2028</v>
          </cell>
          <cell r="D103">
            <v>2092</v>
          </cell>
          <cell r="E103">
            <v>9587</v>
          </cell>
          <cell r="F103">
            <v>536.45961201</v>
          </cell>
          <cell r="G103">
            <v>5468.7506031000003</v>
          </cell>
          <cell r="H103">
            <v>161.71140356000001</v>
          </cell>
          <cell r="I103" t="str">
            <v>Light Vehicle Passenger</v>
          </cell>
          <cell r="J103" t="str">
            <v>2027/28</v>
          </cell>
        </row>
        <row r="104">
          <cell r="A104" t="str">
            <v>02 AUCKLAND</v>
          </cell>
          <cell r="B104">
            <v>3</v>
          </cell>
          <cell r="C104">
            <v>2033</v>
          </cell>
          <cell r="D104">
            <v>2092</v>
          </cell>
          <cell r="E104">
            <v>9587</v>
          </cell>
          <cell r="F104">
            <v>548.35848080999995</v>
          </cell>
          <cell r="G104">
            <v>5619.1195944999999</v>
          </cell>
          <cell r="H104">
            <v>165.25604976</v>
          </cell>
          <cell r="I104" t="str">
            <v>Light Vehicle Passenger</v>
          </cell>
          <cell r="J104" t="str">
            <v>2032/33</v>
          </cell>
        </row>
        <row r="105">
          <cell r="A105" t="str">
            <v>02 AUCKLAND</v>
          </cell>
          <cell r="B105">
            <v>3</v>
          </cell>
          <cell r="C105">
            <v>2038</v>
          </cell>
          <cell r="D105">
            <v>2092</v>
          </cell>
          <cell r="E105">
            <v>9587</v>
          </cell>
          <cell r="F105">
            <v>556.90672474999997</v>
          </cell>
          <cell r="G105">
            <v>5750.5572048000004</v>
          </cell>
          <cell r="H105">
            <v>168.15155067000001</v>
          </cell>
          <cell r="I105" t="str">
            <v>Light Vehicle Passenger</v>
          </cell>
          <cell r="J105" t="str">
            <v>2037/38</v>
          </cell>
        </row>
        <row r="106">
          <cell r="A106" t="str">
            <v>02 AUCKLAND</v>
          </cell>
          <cell r="B106">
            <v>3</v>
          </cell>
          <cell r="C106">
            <v>2043</v>
          </cell>
          <cell r="D106">
            <v>2092</v>
          </cell>
          <cell r="E106">
            <v>9587</v>
          </cell>
          <cell r="F106">
            <v>562.10681153999997</v>
          </cell>
          <cell r="G106">
            <v>5848.2069058999996</v>
          </cell>
          <cell r="H106">
            <v>170.07514386</v>
          </cell>
          <cell r="I106" t="str">
            <v>Light Vehicle Passenger</v>
          </cell>
          <cell r="J106" t="str">
            <v>2042/43</v>
          </cell>
        </row>
        <row r="107">
          <cell r="A107" t="str">
            <v>02 AUCKLAND</v>
          </cell>
          <cell r="B107">
            <v>4</v>
          </cell>
          <cell r="C107">
            <v>2013</v>
          </cell>
          <cell r="D107">
            <v>54</v>
          </cell>
          <cell r="E107">
            <v>94</v>
          </cell>
          <cell r="F107">
            <v>6.0232688673999997</v>
          </cell>
          <cell r="G107">
            <v>41.157157814999998</v>
          </cell>
          <cell r="H107">
            <v>1.9131795197999999</v>
          </cell>
          <cell r="J107" t="str">
            <v>2012/13</v>
          </cell>
        </row>
        <row r="108">
          <cell r="A108" t="str">
            <v>02 AUCKLAND</v>
          </cell>
          <cell r="B108">
            <v>4</v>
          </cell>
          <cell r="C108">
            <v>2018</v>
          </cell>
          <cell r="D108">
            <v>54</v>
          </cell>
          <cell r="E108">
            <v>94</v>
          </cell>
          <cell r="F108">
            <v>6.9383324739000001</v>
          </cell>
          <cell r="G108">
            <v>48.017781049</v>
          </cell>
          <cell r="H108">
            <v>2.2021157292</v>
          </cell>
          <cell r="J108" t="str">
            <v>2017/18</v>
          </cell>
        </row>
        <row r="109">
          <cell r="A109" t="str">
            <v>02 AUCKLAND</v>
          </cell>
          <cell r="B109">
            <v>4</v>
          </cell>
          <cell r="C109">
            <v>2023</v>
          </cell>
          <cell r="D109">
            <v>54</v>
          </cell>
          <cell r="E109">
            <v>94</v>
          </cell>
          <cell r="F109">
            <v>7.7687429825000001</v>
          </cell>
          <cell r="G109">
            <v>55.039313737999997</v>
          </cell>
          <cell r="H109">
            <v>2.4674535234000001</v>
          </cell>
          <cell r="J109" t="str">
            <v>2022/23</v>
          </cell>
        </row>
        <row r="110">
          <cell r="A110" t="str">
            <v>02 AUCKLAND</v>
          </cell>
          <cell r="B110">
            <v>4</v>
          </cell>
          <cell r="C110">
            <v>2028</v>
          </cell>
          <cell r="D110">
            <v>54</v>
          </cell>
          <cell r="E110">
            <v>94</v>
          </cell>
          <cell r="F110">
            <v>8.5123129905999999</v>
          </cell>
          <cell r="G110">
            <v>62.235598541999998</v>
          </cell>
          <cell r="H110">
            <v>2.7198192375999999</v>
          </cell>
          <cell r="J110" t="str">
            <v>2027/28</v>
          </cell>
        </row>
        <row r="111">
          <cell r="A111" t="str">
            <v>02 AUCKLAND</v>
          </cell>
          <cell r="B111">
            <v>4</v>
          </cell>
          <cell r="C111">
            <v>2033</v>
          </cell>
          <cell r="D111">
            <v>54</v>
          </cell>
          <cell r="E111">
            <v>94</v>
          </cell>
          <cell r="F111">
            <v>9.1947888426999995</v>
          </cell>
          <cell r="G111">
            <v>68.66387039</v>
          </cell>
          <cell r="H111">
            <v>2.9528674105000001</v>
          </cell>
          <cell r="J111" t="str">
            <v>2032/33</v>
          </cell>
        </row>
        <row r="112">
          <cell r="A112" t="str">
            <v>02 AUCKLAND</v>
          </cell>
          <cell r="B112">
            <v>4</v>
          </cell>
          <cell r="C112">
            <v>2038</v>
          </cell>
          <cell r="D112">
            <v>54</v>
          </cell>
          <cell r="E112">
            <v>94</v>
          </cell>
          <cell r="F112">
            <v>9.7340575482999991</v>
          </cell>
          <cell r="G112">
            <v>73.887661131000002</v>
          </cell>
          <cell r="H112">
            <v>3.1366608567999998</v>
          </cell>
          <cell r="J112" t="str">
            <v>2037/38</v>
          </cell>
        </row>
        <row r="113">
          <cell r="A113" t="str">
            <v>02 AUCKLAND</v>
          </cell>
          <cell r="B113">
            <v>4</v>
          </cell>
          <cell r="C113">
            <v>2043</v>
          </cell>
          <cell r="D113">
            <v>54</v>
          </cell>
          <cell r="E113">
            <v>94</v>
          </cell>
          <cell r="F113">
            <v>10.268843447</v>
          </cell>
          <cell r="G113">
            <v>79.037543726999999</v>
          </cell>
          <cell r="H113">
            <v>3.3158460349999999</v>
          </cell>
          <cell r="J113" t="str">
            <v>2042/43</v>
          </cell>
        </row>
        <row r="114">
          <cell r="A114" t="str">
            <v>02 AUCKLAND</v>
          </cell>
          <cell r="B114">
            <v>5</v>
          </cell>
          <cell r="C114">
            <v>2013</v>
          </cell>
          <cell r="D114">
            <v>15</v>
          </cell>
          <cell r="E114">
            <v>69</v>
          </cell>
          <cell r="F114">
            <v>4.1170216905999997</v>
          </cell>
          <cell r="G114">
            <v>43.570185572</v>
          </cell>
          <cell r="H114">
            <v>1.5334409518000001</v>
          </cell>
          <cell r="I114" t="str">
            <v>Motorcyclist</v>
          </cell>
          <cell r="J114" t="str">
            <v>2012/13</v>
          </cell>
        </row>
        <row r="115">
          <cell r="A115" t="str">
            <v>02 AUCKLAND</v>
          </cell>
          <cell r="B115">
            <v>5</v>
          </cell>
          <cell r="C115">
            <v>2018</v>
          </cell>
          <cell r="D115">
            <v>15</v>
          </cell>
          <cell r="E115">
            <v>69</v>
          </cell>
          <cell r="F115">
            <v>4.5364792371</v>
          </cell>
          <cell r="G115">
            <v>47.902958554000001</v>
          </cell>
          <cell r="H115">
            <v>1.7019167005</v>
          </cell>
          <cell r="I115" t="str">
            <v>Motorcyclist</v>
          </cell>
          <cell r="J115" t="str">
            <v>2017/18</v>
          </cell>
        </row>
        <row r="116">
          <cell r="A116" t="str">
            <v>02 AUCKLAND</v>
          </cell>
          <cell r="B116">
            <v>5</v>
          </cell>
          <cell r="C116">
            <v>2023</v>
          </cell>
          <cell r="D116">
            <v>15</v>
          </cell>
          <cell r="E116">
            <v>69</v>
          </cell>
          <cell r="F116">
            <v>4.9047489571999998</v>
          </cell>
          <cell r="G116">
            <v>50.326634493999997</v>
          </cell>
          <cell r="H116">
            <v>1.8172597503000001</v>
          </cell>
          <cell r="I116" t="str">
            <v>Motorcyclist</v>
          </cell>
          <cell r="J116" t="str">
            <v>2022/23</v>
          </cell>
        </row>
        <row r="117">
          <cell r="A117" t="str">
            <v>02 AUCKLAND</v>
          </cell>
          <cell r="B117">
            <v>5</v>
          </cell>
          <cell r="C117">
            <v>2028</v>
          </cell>
          <cell r="D117">
            <v>15</v>
          </cell>
          <cell r="E117">
            <v>69</v>
          </cell>
          <cell r="F117">
            <v>5.4071937517000004</v>
          </cell>
          <cell r="G117">
            <v>53.134763675000002</v>
          </cell>
          <cell r="H117">
            <v>1.9504613176000001</v>
          </cell>
          <cell r="I117" t="str">
            <v>Motorcyclist</v>
          </cell>
          <cell r="J117" t="str">
            <v>2027/28</v>
          </cell>
        </row>
        <row r="118">
          <cell r="A118" t="str">
            <v>02 AUCKLAND</v>
          </cell>
          <cell r="B118">
            <v>5</v>
          </cell>
          <cell r="C118">
            <v>2033</v>
          </cell>
          <cell r="D118">
            <v>15</v>
          </cell>
          <cell r="E118">
            <v>69</v>
          </cell>
          <cell r="F118">
            <v>5.8133490003999997</v>
          </cell>
          <cell r="G118">
            <v>55.966714375000002</v>
          </cell>
          <cell r="H118">
            <v>2.0778754323999999</v>
          </cell>
          <cell r="I118" t="str">
            <v>Motorcyclist</v>
          </cell>
          <cell r="J118" t="str">
            <v>2032/33</v>
          </cell>
        </row>
        <row r="119">
          <cell r="A119" t="str">
            <v>02 AUCKLAND</v>
          </cell>
          <cell r="B119">
            <v>5</v>
          </cell>
          <cell r="C119">
            <v>2038</v>
          </cell>
          <cell r="D119">
            <v>15</v>
          </cell>
          <cell r="E119">
            <v>69</v>
          </cell>
          <cell r="F119">
            <v>5.9227793179999999</v>
          </cell>
          <cell r="G119">
            <v>57.226880764999997</v>
          </cell>
          <cell r="H119">
            <v>2.1457305909</v>
          </cell>
          <cell r="I119" t="str">
            <v>Motorcyclist</v>
          </cell>
          <cell r="J119" t="str">
            <v>2037/38</v>
          </cell>
        </row>
        <row r="120">
          <cell r="A120" t="str">
            <v>02 AUCKLAND</v>
          </cell>
          <cell r="B120">
            <v>5</v>
          </cell>
          <cell r="C120">
            <v>2043</v>
          </cell>
          <cell r="D120">
            <v>15</v>
          </cell>
          <cell r="E120">
            <v>69</v>
          </cell>
          <cell r="F120">
            <v>5.9955365243000003</v>
          </cell>
          <cell r="G120">
            <v>58.313721774999998</v>
          </cell>
          <cell r="H120">
            <v>2.2049179117</v>
          </cell>
          <cell r="I120" t="str">
            <v>Motorcyclist</v>
          </cell>
          <cell r="J120" t="str">
            <v>2042/43</v>
          </cell>
        </row>
        <row r="121">
          <cell r="A121" t="str">
            <v>02 AUCKLAND</v>
          </cell>
          <cell r="B121">
            <v>6</v>
          </cell>
          <cell r="C121">
            <v>2013</v>
          </cell>
          <cell r="D121">
            <v>83</v>
          </cell>
          <cell r="E121">
            <v>197</v>
          </cell>
          <cell r="F121">
            <v>10.588451037</v>
          </cell>
          <cell r="G121">
            <v>126.27968744</v>
          </cell>
          <cell r="H121">
            <v>4.2843438359999997</v>
          </cell>
          <cell r="I121" t="str">
            <v>Local Train</v>
          </cell>
          <cell r="J121" t="str">
            <v>2012/13</v>
          </cell>
        </row>
        <row r="122">
          <cell r="A122" t="str">
            <v>02 AUCKLAND</v>
          </cell>
          <cell r="B122">
            <v>6</v>
          </cell>
          <cell r="C122">
            <v>2018</v>
          </cell>
          <cell r="D122">
            <v>83</v>
          </cell>
          <cell r="E122">
            <v>197</v>
          </cell>
          <cell r="F122">
            <v>11.420578711999999</v>
          </cell>
          <cell r="G122">
            <v>138.03400911</v>
          </cell>
          <cell r="H122">
            <v>4.6853682510999999</v>
          </cell>
          <cell r="I122" t="str">
            <v>Local Train</v>
          </cell>
          <cell r="J122" t="str">
            <v>2017/18</v>
          </cell>
        </row>
        <row r="123">
          <cell r="A123" t="str">
            <v>02 AUCKLAND</v>
          </cell>
          <cell r="B123">
            <v>6</v>
          </cell>
          <cell r="C123">
            <v>2023</v>
          </cell>
          <cell r="D123">
            <v>83</v>
          </cell>
          <cell r="E123">
            <v>197</v>
          </cell>
          <cell r="F123">
            <v>11.879401543</v>
          </cell>
          <cell r="G123">
            <v>144.14984676</v>
          </cell>
          <cell r="H123">
            <v>4.9043856447999996</v>
          </cell>
          <cell r="I123" t="str">
            <v>Local Train</v>
          </cell>
          <cell r="J123" t="str">
            <v>2022/23</v>
          </cell>
        </row>
        <row r="124">
          <cell r="A124" t="str">
            <v>02 AUCKLAND</v>
          </cell>
          <cell r="B124">
            <v>6</v>
          </cell>
          <cell r="C124">
            <v>2028</v>
          </cell>
          <cell r="D124">
            <v>83</v>
          </cell>
          <cell r="E124">
            <v>197</v>
          </cell>
          <cell r="F124">
            <v>12.234843393</v>
          </cell>
          <cell r="G124">
            <v>148.45929380999999</v>
          </cell>
          <cell r="H124">
            <v>5.0421625551</v>
          </cell>
          <cell r="I124" t="str">
            <v>Local Train</v>
          </cell>
          <cell r="J124" t="str">
            <v>2027/28</v>
          </cell>
        </row>
        <row r="125">
          <cell r="A125" t="str">
            <v>02 AUCKLAND</v>
          </cell>
          <cell r="B125">
            <v>6</v>
          </cell>
          <cell r="C125">
            <v>2033</v>
          </cell>
          <cell r="D125">
            <v>83</v>
          </cell>
          <cell r="E125">
            <v>197</v>
          </cell>
          <cell r="F125">
            <v>12.444639186</v>
          </cell>
          <cell r="G125">
            <v>151.83225386999999</v>
          </cell>
          <cell r="H125">
            <v>5.1310096593000001</v>
          </cell>
          <cell r="I125" t="str">
            <v>Local Train</v>
          </cell>
          <cell r="J125" t="str">
            <v>2032/33</v>
          </cell>
        </row>
        <row r="126">
          <cell r="A126" t="str">
            <v>02 AUCKLAND</v>
          </cell>
          <cell r="B126">
            <v>6</v>
          </cell>
          <cell r="C126">
            <v>2038</v>
          </cell>
          <cell r="D126">
            <v>83</v>
          </cell>
          <cell r="E126">
            <v>197</v>
          </cell>
          <cell r="F126">
            <v>12.455475623</v>
          </cell>
          <cell r="G126">
            <v>152.95424098999999</v>
          </cell>
          <cell r="H126">
            <v>5.1626424107000002</v>
          </cell>
          <cell r="I126" t="str">
            <v>Local Train</v>
          </cell>
          <cell r="J126" t="str">
            <v>2037/38</v>
          </cell>
        </row>
        <row r="127">
          <cell r="A127" t="str">
            <v>02 AUCKLAND</v>
          </cell>
          <cell r="B127">
            <v>6</v>
          </cell>
          <cell r="C127">
            <v>2043</v>
          </cell>
          <cell r="D127">
            <v>83</v>
          </cell>
          <cell r="E127">
            <v>197</v>
          </cell>
          <cell r="F127">
            <v>12.377482091999999</v>
          </cell>
          <cell r="G127">
            <v>152.99772264000001</v>
          </cell>
          <cell r="H127">
            <v>5.1555646639999999</v>
          </cell>
          <cell r="I127" t="str">
            <v>Local Train</v>
          </cell>
          <cell r="J127" t="str">
            <v>2042/43</v>
          </cell>
        </row>
        <row r="128">
          <cell r="A128" t="str">
            <v>02 AUCKLAND</v>
          </cell>
          <cell r="B128">
            <v>7</v>
          </cell>
          <cell r="C128">
            <v>2013</v>
          </cell>
          <cell r="D128">
            <v>334</v>
          </cell>
          <cell r="E128">
            <v>882</v>
          </cell>
          <cell r="F128">
            <v>54.403429504999998</v>
          </cell>
          <cell r="G128">
            <v>439.27566032999999</v>
          </cell>
          <cell r="H128">
            <v>22.622672496</v>
          </cell>
          <cell r="I128" t="str">
            <v>Local Bus</v>
          </cell>
          <cell r="J128" t="str">
            <v>2012/13</v>
          </cell>
        </row>
        <row r="129">
          <cell r="A129" t="str">
            <v>02 AUCKLAND</v>
          </cell>
          <cell r="B129">
            <v>7</v>
          </cell>
          <cell r="C129">
            <v>2018</v>
          </cell>
          <cell r="D129">
            <v>334</v>
          </cell>
          <cell r="E129">
            <v>882</v>
          </cell>
          <cell r="F129">
            <v>56.901281644000001</v>
          </cell>
          <cell r="G129">
            <v>464.53696092000001</v>
          </cell>
          <cell r="H129">
            <v>23.884403189</v>
          </cell>
          <cell r="I129" t="str">
            <v>Local Bus</v>
          </cell>
          <cell r="J129" t="str">
            <v>2017/18</v>
          </cell>
        </row>
        <row r="130">
          <cell r="A130" t="str">
            <v>02 AUCKLAND</v>
          </cell>
          <cell r="B130">
            <v>7</v>
          </cell>
          <cell r="C130">
            <v>2023</v>
          </cell>
          <cell r="D130">
            <v>334</v>
          </cell>
          <cell r="E130">
            <v>882</v>
          </cell>
          <cell r="F130">
            <v>57.704774139000001</v>
          </cell>
          <cell r="G130">
            <v>474.39419737999998</v>
          </cell>
          <cell r="H130">
            <v>24.297402097999999</v>
          </cell>
          <cell r="I130" t="str">
            <v>Local Bus</v>
          </cell>
          <cell r="J130" t="str">
            <v>2022/23</v>
          </cell>
        </row>
        <row r="131">
          <cell r="A131" t="str">
            <v>02 AUCKLAND</v>
          </cell>
          <cell r="B131">
            <v>7</v>
          </cell>
          <cell r="C131">
            <v>2028</v>
          </cell>
          <cell r="D131">
            <v>334</v>
          </cell>
          <cell r="E131">
            <v>882</v>
          </cell>
          <cell r="F131">
            <v>57.34791817</v>
          </cell>
          <cell r="G131">
            <v>476.37799767000001</v>
          </cell>
          <cell r="H131">
            <v>24.240961715000001</v>
          </cell>
          <cell r="I131" t="str">
            <v>Local Bus</v>
          </cell>
          <cell r="J131" t="str">
            <v>2027/28</v>
          </cell>
        </row>
        <row r="132">
          <cell r="A132" t="str">
            <v>02 AUCKLAND</v>
          </cell>
          <cell r="B132">
            <v>7</v>
          </cell>
          <cell r="C132">
            <v>2033</v>
          </cell>
          <cell r="D132">
            <v>334</v>
          </cell>
          <cell r="E132">
            <v>882</v>
          </cell>
          <cell r="F132">
            <v>55.954404328000003</v>
          </cell>
          <cell r="G132">
            <v>468.51053669999999</v>
          </cell>
          <cell r="H132">
            <v>23.712285279</v>
          </cell>
          <cell r="I132" t="str">
            <v>Local Bus</v>
          </cell>
          <cell r="J132" t="str">
            <v>2032/33</v>
          </cell>
        </row>
        <row r="133">
          <cell r="A133" t="str">
            <v>02 AUCKLAND</v>
          </cell>
          <cell r="B133">
            <v>7</v>
          </cell>
          <cell r="C133">
            <v>2038</v>
          </cell>
          <cell r="D133">
            <v>334</v>
          </cell>
          <cell r="E133">
            <v>882</v>
          </cell>
          <cell r="F133">
            <v>54.367114821999998</v>
          </cell>
          <cell r="G133">
            <v>459.35218421000002</v>
          </cell>
          <cell r="H133">
            <v>23.120775157000001</v>
          </cell>
          <cell r="I133" t="str">
            <v>Local Bus</v>
          </cell>
          <cell r="J133" t="str">
            <v>2037/38</v>
          </cell>
        </row>
        <row r="134">
          <cell r="A134" t="str">
            <v>02 AUCKLAND</v>
          </cell>
          <cell r="B134">
            <v>7</v>
          </cell>
          <cell r="C134">
            <v>2043</v>
          </cell>
          <cell r="D134">
            <v>334</v>
          </cell>
          <cell r="E134">
            <v>882</v>
          </cell>
          <cell r="F134">
            <v>52.396734487000003</v>
          </cell>
          <cell r="G134">
            <v>447.02881789999998</v>
          </cell>
          <cell r="H134">
            <v>22.373467740999999</v>
          </cell>
          <cell r="I134" t="str">
            <v>Local Bus</v>
          </cell>
          <cell r="J134" t="str">
            <v>2042/43</v>
          </cell>
        </row>
        <row r="135">
          <cell r="A135" t="str">
            <v>02 AUCKLAND</v>
          </cell>
          <cell r="B135">
            <v>8</v>
          </cell>
          <cell r="C135">
            <v>2013</v>
          </cell>
          <cell r="D135">
            <v>33</v>
          </cell>
          <cell r="E135">
            <v>75</v>
          </cell>
          <cell r="F135">
            <v>4.3086283299000003</v>
          </cell>
          <cell r="G135">
            <v>0</v>
          </cell>
          <cell r="H135">
            <v>1.2124045342000001</v>
          </cell>
          <cell r="I135" t="str">
            <v>Local Ferry</v>
          </cell>
          <cell r="J135" t="str">
            <v>2012/13</v>
          </cell>
        </row>
        <row r="136">
          <cell r="A136" t="str">
            <v>02 AUCKLAND</v>
          </cell>
          <cell r="B136">
            <v>8</v>
          </cell>
          <cell r="C136">
            <v>2018</v>
          </cell>
          <cell r="D136">
            <v>33</v>
          </cell>
          <cell r="E136">
            <v>75</v>
          </cell>
          <cell r="F136">
            <v>4.7459620760999996</v>
          </cell>
          <cell r="G136">
            <v>0</v>
          </cell>
          <cell r="H136">
            <v>1.3419084052000001</v>
          </cell>
          <cell r="I136" t="str">
            <v>Local Ferry</v>
          </cell>
          <cell r="J136" t="str">
            <v>2017/18</v>
          </cell>
        </row>
        <row r="137">
          <cell r="A137" t="str">
            <v>02 AUCKLAND</v>
          </cell>
          <cell r="B137">
            <v>8</v>
          </cell>
          <cell r="C137">
            <v>2023</v>
          </cell>
          <cell r="D137">
            <v>33</v>
          </cell>
          <cell r="E137">
            <v>75</v>
          </cell>
          <cell r="F137">
            <v>5.0711723812000002</v>
          </cell>
          <cell r="G137">
            <v>0</v>
          </cell>
          <cell r="H137">
            <v>1.4287101494000001</v>
          </cell>
          <cell r="I137" t="str">
            <v>Local Ferry</v>
          </cell>
          <cell r="J137" t="str">
            <v>2022/23</v>
          </cell>
        </row>
        <row r="138">
          <cell r="A138" t="str">
            <v>02 AUCKLAND</v>
          </cell>
          <cell r="B138">
            <v>8</v>
          </cell>
          <cell r="C138">
            <v>2028</v>
          </cell>
          <cell r="D138">
            <v>33</v>
          </cell>
          <cell r="E138">
            <v>75</v>
          </cell>
          <cell r="F138">
            <v>5.2346440496</v>
          </cell>
          <cell r="G138">
            <v>0</v>
          </cell>
          <cell r="H138">
            <v>1.4817644062999999</v>
          </cell>
          <cell r="I138" t="str">
            <v>Local Ferry</v>
          </cell>
          <cell r="J138" t="str">
            <v>2027/28</v>
          </cell>
        </row>
        <row r="139">
          <cell r="A139" t="str">
            <v>02 AUCKLAND</v>
          </cell>
          <cell r="B139">
            <v>8</v>
          </cell>
          <cell r="C139">
            <v>2033</v>
          </cell>
          <cell r="D139">
            <v>33</v>
          </cell>
          <cell r="E139">
            <v>75</v>
          </cell>
          <cell r="F139">
            <v>5.3437246612999996</v>
          </cell>
          <cell r="G139">
            <v>0</v>
          </cell>
          <cell r="H139">
            <v>1.5224171607999999</v>
          </cell>
          <cell r="I139" t="str">
            <v>Local Ferry</v>
          </cell>
          <cell r="J139" t="str">
            <v>2032/33</v>
          </cell>
        </row>
        <row r="140">
          <cell r="A140" t="str">
            <v>02 AUCKLAND</v>
          </cell>
          <cell r="B140">
            <v>8</v>
          </cell>
          <cell r="C140">
            <v>2038</v>
          </cell>
          <cell r="D140">
            <v>33</v>
          </cell>
          <cell r="E140">
            <v>75</v>
          </cell>
          <cell r="F140">
            <v>5.5945693960999998</v>
          </cell>
          <cell r="G140">
            <v>0</v>
          </cell>
          <cell r="H140">
            <v>1.5980605955</v>
          </cell>
          <cell r="I140" t="str">
            <v>Local Ferry</v>
          </cell>
          <cell r="J140" t="str">
            <v>2037/38</v>
          </cell>
        </row>
        <row r="141">
          <cell r="A141" t="str">
            <v>02 AUCKLAND</v>
          </cell>
          <cell r="B141">
            <v>8</v>
          </cell>
          <cell r="C141">
            <v>2043</v>
          </cell>
          <cell r="D141">
            <v>33</v>
          </cell>
          <cell r="E141">
            <v>75</v>
          </cell>
          <cell r="F141">
            <v>5.7947294436999996</v>
          </cell>
          <cell r="G141">
            <v>0</v>
          </cell>
          <cell r="H141">
            <v>1.6597343600000001</v>
          </cell>
          <cell r="I141" t="str">
            <v>Local Ferry</v>
          </cell>
          <cell r="J141" t="str">
            <v>2042/43</v>
          </cell>
        </row>
        <row r="142">
          <cell r="A142" t="str">
            <v>02 AUCKLAND</v>
          </cell>
          <cell r="B142">
            <v>9</v>
          </cell>
          <cell r="C142">
            <v>2013</v>
          </cell>
          <cell r="D142">
            <v>21</v>
          </cell>
          <cell r="E142">
            <v>52</v>
          </cell>
          <cell r="F142">
            <v>2.2145179384000002</v>
          </cell>
          <cell r="G142">
            <v>1.8241938706</v>
          </cell>
          <cell r="H142">
            <v>2.4325058500000001</v>
          </cell>
          <cell r="I142" t="str">
            <v>Other Household Travel</v>
          </cell>
          <cell r="J142" t="str">
            <v>2012/13</v>
          </cell>
        </row>
        <row r="143">
          <cell r="A143" t="str">
            <v>02 AUCKLAND</v>
          </cell>
          <cell r="B143">
            <v>9</v>
          </cell>
          <cell r="C143">
            <v>2018</v>
          </cell>
          <cell r="D143">
            <v>21</v>
          </cell>
          <cell r="E143">
            <v>52</v>
          </cell>
          <cell r="F143">
            <v>2.4174351365</v>
          </cell>
          <cell r="G143">
            <v>1.7774694251000001</v>
          </cell>
          <cell r="H143">
            <v>2.7789668867000001</v>
          </cell>
          <cell r="I143" t="str">
            <v>Other Household Travel</v>
          </cell>
          <cell r="J143" t="str">
            <v>2017/18</v>
          </cell>
        </row>
        <row r="144">
          <cell r="A144" t="str">
            <v>02 AUCKLAND</v>
          </cell>
          <cell r="B144">
            <v>9</v>
          </cell>
          <cell r="C144">
            <v>2023</v>
          </cell>
          <cell r="D144">
            <v>21</v>
          </cell>
          <cell r="E144">
            <v>52</v>
          </cell>
          <cell r="F144">
            <v>2.5687270042999999</v>
          </cell>
          <cell r="G144">
            <v>1.6812944196999999</v>
          </cell>
          <cell r="H144">
            <v>2.9610359930999999</v>
          </cell>
          <cell r="I144" t="str">
            <v>Other Household Travel</v>
          </cell>
          <cell r="J144" t="str">
            <v>2022/23</v>
          </cell>
        </row>
        <row r="145">
          <cell r="A145" t="str">
            <v>02 AUCKLAND</v>
          </cell>
          <cell r="B145">
            <v>9</v>
          </cell>
          <cell r="C145">
            <v>2028</v>
          </cell>
          <cell r="D145">
            <v>21</v>
          </cell>
          <cell r="E145">
            <v>52</v>
          </cell>
          <cell r="F145">
            <v>2.7157086280999998</v>
          </cell>
          <cell r="G145">
            <v>1.9308307612</v>
          </cell>
          <cell r="H145">
            <v>3.0022448159000001</v>
          </cell>
          <cell r="I145" t="str">
            <v>Other Household Travel</v>
          </cell>
          <cell r="J145" t="str">
            <v>2027/28</v>
          </cell>
        </row>
        <row r="146">
          <cell r="A146" t="str">
            <v>02 AUCKLAND</v>
          </cell>
          <cell r="B146">
            <v>9</v>
          </cell>
          <cell r="C146">
            <v>2033</v>
          </cell>
          <cell r="D146">
            <v>21</v>
          </cell>
          <cell r="E146">
            <v>52</v>
          </cell>
          <cell r="F146">
            <v>2.8512370236</v>
          </cell>
          <cell r="G146">
            <v>2.0597820572000001</v>
          </cell>
          <cell r="H146">
            <v>3.064139838</v>
          </cell>
          <cell r="I146" t="str">
            <v>Other Household Travel</v>
          </cell>
          <cell r="J146" t="str">
            <v>2032/33</v>
          </cell>
        </row>
        <row r="147">
          <cell r="A147" t="str">
            <v>02 AUCKLAND</v>
          </cell>
          <cell r="B147">
            <v>9</v>
          </cell>
          <cell r="C147">
            <v>2038</v>
          </cell>
          <cell r="D147">
            <v>21</v>
          </cell>
          <cell r="E147">
            <v>52</v>
          </cell>
          <cell r="F147">
            <v>3.0024289318999999</v>
          </cell>
          <cell r="G147">
            <v>2.0472325805999998</v>
          </cell>
          <cell r="H147">
            <v>3.1934478393000001</v>
          </cell>
          <cell r="I147" t="str">
            <v>Other Household Travel</v>
          </cell>
          <cell r="J147" t="str">
            <v>2037/38</v>
          </cell>
        </row>
        <row r="148">
          <cell r="A148" t="str">
            <v>02 AUCKLAND</v>
          </cell>
          <cell r="B148">
            <v>9</v>
          </cell>
          <cell r="C148">
            <v>2043</v>
          </cell>
          <cell r="D148">
            <v>21</v>
          </cell>
          <cell r="E148">
            <v>52</v>
          </cell>
          <cell r="F148">
            <v>3.1470763378000002</v>
          </cell>
          <cell r="G148">
            <v>1.9888879017000001</v>
          </cell>
          <cell r="H148">
            <v>3.3190839157999998</v>
          </cell>
          <cell r="I148" t="str">
            <v>Other Household Travel</v>
          </cell>
          <cell r="J148" t="str">
            <v>2042/43</v>
          </cell>
        </row>
        <row r="149">
          <cell r="A149" t="str">
            <v>02 AUCKLAND</v>
          </cell>
          <cell r="B149">
            <v>10</v>
          </cell>
          <cell r="C149">
            <v>2013</v>
          </cell>
          <cell r="D149">
            <v>46</v>
          </cell>
          <cell r="E149">
            <v>52</v>
          </cell>
          <cell r="F149">
            <v>2.8879196329000001</v>
          </cell>
          <cell r="G149">
            <v>37.321781539</v>
          </cell>
          <cell r="H149">
            <v>5.1213278228999997</v>
          </cell>
          <cell r="I149" t="str">
            <v>Air/Non-Local PT</v>
          </cell>
          <cell r="J149" t="str">
            <v>2012/13</v>
          </cell>
        </row>
        <row r="150">
          <cell r="A150" t="str">
            <v>02 AUCKLAND</v>
          </cell>
          <cell r="B150">
            <v>10</v>
          </cell>
          <cell r="C150">
            <v>2018</v>
          </cell>
          <cell r="D150">
            <v>46</v>
          </cell>
          <cell r="E150">
            <v>52</v>
          </cell>
          <cell r="F150">
            <v>3.5291859962999999</v>
          </cell>
          <cell r="G150">
            <v>43.085185574</v>
          </cell>
          <cell r="H150">
            <v>6.1943765715000003</v>
          </cell>
          <cell r="I150" t="str">
            <v>Air/Non-Local PT</v>
          </cell>
          <cell r="J150" t="str">
            <v>2017/18</v>
          </cell>
        </row>
        <row r="151">
          <cell r="A151" t="str">
            <v>02 AUCKLAND</v>
          </cell>
          <cell r="B151">
            <v>10</v>
          </cell>
          <cell r="C151">
            <v>2023</v>
          </cell>
          <cell r="D151">
            <v>46</v>
          </cell>
          <cell r="E151">
            <v>52</v>
          </cell>
          <cell r="F151">
            <v>4.0033337046000002</v>
          </cell>
          <cell r="G151">
            <v>47.282993257999998</v>
          </cell>
          <cell r="H151">
            <v>6.9528388656000004</v>
          </cell>
          <cell r="I151" t="str">
            <v>Air/Non-Local PT</v>
          </cell>
          <cell r="J151" t="str">
            <v>2022/23</v>
          </cell>
        </row>
        <row r="152">
          <cell r="A152" t="str">
            <v>02 AUCKLAND</v>
          </cell>
          <cell r="B152">
            <v>10</v>
          </cell>
          <cell r="C152">
            <v>2028</v>
          </cell>
          <cell r="D152">
            <v>46</v>
          </cell>
          <cell r="E152">
            <v>52</v>
          </cell>
          <cell r="F152">
            <v>4.3909340634999996</v>
          </cell>
          <cell r="G152">
            <v>49.496529887000001</v>
          </cell>
          <cell r="H152">
            <v>7.5357658908999996</v>
          </cell>
          <cell r="I152" t="str">
            <v>Air/Non-Local PT</v>
          </cell>
          <cell r="J152" t="str">
            <v>2027/28</v>
          </cell>
        </row>
        <row r="153">
          <cell r="A153" t="str">
            <v>02 AUCKLAND</v>
          </cell>
          <cell r="B153">
            <v>10</v>
          </cell>
          <cell r="C153">
            <v>2033</v>
          </cell>
          <cell r="D153">
            <v>46</v>
          </cell>
          <cell r="E153">
            <v>52</v>
          </cell>
          <cell r="F153">
            <v>4.8178555565999996</v>
          </cell>
          <cell r="G153">
            <v>49.909354282000002</v>
          </cell>
          <cell r="H153">
            <v>8.2132569356000005</v>
          </cell>
          <cell r="I153" t="str">
            <v>Air/Non-Local PT</v>
          </cell>
          <cell r="J153" t="str">
            <v>2032/33</v>
          </cell>
        </row>
        <row r="154">
          <cell r="A154" t="str">
            <v>02 AUCKLAND</v>
          </cell>
          <cell r="B154">
            <v>10</v>
          </cell>
          <cell r="C154">
            <v>2038</v>
          </cell>
          <cell r="D154">
            <v>46</v>
          </cell>
          <cell r="E154">
            <v>52</v>
          </cell>
          <cell r="F154">
            <v>5.2849164714999999</v>
          </cell>
          <cell r="G154">
            <v>53.076952507000001</v>
          </cell>
          <cell r="H154">
            <v>9.0080513095000008</v>
          </cell>
          <cell r="I154" t="str">
            <v>Air/Non-Local PT</v>
          </cell>
          <cell r="J154" t="str">
            <v>2037/38</v>
          </cell>
        </row>
        <row r="155">
          <cell r="A155" t="str">
            <v>02 AUCKLAND</v>
          </cell>
          <cell r="B155">
            <v>10</v>
          </cell>
          <cell r="C155">
            <v>2043</v>
          </cell>
          <cell r="D155">
            <v>46</v>
          </cell>
          <cell r="E155">
            <v>52</v>
          </cell>
          <cell r="F155">
            <v>5.7524956448999998</v>
          </cell>
          <cell r="G155">
            <v>56.868012380000003</v>
          </cell>
          <cell r="H155">
            <v>9.8057136017000008</v>
          </cell>
          <cell r="I155" t="str">
            <v>Air/Non-Local PT</v>
          </cell>
          <cell r="J155" t="str">
            <v>2042/43</v>
          </cell>
        </row>
        <row r="156">
          <cell r="A156" t="str">
            <v>02 AUCKLAND</v>
          </cell>
          <cell r="B156">
            <v>11</v>
          </cell>
          <cell r="C156">
            <v>2013</v>
          </cell>
          <cell r="D156">
            <v>49</v>
          </cell>
          <cell r="E156">
            <v>220</v>
          </cell>
          <cell r="F156">
            <v>12.895006201999999</v>
          </cell>
          <cell r="G156">
            <v>179.51641304</v>
          </cell>
          <cell r="H156">
            <v>5.2074041506000004</v>
          </cell>
          <cell r="I156" t="str">
            <v>Non-Household Travel</v>
          </cell>
          <cell r="J156" t="str">
            <v>2012/13</v>
          </cell>
        </row>
        <row r="157">
          <cell r="A157" t="str">
            <v>02 AUCKLAND</v>
          </cell>
          <cell r="B157">
            <v>11</v>
          </cell>
          <cell r="C157">
            <v>2018</v>
          </cell>
          <cell r="D157">
            <v>49</v>
          </cell>
          <cell r="E157">
            <v>220</v>
          </cell>
          <cell r="F157">
            <v>13.882104159000001</v>
          </cell>
          <cell r="G157">
            <v>190.17794527000001</v>
          </cell>
          <cell r="H157">
            <v>5.5708770803999998</v>
          </cell>
          <cell r="I157" t="str">
            <v>Non-Household Travel</v>
          </cell>
          <cell r="J157" t="str">
            <v>2017/18</v>
          </cell>
        </row>
        <row r="158">
          <cell r="A158" t="str">
            <v>02 AUCKLAND</v>
          </cell>
          <cell r="B158">
            <v>11</v>
          </cell>
          <cell r="C158">
            <v>2023</v>
          </cell>
          <cell r="D158">
            <v>49</v>
          </cell>
          <cell r="E158">
            <v>220</v>
          </cell>
          <cell r="F158">
            <v>14.41128413</v>
          </cell>
          <cell r="G158">
            <v>195.15185961</v>
          </cell>
          <cell r="H158">
            <v>5.7394633974999998</v>
          </cell>
          <cell r="I158" t="str">
            <v>Non-Household Travel</v>
          </cell>
          <cell r="J158" t="str">
            <v>2022/23</v>
          </cell>
        </row>
        <row r="159">
          <cell r="A159" t="str">
            <v>02 AUCKLAND</v>
          </cell>
          <cell r="B159">
            <v>11</v>
          </cell>
          <cell r="C159">
            <v>2028</v>
          </cell>
          <cell r="D159">
            <v>49</v>
          </cell>
          <cell r="E159">
            <v>220</v>
          </cell>
          <cell r="F159">
            <v>14.633890203</v>
          </cell>
          <cell r="G159">
            <v>195.87755729</v>
          </cell>
          <cell r="H159">
            <v>5.7695390095999999</v>
          </cell>
          <cell r="I159" t="str">
            <v>Non-Household Travel</v>
          </cell>
          <cell r="J159" t="str">
            <v>2027/28</v>
          </cell>
        </row>
        <row r="160">
          <cell r="A160" t="str">
            <v>02 AUCKLAND</v>
          </cell>
          <cell r="B160">
            <v>11</v>
          </cell>
          <cell r="C160">
            <v>2033</v>
          </cell>
          <cell r="D160">
            <v>49</v>
          </cell>
          <cell r="E160">
            <v>220</v>
          </cell>
          <cell r="F160">
            <v>15.053972889000001</v>
          </cell>
          <cell r="G160">
            <v>199.22886603000001</v>
          </cell>
          <cell r="H160">
            <v>5.9044775944000003</v>
          </cell>
          <cell r="I160" t="str">
            <v>Non-Household Travel</v>
          </cell>
          <cell r="J160" t="str">
            <v>2032/33</v>
          </cell>
        </row>
        <row r="161">
          <cell r="A161" t="str">
            <v>02 AUCKLAND</v>
          </cell>
          <cell r="B161">
            <v>11</v>
          </cell>
          <cell r="C161">
            <v>2038</v>
          </cell>
          <cell r="D161">
            <v>49</v>
          </cell>
          <cell r="E161">
            <v>220</v>
          </cell>
          <cell r="F161">
            <v>15.683585963000001</v>
          </cell>
          <cell r="G161">
            <v>206.00090979000001</v>
          </cell>
          <cell r="H161">
            <v>6.1284525312999998</v>
          </cell>
          <cell r="I161" t="str">
            <v>Non-Household Travel</v>
          </cell>
          <cell r="J161" t="str">
            <v>2037/38</v>
          </cell>
        </row>
        <row r="162">
          <cell r="A162" t="str">
            <v>02 AUCKLAND</v>
          </cell>
          <cell r="B162">
            <v>11</v>
          </cell>
          <cell r="C162">
            <v>2043</v>
          </cell>
          <cell r="D162">
            <v>49</v>
          </cell>
          <cell r="E162">
            <v>220</v>
          </cell>
          <cell r="F162">
            <v>16.214620775</v>
          </cell>
          <cell r="G162">
            <v>211.47261245000001</v>
          </cell>
          <cell r="H162">
            <v>6.3189890536000002</v>
          </cell>
          <cell r="I162" t="str">
            <v>Non-Household Travel</v>
          </cell>
          <cell r="J162" t="str">
            <v>2042/43</v>
          </cell>
        </row>
        <row r="163">
          <cell r="A163" t="str">
            <v>03 WAIKATO</v>
          </cell>
          <cell r="B163">
            <v>0</v>
          </cell>
          <cell r="C163">
            <v>2013</v>
          </cell>
          <cell r="D163">
            <v>628</v>
          </cell>
          <cell r="E163">
            <v>2089</v>
          </cell>
          <cell r="F163">
            <v>68.689195601999998</v>
          </cell>
          <cell r="G163">
            <v>52.675735545000002</v>
          </cell>
          <cell r="H163">
            <v>13.69170819</v>
          </cell>
          <cell r="I163" t="str">
            <v>Pedestrian</v>
          </cell>
          <cell r="J163" t="str">
            <v>2012/13</v>
          </cell>
        </row>
        <row r="164">
          <cell r="A164" t="str">
            <v>03 WAIKATO</v>
          </cell>
          <cell r="B164">
            <v>0</v>
          </cell>
          <cell r="C164">
            <v>2018</v>
          </cell>
          <cell r="D164">
            <v>628</v>
          </cell>
          <cell r="E164">
            <v>2089</v>
          </cell>
          <cell r="F164">
            <v>72.258477494999994</v>
          </cell>
          <cell r="G164">
            <v>55.208684005000002</v>
          </cell>
          <cell r="H164">
            <v>14.304164049000001</v>
          </cell>
          <cell r="I164" t="str">
            <v>Pedestrian</v>
          </cell>
          <cell r="J164" t="str">
            <v>2017/18</v>
          </cell>
        </row>
        <row r="165">
          <cell r="A165" t="str">
            <v>03 WAIKATO</v>
          </cell>
          <cell r="B165">
            <v>0</v>
          </cell>
          <cell r="C165">
            <v>2023</v>
          </cell>
          <cell r="D165">
            <v>628</v>
          </cell>
          <cell r="E165">
            <v>2089</v>
          </cell>
          <cell r="F165">
            <v>74.409558212999997</v>
          </cell>
          <cell r="G165">
            <v>56.795656989999998</v>
          </cell>
          <cell r="H165">
            <v>14.694834445</v>
          </cell>
          <cell r="I165" t="str">
            <v>Pedestrian</v>
          </cell>
          <cell r="J165" t="str">
            <v>2022/23</v>
          </cell>
        </row>
        <row r="166">
          <cell r="A166" t="str">
            <v>03 WAIKATO</v>
          </cell>
          <cell r="B166">
            <v>0</v>
          </cell>
          <cell r="C166">
            <v>2028</v>
          </cell>
          <cell r="D166">
            <v>628</v>
          </cell>
          <cell r="E166">
            <v>2089</v>
          </cell>
          <cell r="F166">
            <v>76.011718606000002</v>
          </cell>
          <cell r="G166">
            <v>57.514702135</v>
          </cell>
          <cell r="H166">
            <v>14.856618224</v>
          </cell>
          <cell r="I166" t="str">
            <v>Pedestrian</v>
          </cell>
          <cell r="J166" t="str">
            <v>2027/28</v>
          </cell>
        </row>
        <row r="167">
          <cell r="A167" t="str">
            <v>03 WAIKATO</v>
          </cell>
          <cell r="B167">
            <v>0</v>
          </cell>
          <cell r="C167">
            <v>2033</v>
          </cell>
          <cell r="D167">
            <v>628</v>
          </cell>
          <cell r="E167">
            <v>2089</v>
          </cell>
          <cell r="F167">
            <v>76.862890426999996</v>
          </cell>
          <cell r="G167">
            <v>57.542433349</v>
          </cell>
          <cell r="H167">
            <v>14.87628525</v>
          </cell>
          <cell r="I167" t="str">
            <v>Pedestrian</v>
          </cell>
          <cell r="J167" t="str">
            <v>2032/33</v>
          </cell>
        </row>
        <row r="168">
          <cell r="A168" t="str">
            <v>03 WAIKATO</v>
          </cell>
          <cell r="B168">
            <v>0</v>
          </cell>
          <cell r="C168">
            <v>2038</v>
          </cell>
          <cell r="D168">
            <v>628</v>
          </cell>
          <cell r="E168">
            <v>2089</v>
          </cell>
          <cell r="F168">
            <v>76.811026482000003</v>
          </cell>
          <cell r="G168">
            <v>57.249177396</v>
          </cell>
          <cell r="H168">
            <v>14.766309467999999</v>
          </cell>
          <cell r="I168" t="str">
            <v>Pedestrian</v>
          </cell>
          <cell r="J168" t="str">
            <v>2037/38</v>
          </cell>
        </row>
        <row r="169">
          <cell r="A169" t="str">
            <v>03 WAIKATO</v>
          </cell>
          <cell r="B169">
            <v>0</v>
          </cell>
          <cell r="C169">
            <v>2043</v>
          </cell>
          <cell r="D169">
            <v>628</v>
          </cell>
          <cell r="E169">
            <v>2089</v>
          </cell>
          <cell r="F169">
            <v>76.484403732999994</v>
          </cell>
          <cell r="G169">
            <v>56.789133544999999</v>
          </cell>
          <cell r="H169">
            <v>14.605380390000001</v>
          </cell>
          <cell r="I169" t="str">
            <v>Pedestrian</v>
          </cell>
          <cell r="J169" t="str">
            <v>2042/43</v>
          </cell>
        </row>
        <row r="170">
          <cell r="A170" t="str">
            <v>03 WAIKATO</v>
          </cell>
          <cell r="B170">
            <v>1</v>
          </cell>
          <cell r="C170">
            <v>2013</v>
          </cell>
          <cell r="D170">
            <v>60</v>
          </cell>
          <cell r="E170">
            <v>183</v>
          </cell>
          <cell r="F170">
            <v>5.8956498267999997</v>
          </cell>
          <cell r="G170">
            <v>21.829422874999999</v>
          </cell>
          <cell r="H170">
            <v>1.7805943500000001</v>
          </cell>
          <cell r="I170" t="str">
            <v>Cyclist</v>
          </cell>
          <cell r="J170" t="str">
            <v>2012/13</v>
          </cell>
        </row>
        <row r="171">
          <cell r="A171" t="str">
            <v>03 WAIKATO</v>
          </cell>
          <cell r="B171">
            <v>1</v>
          </cell>
          <cell r="C171">
            <v>2018</v>
          </cell>
          <cell r="D171">
            <v>60</v>
          </cell>
          <cell r="E171">
            <v>183</v>
          </cell>
          <cell r="F171">
            <v>6.1860716909000004</v>
          </cell>
          <cell r="G171">
            <v>22.632745491000001</v>
          </cell>
          <cell r="H171">
            <v>1.8871609659999999</v>
          </cell>
          <cell r="I171" t="str">
            <v>Cyclist</v>
          </cell>
          <cell r="J171" t="str">
            <v>2017/18</v>
          </cell>
        </row>
        <row r="172">
          <cell r="A172" t="str">
            <v>03 WAIKATO</v>
          </cell>
          <cell r="B172">
            <v>1</v>
          </cell>
          <cell r="C172">
            <v>2023</v>
          </cell>
          <cell r="D172">
            <v>60</v>
          </cell>
          <cell r="E172">
            <v>183</v>
          </cell>
          <cell r="F172">
            <v>6.4966932080999999</v>
          </cell>
          <cell r="G172">
            <v>23.324990079999999</v>
          </cell>
          <cell r="H172">
            <v>1.9906934175</v>
          </cell>
          <cell r="I172" t="str">
            <v>Cyclist</v>
          </cell>
          <cell r="J172" t="str">
            <v>2022/23</v>
          </cell>
        </row>
        <row r="173">
          <cell r="A173" t="str">
            <v>03 WAIKATO</v>
          </cell>
          <cell r="B173">
            <v>1</v>
          </cell>
          <cell r="C173">
            <v>2028</v>
          </cell>
          <cell r="D173">
            <v>60</v>
          </cell>
          <cell r="E173">
            <v>183</v>
          </cell>
          <cell r="F173">
            <v>6.6651491368000002</v>
          </cell>
          <cell r="G173">
            <v>23.438016534999999</v>
          </cell>
          <cell r="H173">
            <v>2.0367725298999999</v>
          </cell>
          <cell r="I173" t="str">
            <v>Cyclist</v>
          </cell>
          <cell r="J173" t="str">
            <v>2027/28</v>
          </cell>
        </row>
        <row r="174">
          <cell r="A174" t="str">
            <v>03 WAIKATO</v>
          </cell>
          <cell r="B174">
            <v>1</v>
          </cell>
          <cell r="C174">
            <v>2033</v>
          </cell>
          <cell r="D174">
            <v>60</v>
          </cell>
          <cell r="E174">
            <v>183</v>
          </cell>
          <cell r="F174">
            <v>6.8642567968000003</v>
          </cell>
          <cell r="G174">
            <v>23.609239747</v>
          </cell>
          <cell r="H174">
            <v>2.090863111</v>
          </cell>
          <cell r="I174" t="str">
            <v>Cyclist</v>
          </cell>
          <cell r="J174" t="str">
            <v>2032/33</v>
          </cell>
        </row>
        <row r="175">
          <cell r="A175" t="str">
            <v>03 WAIKATO</v>
          </cell>
          <cell r="B175">
            <v>1</v>
          </cell>
          <cell r="C175">
            <v>2038</v>
          </cell>
          <cell r="D175">
            <v>60</v>
          </cell>
          <cell r="E175">
            <v>183</v>
          </cell>
          <cell r="F175">
            <v>7.1187575123000002</v>
          </cell>
          <cell r="G175">
            <v>23.773394965000001</v>
          </cell>
          <cell r="H175">
            <v>2.1719885346000001</v>
          </cell>
          <cell r="I175" t="str">
            <v>Cyclist</v>
          </cell>
          <cell r="J175" t="str">
            <v>2037/38</v>
          </cell>
        </row>
        <row r="176">
          <cell r="A176" t="str">
            <v>03 WAIKATO</v>
          </cell>
          <cell r="B176">
            <v>1</v>
          </cell>
          <cell r="C176">
            <v>2043</v>
          </cell>
          <cell r="D176">
            <v>60</v>
          </cell>
          <cell r="E176">
            <v>183</v>
          </cell>
          <cell r="F176">
            <v>7.3805511666000001</v>
          </cell>
          <cell r="G176">
            <v>23.845457355000001</v>
          </cell>
          <cell r="H176">
            <v>2.2572545791</v>
          </cell>
          <cell r="I176" t="str">
            <v>Cyclist</v>
          </cell>
          <cell r="J176" t="str">
            <v>2042/43</v>
          </cell>
        </row>
        <row r="177">
          <cell r="A177" t="str">
            <v>03 WAIKATO</v>
          </cell>
          <cell r="B177">
            <v>2</v>
          </cell>
          <cell r="C177">
            <v>2013</v>
          </cell>
          <cell r="D177">
            <v>1302</v>
          </cell>
          <cell r="E177">
            <v>9074</v>
          </cell>
          <cell r="F177">
            <v>305.41478153000003</v>
          </cell>
          <cell r="G177">
            <v>3709.9843593000001</v>
          </cell>
          <cell r="H177">
            <v>82.274552721999996</v>
          </cell>
          <cell r="I177" t="str">
            <v>Light Vehicle Driver</v>
          </cell>
          <cell r="J177" t="str">
            <v>2012/13</v>
          </cell>
        </row>
        <row r="178">
          <cell r="A178" t="str">
            <v>03 WAIKATO</v>
          </cell>
          <cell r="B178">
            <v>2</v>
          </cell>
          <cell r="C178">
            <v>2018</v>
          </cell>
          <cell r="D178">
            <v>1302</v>
          </cell>
          <cell r="E178">
            <v>9074</v>
          </cell>
          <cell r="F178">
            <v>330.29876482999998</v>
          </cell>
          <cell r="G178">
            <v>4002.4446392</v>
          </cell>
          <cell r="H178">
            <v>88.893635059999994</v>
          </cell>
          <cell r="I178" t="str">
            <v>Light Vehicle Driver</v>
          </cell>
          <cell r="J178" t="str">
            <v>2017/18</v>
          </cell>
        </row>
        <row r="179">
          <cell r="A179" t="str">
            <v>03 WAIKATO</v>
          </cell>
          <cell r="B179">
            <v>2</v>
          </cell>
          <cell r="C179">
            <v>2023</v>
          </cell>
          <cell r="D179">
            <v>1302</v>
          </cell>
          <cell r="E179">
            <v>9074</v>
          </cell>
          <cell r="F179">
            <v>345.21511448000001</v>
          </cell>
          <cell r="G179">
            <v>4182.2287169000001</v>
          </cell>
          <cell r="H179">
            <v>92.839139782999993</v>
          </cell>
          <cell r="I179" t="str">
            <v>Light Vehicle Driver</v>
          </cell>
          <cell r="J179" t="str">
            <v>2022/23</v>
          </cell>
        </row>
        <row r="180">
          <cell r="A180" t="str">
            <v>03 WAIKATO</v>
          </cell>
          <cell r="B180">
            <v>2</v>
          </cell>
          <cell r="C180">
            <v>2028</v>
          </cell>
          <cell r="D180">
            <v>1302</v>
          </cell>
          <cell r="E180">
            <v>9074</v>
          </cell>
          <cell r="F180">
            <v>359.81501169000001</v>
          </cell>
          <cell r="G180">
            <v>4359.7222639000001</v>
          </cell>
          <cell r="H180">
            <v>96.698583576999994</v>
          </cell>
          <cell r="I180" t="str">
            <v>Light Vehicle Driver</v>
          </cell>
          <cell r="J180" t="str">
            <v>2027/28</v>
          </cell>
        </row>
        <row r="181">
          <cell r="A181" t="str">
            <v>03 WAIKATO</v>
          </cell>
          <cell r="B181">
            <v>2</v>
          </cell>
          <cell r="C181">
            <v>2033</v>
          </cell>
          <cell r="D181">
            <v>1302</v>
          </cell>
          <cell r="E181">
            <v>9074</v>
          </cell>
          <cell r="F181">
            <v>372.43632517999998</v>
          </cell>
          <cell r="G181">
            <v>4510.7520056000003</v>
          </cell>
          <cell r="H181">
            <v>99.973836821999996</v>
          </cell>
          <cell r="I181" t="str">
            <v>Light Vehicle Driver</v>
          </cell>
          <cell r="J181" t="str">
            <v>2032/33</v>
          </cell>
        </row>
        <row r="182">
          <cell r="A182" t="str">
            <v>03 WAIKATO</v>
          </cell>
          <cell r="B182">
            <v>2</v>
          </cell>
          <cell r="C182">
            <v>2038</v>
          </cell>
          <cell r="D182">
            <v>1302</v>
          </cell>
          <cell r="E182">
            <v>9074</v>
          </cell>
          <cell r="F182">
            <v>379.88178004000002</v>
          </cell>
          <cell r="G182">
            <v>4600.8706493999998</v>
          </cell>
          <cell r="H182">
            <v>101.88054483000001</v>
          </cell>
          <cell r="I182" t="str">
            <v>Light Vehicle Driver</v>
          </cell>
          <cell r="J182" t="str">
            <v>2037/38</v>
          </cell>
        </row>
        <row r="183">
          <cell r="A183" t="str">
            <v>03 WAIKATO</v>
          </cell>
          <cell r="B183">
            <v>2</v>
          </cell>
          <cell r="C183">
            <v>2043</v>
          </cell>
          <cell r="D183">
            <v>1302</v>
          </cell>
          <cell r="E183">
            <v>9074</v>
          </cell>
          <cell r="F183">
            <v>385.66445700999998</v>
          </cell>
          <cell r="G183">
            <v>4670.4442607999999</v>
          </cell>
          <cell r="H183">
            <v>103.34460266000001</v>
          </cell>
          <cell r="I183" t="str">
            <v>Light Vehicle Driver</v>
          </cell>
          <cell r="J183" t="str">
            <v>2042/43</v>
          </cell>
        </row>
        <row r="184">
          <cell r="A184" t="str">
            <v>03 WAIKATO</v>
          </cell>
          <cell r="B184">
            <v>3</v>
          </cell>
          <cell r="C184">
            <v>2013</v>
          </cell>
          <cell r="D184">
            <v>931</v>
          </cell>
          <cell r="E184">
            <v>4349</v>
          </cell>
          <cell r="F184">
            <v>139.07206360000001</v>
          </cell>
          <cell r="G184">
            <v>1955.0668243</v>
          </cell>
          <cell r="H184">
            <v>42.037273755000001</v>
          </cell>
          <cell r="I184" t="str">
            <v>Light Vehicle Passenger</v>
          </cell>
          <cell r="J184" t="str">
            <v>2012/13</v>
          </cell>
        </row>
        <row r="185">
          <cell r="A185" t="str">
            <v>03 WAIKATO</v>
          </cell>
          <cell r="B185">
            <v>3</v>
          </cell>
          <cell r="C185">
            <v>2018</v>
          </cell>
          <cell r="D185">
            <v>931</v>
          </cell>
          <cell r="E185">
            <v>4349</v>
          </cell>
          <cell r="F185">
            <v>142.11637804</v>
          </cell>
          <cell r="G185">
            <v>2033.7490640000001</v>
          </cell>
          <cell r="H185">
            <v>43.521482438</v>
          </cell>
          <cell r="I185" t="str">
            <v>Light Vehicle Passenger</v>
          </cell>
          <cell r="J185" t="str">
            <v>2017/18</v>
          </cell>
        </row>
        <row r="186">
          <cell r="A186" t="str">
            <v>03 WAIKATO</v>
          </cell>
          <cell r="B186">
            <v>3</v>
          </cell>
          <cell r="C186">
            <v>2023</v>
          </cell>
          <cell r="D186">
            <v>931</v>
          </cell>
          <cell r="E186">
            <v>4349</v>
          </cell>
          <cell r="F186">
            <v>143.79781371000001</v>
          </cell>
          <cell r="G186">
            <v>2076.9316530999999</v>
          </cell>
          <cell r="H186">
            <v>44.346513686000002</v>
          </cell>
          <cell r="I186" t="str">
            <v>Light Vehicle Passenger</v>
          </cell>
          <cell r="J186" t="str">
            <v>2022/23</v>
          </cell>
        </row>
        <row r="187">
          <cell r="A187" t="str">
            <v>03 WAIKATO</v>
          </cell>
          <cell r="B187">
            <v>3</v>
          </cell>
          <cell r="C187">
            <v>2028</v>
          </cell>
          <cell r="D187">
            <v>931</v>
          </cell>
          <cell r="E187">
            <v>4349</v>
          </cell>
          <cell r="F187">
            <v>144.99975484999999</v>
          </cell>
          <cell r="G187">
            <v>2108.1734858999998</v>
          </cell>
          <cell r="H187">
            <v>44.933746507000002</v>
          </cell>
          <cell r="I187" t="str">
            <v>Light Vehicle Passenger</v>
          </cell>
          <cell r="J187" t="str">
            <v>2027/28</v>
          </cell>
        </row>
        <row r="188">
          <cell r="A188" t="str">
            <v>03 WAIKATO</v>
          </cell>
          <cell r="B188">
            <v>3</v>
          </cell>
          <cell r="C188">
            <v>2033</v>
          </cell>
          <cell r="D188">
            <v>931</v>
          </cell>
          <cell r="E188">
            <v>4349</v>
          </cell>
          <cell r="F188">
            <v>146.48890739999999</v>
          </cell>
          <cell r="G188">
            <v>2139.4295701999999</v>
          </cell>
          <cell r="H188">
            <v>45.535976818999998</v>
          </cell>
          <cell r="I188" t="str">
            <v>Light Vehicle Passenger</v>
          </cell>
          <cell r="J188" t="str">
            <v>2032/33</v>
          </cell>
        </row>
        <row r="189">
          <cell r="A189" t="str">
            <v>03 WAIKATO</v>
          </cell>
          <cell r="B189">
            <v>3</v>
          </cell>
          <cell r="C189">
            <v>2038</v>
          </cell>
          <cell r="D189">
            <v>931</v>
          </cell>
          <cell r="E189">
            <v>4349</v>
          </cell>
          <cell r="F189">
            <v>146.38801282</v>
          </cell>
          <cell r="G189">
            <v>2144.2184969</v>
          </cell>
          <cell r="H189">
            <v>45.602521842000002</v>
          </cell>
          <cell r="I189" t="str">
            <v>Light Vehicle Passenger</v>
          </cell>
          <cell r="J189" t="str">
            <v>2037/38</v>
          </cell>
        </row>
        <row r="190">
          <cell r="A190" t="str">
            <v>03 WAIKATO</v>
          </cell>
          <cell r="B190">
            <v>3</v>
          </cell>
          <cell r="C190">
            <v>2043</v>
          </cell>
          <cell r="D190">
            <v>931</v>
          </cell>
          <cell r="E190">
            <v>4349</v>
          </cell>
          <cell r="F190">
            <v>145.37489722000001</v>
          </cell>
          <cell r="G190">
            <v>2134.7262110000001</v>
          </cell>
          <cell r="H190">
            <v>45.374472976</v>
          </cell>
          <cell r="I190" t="str">
            <v>Light Vehicle Passenger</v>
          </cell>
          <cell r="J190" t="str">
            <v>2042/43</v>
          </cell>
        </row>
        <row r="191">
          <cell r="A191" t="str">
            <v>03 WAIKATO</v>
          </cell>
          <cell r="B191">
            <v>4</v>
          </cell>
          <cell r="C191">
            <v>2013</v>
          </cell>
          <cell r="D191">
            <v>13</v>
          </cell>
          <cell r="E191">
            <v>20</v>
          </cell>
          <cell r="F191">
            <v>0.69122996950000004</v>
          </cell>
          <cell r="G191">
            <v>2.4426175743999998</v>
          </cell>
          <cell r="H191">
            <v>0.1633822556</v>
          </cell>
          <cell r="J191" t="str">
            <v>2012/13</v>
          </cell>
        </row>
        <row r="192">
          <cell r="A192" t="str">
            <v>03 WAIKATO</v>
          </cell>
          <cell r="B192">
            <v>4</v>
          </cell>
          <cell r="C192">
            <v>2018</v>
          </cell>
          <cell r="D192">
            <v>13</v>
          </cell>
          <cell r="E192">
            <v>20</v>
          </cell>
          <cell r="F192">
            <v>0.81565700559999998</v>
          </cell>
          <cell r="G192">
            <v>2.9879469715</v>
          </cell>
          <cell r="H192">
            <v>0.19543850779999999</v>
          </cell>
          <cell r="J192" t="str">
            <v>2017/18</v>
          </cell>
        </row>
        <row r="193">
          <cell r="A193" t="str">
            <v>03 WAIKATO</v>
          </cell>
          <cell r="B193">
            <v>4</v>
          </cell>
          <cell r="C193">
            <v>2023</v>
          </cell>
          <cell r="D193">
            <v>13</v>
          </cell>
          <cell r="E193">
            <v>20</v>
          </cell>
          <cell r="F193">
            <v>0.89059021719999998</v>
          </cell>
          <cell r="G193">
            <v>3.3605150725000001</v>
          </cell>
          <cell r="H193">
            <v>0.21613281409999999</v>
          </cell>
          <cell r="J193" t="str">
            <v>2022/23</v>
          </cell>
        </row>
        <row r="194">
          <cell r="A194" t="str">
            <v>03 WAIKATO</v>
          </cell>
          <cell r="B194">
            <v>4</v>
          </cell>
          <cell r="C194">
            <v>2028</v>
          </cell>
          <cell r="D194">
            <v>13</v>
          </cell>
          <cell r="E194">
            <v>20</v>
          </cell>
          <cell r="F194">
            <v>0.92931547489999999</v>
          </cell>
          <cell r="G194">
            <v>3.6563511143</v>
          </cell>
          <cell r="H194">
            <v>0.230939691</v>
          </cell>
          <cell r="J194" t="str">
            <v>2027/28</v>
          </cell>
        </row>
        <row r="195">
          <cell r="A195" t="str">
            <v>03 WAIKATO</v>
          </cell>
          <cell r="B195">
            <v>4</v>
          </cell>
          <cell r="C195">
            <v>2033</v>
          </cell>
          <cell r="D195">
            <v>13</v>
          </cell>
          <cell r="E195">
            <v>20</v>
          </cell>
          <cell r="F195">
            <v>0.95376628990000001</v>
          </cell>
          <cell r="G195">
            <v>3.8724128494999999</v>
          </cell>
          <cell r="H195">
            <v>0.24086022679999999</v>
          </cell>
          <cell r="J195" t="str">
            <v>2032/33</v>
          </cell>
        </row>
        <row r="196">
          <cell r="A196" t="str">
            <v>03 WAIKATO</v>
          </cell>
          <cell r="B196">
            <v>4</v>
          </cell>
          <cell r="C196">
            <v>2038</v>
          </cell>
          <cell r="D196">
            <v>13</v>
          </cell>
          <cell r="E196">
            <v>20</v>
          </cell>
          <cell r="F196">
            <v>0.9510391534</v>
          </cell>
          <cell r="G196">
            <v>3.9639561427999999</v>
          </cell>
          <cell r="H196">
            <v>0.24114815479999999</v>
          </cell>
          <cell r="J196" t="str">
            <v>2037/38</v>
          </cell>
        </row>
        <row r="197">
          <cell r="A197" t="str">
            <v>03 WAIKATO</v>
          </cell>
          <cell r="B197">
            <v>4</v>
          </cell>
          <cell r="C197">
            <v>2043</v>
          </cell>
          <cell r="D197">
            <v>13</v>
          </cell>
          <cell r="E197">
            <v>20</v>
          </cell>
          <cell r="F197">
            <v>0.94668030140000003</v>
          </cell>
          <cell r="G197">
            <v>4.0583560696000003</v>
          </cell>
          <cell r="H197">
            <v>0.2412706016</v>
          </cell>
          <cell r="J197" t="str">
            <v>2042/43</v>
          </cell>
        </row>
        <row r="198">
          <cell r="A198" t="str">
            <v>03 WAIKATO</v>
          </cell>
          <cell r="B198">
            <v>5</v>
          </cell>
          <cell r="C198">
            <v>2013</v>
          </cell>
          <cell r="D198">
            <v>16</v>
          </cell>
          <cell r="E198">
            <v>51</v>
          </cell>
          <cell r="F198">
            <v>1.8680965575999999</v>
          </cell>
          <cell r="G198">
            <v>38.030338682999997</v>
          </cell>
          <cell r="H198">
            <v>0.60639269429999998</v>
          </cell>
          <cell r="I198" t="str">
            <v>Motorcyclist</v>
          </cell>
          <cell r="J198" t="str">
            <v>2012/13</v>
          </cell>
        </row>
        <row r="199">
          <cell r="A199" t="str">
            <v>03 WAIKATO</v>
          </cell>
          <cell r="B199">
            <v>5</v>
          </cell>
          <cell r="C199">
            <v>2018</v>
          </cell>
          <cell r="D199">
            <v>16</v>
          </cell>
          <cell r="E199">
            <v>51</v>
          </cell>
          <cell r="F199">
            <v>1.8105065215</v>
          </cell>
          <cell r="G199">
            <v>39.067269113999998</v>
          </cell>
          <cell r="H199">
            <v>0.60472408720000004</v>
          </cell>
          <cell r="I199" t="str">
            <v>Motorcyclist</v>
          </cell>
          <cell r="J199" t="str">
            <v>2017/18</v>
          </cell>
        </row>
        <row r="200">
          <cell r="A200" t="str">
            <v>03 WAIKATO</v>
          </cell>
          <cell r="B200">
            <v>5</v>
          </cell>
          <cell r="C200">
            <v>2023</v>
          </cell>
          <cell r="D200">
            <v>16</v>
          </cell>
          <cell r="E200">
            <v>51</v>
          </cell>
          <cell r="F200">
            <v>1.7566280296000001</v>
          </cell>
          <cell r="G200">
            <v>39.341600004</v>
          </cell>
          <cell r="H200">
            <v>0.60112393710000001</v>
          </cell>
          <cell r="I200" t="str">
            <v>Motorcyclist</v>
          </cell>
          <cell r="J200" t="str">
            <v>2022/23</v>
          </cell>
        </row>
        <row r="201">
          <cell r="A201" t="str">
            <v>03 WAIKATO</v>
          </cell>
          <cell r="B201">
            <v>5</v>
          </cell>
          <cell r="C201">
            <v>2028</v>
          </cell>
          <cell r="D201">
            <v>16</v>
          </cell>
          <cell r="E201">
            <v>51</v>
          </cell>
          <cell r="F201">
            <v>1.7016727361999999</v>
          </cell>
          <cell r="G201">
            <v>38.273178999000002</v>
          </cell>
          <cell r="H201">
            <v>0.58658774719999995</v>
          </cell>
          <cell r="I201" t="str">
            <v>Motorcyclist</v>
          </cell>
          <cell r="J201" t="str">
            <v>2027/28</v>
          </cell>
        </row>
        <row r="202">
          <cell r="A202" t="str">
            <v>03 WAIKATO</v>
          </cell>
          <cell r="B202">
            <v>5</v>
          </cell>
          <cell r="C202">
            <v>2033</v>
          </cell>
          <cell r="D202">
            <v>16</v>
          </cell>
          <cell r="E202">
            <v>51</v>
          </cell>
          <cell r="F202">
            <v>1.6399714889000001</v>
          </cell>
          <cell r="G202">
            <v>35.986495767000001</v>
          </cell>
          <cell r="H202">
            <v>0.5580878011</v>
          </cell>
          <cell r="I202" t="str">
            <v>Motorcyclist</v>
          </cell>
          <cell r="J202" t="str">
            <v>2032/33</v>
          </cell>
        </row>
        <row r="203">
          <cell r="A203" t="str">
            <v>03 WAIKATO</v>
          </cell>
          <cell r="B203">
            <v>5</v>
          </cell>
          <cell r="C203">
            <v>2038</v>
          </cell>
          <cell r="D203">
            <v>16</v>
          </cell>
          <cell r="E203">
            <v>51</v>
          </cell>
          <cell r="F203">
            <v>1.5227283914</v>
          </cell>
          <cell r="G203">
            <v>32.244708412000001</v>
          </cell>
          <cell r="H203">
            <v>0.50559415919999995</v>
          </cell>
          <cell r="I203" t="str">
            <v>Motorcyclist</v>
          </cell>
          <cell r="J203" t="str">
            <v>2037/38</v>
          </cell>
        </row>
        <row r="204">
          <cell r="A204" t="str">
            <v>03 WAIKATO</v>
          </cell>
          <cell r="B204">
            <v>5</v>
          </cell>
          <cell r="C204">
            <v>2043</v>
          </cell>
          <cell r="D204">
            <v>16</v>
          </cell>
          <cell r="E204">
            <v>51</v>
          </cell>
          <cell r="F204">
            <v>1.4065124389999999</v>
          </cell>
          <cell r="G204">
            <v>28.540054794</v>
          </cell>
          <cell r="H204">
            <v>0.45355252159999998</v>
          </cell>
          <cell r="I204" t="str">
            <v>Motorcyclist</v>
          </cell>
          <cell r="J204" t="str">
            <v>2042/43</v>
          </cell>
        </row>
        <row r="205">
          <cell r="A205" t="str">
            <v>03 WAIKATO</v>
          </cell>
          <cell r="B205">
            <v>6</v>
          </cell>
          <cell r="C205">
            <v>2013</v>
          </cell>
          <cell r="D205">
            <v>2</v>
          </cell>
          <cell r="E205">
            <v>5</v>
          </cell>
          <cell r="F205">
            <v>0.12019006359999999</v>
          </cell>
          <cell r="G205">
            <v>2.9773519310999998</v>
          </cell>
          <cell r="H205">
            <v>7.0969514100000006E-2</v>
          </cell>
          <cell r="I205" t="str">
            <v>Local Train</v>
          </cell>
          <cell r="J205" t="str">
            <v>2012/13</v>
          </cell>
        </row>
        <row r="206">
          <cell r="A206" t="str">
            <v>03 WAIKATO</v>
          </cell>
          <cell r="B206">
            <v>6</v>
          </cell>
          <cell r="C206">
            <v>2018</v>
          </cell>
          <cell r="D206">
            <v>2</v>
          </cell>
          <cell r="E206">
            <v>5</v>
          </cell>
          <cell r="F206">
            <v>0.12603751490000001</v>
          </cell>
          <cell r="G206">
            <v>3.2247440363000002</v>
          </cell>
          <cell r="H206">
            <v>7.6824290700000006E-2</v>
          </cell>
          <cell r="I206" t="str">
            <v>Local Train</v>
          </cell>
          <cell r="J206" t="str">
            <v>2017/18</v>
          </cell>
        </row>
        <row r="207">
          <cell r="A207" t="str">
            <v>03 WAIKATO</v>
          </cell>
          <cell r="B207">
            <v>6</v>
          </cell>
          <cell r="C207">
            <v>2023</v>
          </cell>
          <cell r="D207">
            <v>2</v>
          </cell>
          <cell r="E207">
            <v>5</v>
          </cell>
          <cell r="F207">
            <v>0.1386505321</v>
          </cell>
          <cell r="G207">
            <v>3.7852317361000001</v>
          </cell>
          <cell r="H207">
            <v>9.0082312900000003E-2</v>
          </cell>
          <cell r="I207" t="str">
            <v>Local Train</v>
          </cell>
          <cell r="J207" t="str">
            <v>2022/23</v>
          </cell>
        </row>
        <row r="208">
          <cell r="A208" t="str">
            <v>03 WAIKATO</v>
          </cell>
          <cell r="B208">
            <v>6</v>
          </cell>
          <cell r="C208">
            <v>2028</v>
          </cell>
          <cell r="D208">
            <v>2</v>
          </cell>
          <cell r="E208">
            <v>5</v>
          </cell>
          <cell r="F208">
            <v>0.1530656155</v>
          </cell>
          <cell r="G208">
            <v>4.2715674273999999</v>
          </cell>
          <cell r="H208">
            <v>0.1016216734</v>
          </cell>
          <cell r="I208" t="str">
            <v>Local Train</v>
          </cell>
          <cell r="J208" t="str">
            <v>2027/28</v>
          </cell>
        </row>
        <row r="209">
          <cell r="A209" t="str">
            <v>03 WAIKATO</v>
          </cell>
          <cell r="B209">
            <v>6</v>
          </cell>
          <cell r="C209">
            <v>2033</v>
          </cell>
          <cell r="D209">
            <v>2</v>
          </cell>
          <cell r="E209">
            <v>5</v>
          </cell>
          <cell r="F209">
            <v>0.16319836739999999</v>
          </cell>
          <cell r="G209">
            <v>4.5838057079999999</v>
          </cell>
          <cell r="H209">
            <v>0.1090391434</v>
          </cell>
          <cell r="I209" t="str">
            <v>Local Train</v>
          </cell>
          <cell r="J209" t="str">
            <v>2032/33</v>
          </cell>
        </row>
        <row r="210">
          <cell r="A210" t="str">
            <v>03 WAIKATO</v>
          </cell>
          <cell r="B210">
            <v>6</v>
          </cell>
          <cell r="C210">
            <v>2038</v>
          </cell>
          <cell r="D210">
            <v>2</v>
          </cell>
          <cell r="E210">
            <v>5</v>
          </cell>
          <cell r="F210">
            <v>0.16873562380000001</v>
          </cell>
          <cell r="G210">
            <v>4.8505736543999998</v>
          </cell>
          <cell r="H210">
            <v>0.1153446417</v>
          </cell>
          <cell r="I210" t="str">
            <v>Local Train</v>
          </cell>
          <cell r="J210" t="str">
            <v>2037/38</v>
          </cell>
        </row>
        <row r="211">
          <cell r="A211" t="str">
            <v>03 WAIKATO</v>
          </cell>
          <cell r="B211">
            <v>6</v>
          </cell>
          <cell r="C211">
            <v>2043</v>
          </cell>
          <cell r="D211">
            <v>2</v>
          </cell>
          <cell r="E211">
            <v>5</v>
          </cell>
          <cell r="F211">
            <v>0.1724781611</v>
          </cell>
          <cell r="G211">
            <v>5.0637603946</v>
          </cell>
          <cell r="H211">
            <v>0.120376706</v>
          </cell>
          <cell r="I211" t="str">
            <v>Local Train</v>
          </cell>
          <cell r="J211" t="str">
            <v>2042/43</v>
          </cell>
        </row>
        <row r="212">
          <cell r="A212" t="str">
            <v>03 WAIKATO</v>
          </cell>
          <cell r="B212">
            <v>7</v>
          </cell>
          <cell r="C212">
            <v>2013</v>
          </cell>
          <cell r="D212">
            <v>81</v>
          </cell>
          <cell r="E212">
            <v>183</v>
          </cell>
          <cell r="F212">
            <v>5.7199103379</v>
          </cell>
          <cell r="G212">
            <v>54.303948532</v>
          </cell>
          <cell r="H212">
            <v>2.2088814398999999</v>
          </cell>
          <cell r="I212" t="str">
            <v>Local Bus</v>
          </cell>
          <cell r="J212" t="str">
            <v>2012/13</v>
          </cell>
        </row>
        <row r="213">
          <cell r="A213" t="str">
            <v>03 WAIKATO</v>
          </cell>
          <cell r="B213">
            <v>7</v>
          </cell>
          <cell r="C213">
            <v>2018</v>
          </cell>
          <cell r="D213">
            <v>81</v>
          </cell>
          <cell r="E213">
            <v>183</v>
          </cell>
          <cell r="F213">
            <v>5.7257349207999999</v>
          </cell>
          <cell r="G213">
            <v>51.536525441000002</v>
          </cell>
          <cell r="H213">
            <v>2.1784041637999998</v>
          </cell>
          <cell r="I213" t="str">
            <v>Local Bus</v>
          </cell>
          <cell r="J213" t="str">
            <v>2017/18</v>
          </cell>
        </row>
        <row r="214">
          <cell r="A214" t="str">
            <v>03 WAIKATO</v>
          </cell>
          <cell r="B214">
            <v>7</v>
          </cell>
          <cell r="C214">
            <v>2023</v>
          </cell>
          <cell r="D214">
            <v>81</v>
          </cell>
          <cell r="E214">
            <v>183</v>
          </cell>
          <cell r="F214">
            <v>5.6614309494999997</v>
          </cell>
          <cell r="G214">
            <v>50.132294424999998</v>
          </cell>
          <cell r="H214">
            <v>2.1414187404999998</v>
          </cell>
          <cell r="I214" t="str">
            <v>Local Bus</v>
          </cell>
          <cell r="J214" t="str">
            <v>2022/23</v>
          </cell>
        </row>
        <row r="215">
          <cell r="A215" t="str">
            <v>03 WAIKATO</v>
          </cell>
          <cell r="B215">
            <v>7</v>
          </cell>
          <cell r="C215">
            <v>2028</v>
          </cell>
          <cell r="D215">
            <v>81</v>
          </cell>
          <cell r="E215">
            <v>183</v>
          </cell>
          <cell r="F215">
            <v>5.6946054087000002</v>
          </cell>
          <cell r="G215">
            <v>49.492534735</v>
          </cell>
          <cell r="H215">
            <v>2.1513853402000001</v>
          </cell>
          <cell r="I215" t="str">
            <v>Local Bus</v>
          </cell>
          <cell r="J215" t="str">
            <v>2027/28</v>
          </cell>
        </row>
        <row r="216">
          <cell r="A216" t="str">
            <v>03 WAIKATO</v>
          </cell>
          <cell r="B216">
            <v>7</v>
          </cell>
          <cell r="C216">
            <v>2033</v>
          </cell>
          <cell r="D216">
            <v>81</v>
          </cell>
          <cell r="E216">
            <v>183</v>
          </cell>
          <cell r="F216">
            <v>5.7077027926000001</v>
          </cell>
          <cell r="G216">
            <v>48.566042340000003</v>
          </cell>
          <cell r="H216">
            <v>2.1495823582</v>
          </cell>
          <cell r="I216" t="str">
            <v>Local Bus</v>
          </cell>
          <cell r="J216" t="str">
            <v>2032/33</v>
          </cell>
        </row>
        <row r="217">
          <cell r="A217" t="str">
            <v>03 WAIKATO</v>
          </cell>
          <cell r="B217">
            <v>7</v>
          </cell>
          <cell r="C217">
            <v>2038</v>
          </cell>
          <cell r="D217">
            <v>81</v>
          </cell>
          <cell r="E217">
            <v>183</v>
          </cell>
          <cell r="F217">
            <v>5.6724398447000004</v>
          </cell>
          <cell r="G217">
            <v>47.671426746999998</v>
          </cell>
          <cell r="H217">
            <v>2.1339300755999999</v>
          </cell>
          <cell r="I217" t="str">
            <v>Local Bus</v>
          </cell>
          <cell r="J217" t="str">
            <v>2037/38</v>
          </cell>
        </row>
        <row r="218">
          <cell r="A218" t="str">
            <v>03 WAIKATO</v>
          </cell>
          <cell r="B218">
            <v>7</v>
          </cell>
          <cell r="C218">
            <v>2043</v>
          </cell>
          <cell r="D218">
            <v>81</v>
          </cell>
          <cell r="E218">
            <v>183</v>
          </cell>
          <cell r="F218">
            <v>5.5894233382999996</v>
          </cell>
          <cell r="G218">
            <v>46.578065094000003</v>
          </cell>
          <cell r="H218">
            <v>2.1051715586999999</v>
          </cell>
          <cell r="I218" t="str">
            <v>Local Bus</v>
          </cell>
          <cell r="J218" t="str">
            <v>2042/43</v>
          </cell>
        </row>
        <row r="219">
          <cell r="A219" t="str">
            <v>03 WAIKATO</v>
          </cell>
          <cell r="B219">
            <v>8</v>
          </cell>
          <cell r="C219">
            <v>2013</v>
          </cell>
          <cell r="D219">
            <v>3</v>
          </cell>
          <cell r="E219">
            <v>7</v>
          </cell>
          <cell r="F219">
            <v>0.2446181519</v>
          </cell>
          <cell r="G219">
            <v>0</v>
          </cell>
          <cell r="H219">
            <v>9.3342661800000004E-2</v>
          </cell>
          <cell r="I219" t="str">
            <v>Local Ferry</v>
          </cell>
          <cell r="J219" t="str">
            <v>2012/13</v>
          </cell>
        </row>
        <row r="220">
          <cell r="A220" t="str">
            <v>03 WAIKATO</v>
          </cell>
          <cell r="B220">
            <v>8</v>
          </cell>
          <cell r="C220">
            <v>2018</v>
          </cell>
          <cell r="D220">
            <v>3</v>
          </cell>
          <cell r="E220">
            <v>7</v>
          </cell>
          <cell r="F220">
            <v>0.26666501790000002</v>
          </cell>
          <cell r="G220">
            <v>0</v>
          </cell>
          <cell r="H220">
            <v>0.1046778337</v>
          </cell>
          <cell r="I220" t="str">
            <v>Local Ferry</v>
          </cell>
          <cell r="J220" t="str">
            <v>2017/18</v>
          </cell>
        </row>
        <row r="221">
          <cell r="A221" t="str">
            <v>03 WAIKATO</v>
          </cell>
          <cell r="B221">
            <v>8</v>
          </cell>
          <cell r="C221">
            <v>2023</v>
          </cell>
          <cell r="D221">
            <v>3</v>
          </cell>
          <cell r="E221">
            <v>7</v>
          </cell>
          <cell r="F221">
            <v>0.27982721459999998</v>
          </cell>
          <cell r="G221">
            <v>0</v>
          </cell>
          <cell r="H221">
            <v>0.1114525544</v>
          </cell>
          <cell r="I221" t="str">
            <v>Local Ferry</v>
          </cell>
          <cell r="J221" t="str">
            <v>2022/23</v>
          </cell>
        </row>
        <row r="222">
          <cell r="A222" t="str">
            <v>03 WAIKATO</v>
          </cell>
          <cell r="B222">
            <v>8</v>
          </cell>
          <cell r="C222">
            <v>2028</v>
          </cell>
          <cell r="D222">
            <v>3</v>
          </cell>
          <cell r="E222">
            <v>7</v>
          </cell>
          <cell r="F222">
            <v>0.30104455829999999</v>
          </cell>
          <cell r="G222">
            <v>0</v>
          </cell>
          <cell r="H222">
            <v>0.1226770699</v>
          </cell>
          <cell r="I222" t="str">
            <v>Local Ferry</v>
          </cell>
          <cell r="J222" t="str">
            <v>2027/28</v>
          </cell>
        </row>
        <row r="223">
          <cell r="A223" t="str">
            <v>03 WAIKATO</v>
          </cell>
          <cell r="B223">
            <v>8</v>
          </cell>
          <cell r="C223">
            <v>2033</v>
          </cell>
          <cell r="D223">
            <v>3</v>
          </cell>
          <cell r="E223">
            <v>7</v>
          </cell>
          <cell r="F223">
            <v>0.3087742792</v>
          </cell>
          <cell r="G223">
            <v>0</v>
          </cell>
          <cell r="H223">
            <v>0.12633993630000001</v>
          </cell>
          <cell r="I223" t="str">
            <v>Local Ferry</v>
          </cell>
          <cell r="J223" t="str">
            <v>2032/33</v>
          </cell>
        </row>
        <row r="224">
          <cell r="A224" t="str">
            <v>03 WAIKATO</v>
          </cell>
          <cell r="B224">
            <v>8</v>
          </cell>
          <cell r="C224">
            <v>2038</v>
          </cell>
          <cell r="D224">
            <v>3</v>
          </cell>
          <cell r="E224">
            <v>7</v>
          </cell>
          <cell r="F224">
            <v>0.3009980518</v>
          </cell>
          <cell r="G224">
            <v>0</v>
          </cell>
          <cell r="H224">
            <v>0.1228553507</v>
          </cell>
          <cell r="I224" t="str">
            <v>Local Ferry</v>
          </cell>
          <cell r="J224" t="str">
            <v>2037/38</v>
          </cell>
        </row>
        <row r="225">
          <cell r="A225" t="str">
            <v>03 WAIKATO</v>
          </cell>
          <cell r="B225">
            <v>8</v>
          </cell>
          <cell r="C225">
            <v>2043</v>
          </cell>
          <cell r="D225">
            <v>3</v>
          </cell>
          <cell r="E225">
            <v>7</v>
          </cell>
          <cell r="F225">
            <v>0.29039867270000003</v>
          </cell>
          <cell r="G225">
            <v>0</v>
          </cell>
          <cell r="H225">
            <v>0.1181202234</v>
          </cell>
          <cell r="I225" t="str">
            <v>Local Ferry</v>
          </cell>
          <cell r="J225" t="str">
            <v>2042/43</v>
          </cell>
        </row>
        <row r="226">
          <cell r="A226" t="str">
            <v>03 WAIKATO</v>
          </cell>
          <cell r="B226">
            <v>9</v>
          </cell>
          <cell r="C226">
            <v>2013</v>
          </cell>
          <cell r="D226">
            <v>17</v>
          </cell>
          <cell r="E226">
            <v>46</v>
          </cell>
          <cell r="F226">
            <v>1.8854250596</v>
          </cell>
          <cell r="G226">
            <v>0</v>
          </cell>
          <cell r="H226">
            <v>0.63404452519999999</v>
          </cell>
          <cell r="I226" t="str">
            <v>Other Household Travel</v>
          </cell>
          <cell r="J226" t="str">
            <v>2012/13</v>
          </cell>
        </row>
        <row r="227">
          <cell r="A227" t="str">
            <v>03 WAIKATO</v>
          </cell>
          <cell r="B227">
            <v>9</v>
          </cell>
          <cell r="C227">
            <v>2018</v>
          </cell>
          <cell r="D227">
            <v>17</v>
          </cell>
          <cell r="E227">
            <v>46</v>
          </cell>
          <cell r="F227">
            <v>2.0034004061999999</v>
          </cell>
          <cell r="G227">
            <v>0</v>
          </cell>
          <cell r="H227">
            <v>0.6553509045</v>
          </cell>
          <cell r="I227" t="str">
            <v>Other Household Travel</v>
          </cell>
          <cell r="J227" t="str">
            <v>2017/18</v>
          </cell>
        </row>
        <row r="228">
          <cell r="A228" t="str">
            <v>03 WAIKATO</v>
          </cell>
          <cell r="B228">
            <v>9</v>
          </cell>
          <cell r="C228">
            <v>2023</v>
          </cell>
          <cell r="D228">
            <v>17</v>
          </cell>
          <cell r="E228">
            <v>46</v>
          </cell>
          <cell r="F228">
            <v>2.1077764355999999</v>
          </cell>
          <cell r="G228">
            <v>0</v>
          </cell>
          <cell r="H228">
            <v>0.67284001000000004</v>
          </cell>
          <cell r="I228" t="str">
            <v>Other Household Travel</v>
          </cell>
          <cell r="J228" t="str">
            <v>2022/23</v>
          </cell>
        </row>
        <row r="229">
          <cell r="A229" t="str">
            <v>03 WAIKATO</v>
          </cell>
          <cell r="B229">
            <v>9</v>
          </cell>
          <cell r="C229">
            <v>2028</v>
          </cell>
          <cell r="D229">
            <v>17</v>
          </cell>
          <cell r="E229">
            <v>46</v>
          </cell>
          <cell r="F229">
            <v>2.1976608989000002</v>
          </cell>
          <cell r="G229">
            <v>0</v>
          </cell>
          <cell r="H229">
            <v>0.67359742619999996</v>
          </cell>
          <cell r="I229" t="str">
            <v>Other Household Travel</v>
          </cell>
          <cell r="J229" t="str">
            <v>2027/28</v>
          </cell>
        </row>
        <row r="230">
          <cell r="A230" t="str">
            <v>03 WAIKATO</v>
          </cell>
          <cell r="B230">
            <v>9</v>
          </cell>
          <cell r="C230">
            <v>2033</v>
          </cell>
          <cell r="D230">
            <v>17</v>
          </cell>
          <cell r="E230">
            <v>46</v>
          </cell>
          <cell r="F230">
            <v>2.3207338117999998</v>
          </cell>
          <cell r="G230">
            <v>0</v>
          </cell>
          <cell r="H230">
            <v>0.67168305319999999</v>
          </cell>
          <cell r="I230" t="str">
            <v>Other Household Travel</v>
          </cell>
          <cell r="J230" t="str">
            <v>2032/33</v>
          </cell>
        </row>
        <row r="231">
          <cell r="A231" t="str">
            <v>03 WAIKATO</v>
          </cell>
          <cell r="B231">
            <v>9</v>
          </cell>
          <cell r="C231">
            <v>2038</v>
          </cell>
          <cell r="D231">
            <v>17</v>
          </cell>
          <cell r="E231">
            <v>46</v>
          </cell>
          <cell r="F231">
            <v>2.3705992278000001</v>
          </cell>
          <cell r="G231">
            <v>0</v>
          </cell>
          <cell r="H231">
            <v>0.66277105729999997</v>
          </cell>
          <cell r="I231" t="str">
            <v>Other Household Travel</v>
          </cell>
          <cell r="J231" t="str">
            <v>2037/38</v>
          </cell>
        </row>
        <row r="232">
          <cell r="A232" t="str">
            <v>03 WAIKATO</v>
          </cell>
          <cell r="B232">
            <v>9</v>
          </cell>
          <cell r="C232">
            <v>2043</v>
          </cell>
          <cell r="D232">
            <v>17</v>
          </cell>
          <cell r="E232">
            <v>46</v>
          </cell>
          <cell r="F232">
            <v>2.3320672464999999</v>
          </cell>
          <cell r="G232">
            <v>0</v>
          </cell>
          <cell r="H232">
            <v>0.63847556090000002</v>
          </cell>
          <cell r="I232" t="str">
            <v>Other Household Travel</v>
          </cell>
          <cell r="J232" t="str">
            <v>2042/43</v>
          </cell>
        </row>
        <row r="233">
          <cell r="A233" t="str">
            <v>03 WAIKATO</v>
          </cell>
          <cell r="B233">
            <v>10</v>
          </cell>
          <cell r="C233">
            <v>2013</v>
          </cell>
          <cell r="D233">
            <v>18</v>
          </cell>
          <cell r="E233">
            <v>32</v>
          </cell>
          <cell r="F233">
            <v>0.92406733060000001</v>
          </cell>
          <cell r="G233">
            <v>54.768337629999998</v>
          </cell>
          <cell r="H233">
            <v>2.3234459650999999</v>
          </cell>
          <cell r="I233" t="str">
            <v>Air/Non-Local PT</v>
          </cell>
          <cell r="J233" t="str">
            <v>2012/13</v>
          </cell>
        </row>
        <row r="234">
          <cell r="A234" t="str">
            <v>03 WAIKATO</v>
          </cell>
          <cell r="B234">
            <v>10</v>
          </cell>
          <cell r="C234">
            <v>2018</v>
          </cell>
          <cell r="D234">
            <v>18</v>
          </cell>
          <cell r="E234">
            <v>32</v>
          </cell>
          <cell r="F234">
            <v>1.023659541</v>
          </cell>
          <cell r="G234">
            <v>58.321314299000001</v>
          </cell>
          <cell r="H234">
            <v>2.5956071389000002</v>
          </cell>
          <cell r="I234" t="str">
            <v>Air/Non-Local PT</v>
          </cell>
          <cell r="J234" t="str">
            <v>2017/18</v>
          </cell>
        </row>
        <row r="235">
          <cell r="A235" t="str">
            <v>03 WAIKATO</v>
          </cell>
          <cell r="B235">
            <v>10</v>
          </cell>
          <cell r="C235">
            <v>2023</v>
          </cell>
          <cell r="D235">
            <v>18</v>
          </cell>
          <cell r="E235">
            <v>32</v>
          </cell>
          <cell r="F235">
            <v>1.1421907382000001</v>
          </cell>
          <cell r="G235">
            <v>61.402125130000002</v>
          </cell>
          <cell r="H235">
            <v>2.8556200465999999</v>
          </cell>
          <cell r="I235" t="str">
            <v>Air/Non-Local PT</v>
          </cell>
          <cell r="J235" t="str">
            <v>2022/23</v>
          </cell>
        </row>
        <row r="236">
          <cell r="A236" t="str">
            <v>03 WAIKATO</v>
          </cell>
          <cell r="B236">
            <v>10</v>
          </cell>
          <cell r="C236">
            <v>2028</v>
          </cell>
          <cell r="D236">
            <v>18</v>
          </cell>
          <cell r="E236">
            <v>32</v>
          </cell>
          <cell r="F236">
            <v>1.2675978182000001</v>
          </cell>
          <cell r="G236">
            <v>64.405354600999999</v>
          </cell>
          <cell r="H236">
            <v>3.1823519722000002</v>
          </cell>
          <cell r="I236" t="str">
            <v>Air/Non-Local PT</v>
          </cell>
          <cell r="J236" t="str">
            <v>2027/28</v>
          </cell>
        </row>
        <row r="237">
          <cell r="A237" t="str">
            <v>03 WAIKATO</v>
          </cell>
          <cell r="B237">
            <v>10</v>
          </cell>
          <cell r="C237">
            <v>2033</v>
          </cell>
          <cell r="D237">
            <v>18</v>
          </cell>
          <cell r="E237">
            <v>32</v>
          </cell>
          <cell r="F237">
            <v>1.3676408996</v>
          </cell>
          <cell r="G237">
            <v>68.300358532000004</v>
          </cell>
          <cell r="H237">
            <v>3.4491640044</v>
          </cell>
          <cell r="I237" t="str">
            <v>Air/Non-Local PT</v>
          </cell>
          <cell r="J237" t="str">
            <v>2032/33</v>
          </cell>
        </row>
        <row r="238">
          <cell r="A238" t="str">
            <v>03 WAIKATO</v>
          </cell>
          <cell r="B238">
            <v>10</v>
          </cell>
          <cell r="C238">
            <v>2038</v>
          </cell>
          <cell r="D238">
            <v>18</v>
          </cell>
          <cell r="E238">
            <v>32</v>
          </cell>
          <cell r="F238">
            <v>1.4361630139999999</v>
          </cell>
          <cell r="G238">
            <v>72.958549443999999</v>
          </cell>
          <cell r="H238">
            <v>3.5139988008</v>
          </cell>
          <cell r="I238" t="str">
            <v>Air/Non-Local PT</v>
          </cell>
          <cell r="J238" t="str">
            <v>2037/38</v>
          </cell>
        </row>
        <row r="239">
          <cell r="A239" t="str">
            <v>03 WAIKATO</v>
          </cell>
          <cell r="B239">
            <v>10</v>
          </cell>
          <cell r="C239">
            <v>2043</v>
          </cell>
          <cell r="D239">
            <v>18</v>
          </cell>
          <cell r="E239">
            <v>32</v>
          </cell>
          <cell r="F239">
            <v>1.5029459859000001</v>
          </cell>
          <cell r="G239">
            <v>78.067428015999994</v>
          </cell>
          <cell r="H239">
            <v>3.5668287424999998</v>
          </cell>
          <cell r="I239" t="str">
            <v>Air/Non-Local PT</v>
          </cell>
          <cell r="J239" t="str">
            <v>2042/43</v>
          </cell>
        </row>
        <row r="240">
          <cell r="A240" t="str">
            <v>03 WAIKATO</v>
          </cell>
          <cell r="B240">
            <v>11</v>
          </cell>
          <cell r="C240">
            <v>2013</v>
          </cell>
          <cell r="D240">
            <v>52</v>
          </cell>
          <cell r="E240">
            <v>244</v>
          </cell>
          <cell r="F240">
            <v>8.7527428694000005</v>
          </cell>
          <cell r="G240">
            <v>166.86894676</v>
          </cell>
          <cell r="H240">
            <v>3.3327759721999999</v>
          </cell>
          <cell r="I240" t="str">
            <v>Non-Household Travel</v>
          </cell>
          <cell r="J240" t="str">
            <v>2012/13</v>
          </cell>
        </row>
        <row r="241">
          <cell r="A241" t="str">
            <v>03 WAIKATO</v>
          </cell>
          <cell r="B241">
            <v>11</v>
          </cell>
          <cell r="C241">
            <v>2018</v>
          </cell>
          <cell r="D241">
            <v>52</v>
          </cell>
          <cell r="E241">
            <v>244</v>
          </cell>
          <cell r="F241">
            <v>9.0866560417999995</v>
          </cell>
          <cell r="G241">
            <v>170.90649252</v>
          </cell>
          <cell r="H241">
            <v>3.4309005706</v>
          </cell>
          <cell r="I241" t="str">
            <v>Non-Household Travel</v>
          </cell>
          <cell r="J241" t="str">
            <v>2017/18</v>
          </cell>
        </row>
        <row r="242">
          <cell r="A242" t="str">
            <v>03 WAIKATO</v>
          </cell>
          <cell r="B242">
            <v>11</v>
          </cell>
          <cell r="C242">
            <v>2023</v>
          </cell>
          <cell r="D242">
            <v>52</v>
          </cell>
          <cell r="E242">
            <v>244</v>
          </cell>
          <cell r="F242">
            <v>9.1892753584999998</v>
          </cell>
          <cell r="G242">
            <v>172.72659002</v>
          </cell>
          <cell r="H242">
            <v>3.4694929380000001</v>
          </cell>
          <cell r="I242" t="str">
            <v>Non-Household Travel</v>
          </cell>
          <cell r="J242" t="str">
            <v>2022/23</v>
          </cell>
        </row>
        <row r="243">
          <cell r="A243" t="str">
            <v>03 WAIKATO</v>
          </cell>
          <cell r="B243">
            <v>11</v>
          </cell>
          <cell r="C243">
            <v>2028</v>
          </cell>
          <cell r="D243">
            <v>52</v>
          </cell>
          <cell r="E243">
            <v>244</v>
          </cell>
          <cell r="F243">
            <v>9.3080625817999998</v>
          </cell>
          <cell r="G243">
            <v>177.21304817000001</v>
          </cell>
          <cell r="H243">
            <v>3.5476018424000002</v>
          </cell>
          <cell r="I243" t="str">
            <v>Non-Household Travel</v>
          </cell>
          <cell r="J243" t="str">
            <v>2027/28</v>
          </cell>
        </row>
        <row r="244">
          <cell r="A244" t="str">
            <v>03 WAIKATO</v>
          </cell>
          <cell r="B244">
            <v>11</v>
          </cell>
          <cell r="C244">
            <v>2033</v>
          </cell>
          <cell r="D244">
            <v>52</v>
          </cell>
          <cell r="E244">
            <v>244</v>
          </cell>
          <cell r="F244">
            <v>9.4313776434999994</v>
          </cell>
          <cell r="G244">
            <v>183.39286111999999</v>
          </cell>
          <cell r="H244">
            <v>3.6475445584999999</v>
          </cell>
          <cell r="I244" t="str">
            <v>Non-Household Travel</v>
          </cell>
          <cell r="J244" t="str">
            <v>2032/33</v>
          </cell>
        </row>
        <row r="245">
          <cell r="A245" t="str">
            <v>03 WAIKATO</v>
          </cell>
          <cell r="B245">
            <v>11</v>
          </cell>
          <cell r="C245">
            <v>2038</v>
          </cell>
          <cell r="D245">
            <v>52</v>
          </cell>
          <cell r="E245">
            <v>244</v>
          </cell>
          <cell r="F245">
            <v>9.5848856632999997</v>
          </cell>
          <cell r="G245">
            <v>189.18015742</v>
          </cell>
          <cell r="H245">
            <v>3.7502860804</v>
          </cell>
          <cell r="I245" t="str">
            <v>Non-Household Travel</v>
          </cell>
          <cell r="J245" t="str">
            <v>2037/38</v>
          </cell>
        </row>
        <row r="246">
          <cell r="A246" t="str">
            <v>03 WAIKATO</v>
          </cell>
          <cell r="B246">
            <v>11</v>
          </cell>
          <cell r="C246">
            <v>2043</v>
          </cell>
          <cell r="D246">
            <v>52</v>
          </cell>
          <cell r="E246">
            <v>244</v>
          </cell>
          <cell r="F246">
            <v>9.6870967024999999</v>
          </cell>
          <cell r="G246">
            <v>193.99576429999999</v>
          </cell>
          <cell r="H246">
            <v>3.8330268336</v>
          </cell>
          <cell r="I246" t="str">
            <v>Non-Household Travel</v>
          </cell>
          <cell r="J246" t="str">
            <v>2042/43</v>
          </cell>
        </row>
        <row r="247">
          <cell r="A247" t="str">
            <v>04 BAY OF PLENTY</v>
          </cell>
          <cell r="B247">
            <v>0</v>
          </cell>
          <cell r="C247">
            <v>2013</v>
          </cell>
          <cell r="D247">
            <v>436</v>
          </cell>
          <cell r="E247">
            <v>1419</v>
          </cell>
          <cell r="F247">
            <v>43.402809341999998</v>
          </cell>
          <cell r="G247">
            <v>35.579183637</v>
          </cell>
          <cell r="H247">
            <v>9.1706746114000008</v>
          </cell>
          <cell r="I247" t="str">
            <v>Pedestrian</v>
          </cell>
          <cell r="J247" t="str">
            <v>2012/13</v>
          </cell>
        </row>
        <row r="248">
          <cell r="A248" t="str">
            <v>04 BAY OF PLENTY</v>
          </cell>
          <cell r="B248">
            <v>0</v>
          </cell>
          <cell r="C248">
            <v>2018</v>
          </cell>
          <cell r="D248">
            <v>436</v>
          </cell>
          <cell r="E248">
            <v>1419</v>
          </cell>
          <cell r="F248">
            <v>43.663906396000002</v>
          </cell>
          <cell r="G248">
            <v>35.029163228000002</v>
          </cell>
          <cell r="H248">
            <v>9.1822825685999998</v>
          </cell>
          <cell r="I248" t="str">
            <v>Pedestrian</v>
          </cell>
          <cell r="J248" t="str">
            <v>2017/18</v>
          </cell>
        </row>
        <row r="249">
          <cell r="A249" t="str">
            <v>04 BAY OF PLENTY</v>
          </cell>
          <cell r="B249">
            <v>0</v>
          </cell>
          <cell r="C249">
            <v>2023</v>
          </cell>
          <cell r="D249">
            <v>436</v>
          </cell>
          <cell r="E249">
            <v>1419</v>
          </cell>
          <cell r="F249">
            <v>44.275137067999999</v>
          </cell>
          <cell r="G249">
            <v>34.956622230999997</v>
          </cell>
          <cell r="H249">
            <v>9.2777099450999998</v>
          </cell>
          <cell r="I249" t="str">
            <v>Pedestrian</v>
          </cell>
          <cell r="J249" t="str">
            <v>2022/23</v>
          </cell>
        </row>
        <row r="250">
          <cell r="A250" t="str">
            <v>04 BAY OF PLENTY</v>
          </cell>
          <cell r="B250">
            <v>0</v>
          </cell>
          <cell r="C250">
            <v>2028</v>
          </cell>
          <cell r="D250">
            <v>436</v>
          </cell>
          <cell r="E250">
            <v>1419</v>
          </cell>
          <cell r="F250">
            <v>45.378665779999999</v>
          </cell>
          <cell r="G250">
            <v>34.989895302000001</v>
          </cell>
          <cell r="H250">
            <v>9.3779635272000004</v>
          </cell>
          <cell r="I250" t="str">
            <v>Pedestrian</v>
          </cell>
          <cell r="J250" t="str">
            <v>2027/28</v>
          </cell>
        </row>
        <row r="251">
          <cell r="A251" t="str">
            <v>04 BAY OF PLENTY</v>
          </cell>
          <cell r="B251">
            <v>0</v>
          </cell>
          <cell r="C251">
            <v>2033</v>
          </cell>
          <cell r="D251">
            <v>436</v>
          </cell>
          <cell r="E251">
            <v>1419</v>
          </cell>
          <cell r="F251">
            <v>46.01604553</v>
          </cell>
          <cell r="G251">
            <v>34.515843705999998</v>
          </cell>
          <cell r="H251">
            <v>9.3398550747000009</v>
          </cell>
          <cell r="I251" t="str">
            <v>Pedestrian</v>
          </cell>
          <cell r="J251" t="str">
            <v>2032/33</v>
          </cell>
        </row>
        <row r="252">
          <cell r="A252" t="str">
            <v>04 BAY OF PLENTY</v>
          </cell>
          <cell r="B252">
            <v>0</v>
          </cell>
          <cell r="C252">
            <v>2038</v>
          </cell>
          <cell r="D252">
            <v>436</v>
          </cell>
          <cell r="E252">
            <v>1419</v>
          </cell>
          <cell r="F252">
            <v>46.498504173999997</v>
          </cell>
          <cell r="G252">
            <v>34.139319307999997</v>
          </cell>
          <cell r="H252">
            <v>9.2799116918000006</v>
          </cell>
          <cell r="I252" t="str">
            <v>Pedestrian</v>
          </cell>
          <cell r="J252" t="str">
            <v>2037/38</v>
          </cell>
        </row>
        <row r="253">
          <cell r="A253" t="str">
            <v>04 BAY OF PLENTY</v>
          </cell>
          <cell r="B253">
            <v>0</v>
          </cell>
          <cell r="C253">
            <v>2043</v>
          </cell>
          <cell r="D253">
            <v>436</v>
          </cell>
          <cell r="E253">
            <v>1419</v>
          </cell>
          <cell r="F253">
            <v>46.844869711000001</v>
          </cell>
          <cell r="G253">
            <v>33.689295264999998</v>
          </cell>
          <cell r="H253">
            <v>9.1951220658999997</v>
          </cell>
          <cell r="I253" t="str">
            <v>Pedestrian</v>
          </cell>
          <cell r="J253" t="str">
            <v>2042/43</v>
          </cell>
        </row>
        <row r="254">
          <cell r="A254" t="str">
            <v>04 BAY OF PLENTY</v>
          </cell>
          <cell r="B254">
            <v>1</v>
          </cell>
          <cell r="C254">
            <v>2013</v>
          </cell>
          <cell r="D254">
            <v>53</v>
          </cell>
          <cell r="E254">
            <v>183</v>
          </cell>
          <cell r="F254">
            <v>5.1579391552000002</v>
          </cell>
          <cell r="G254">
            <v>8.5028812633000008</v>
          </cell>
          <cell r="H254">
            <v>0.91801276549999999</v>
          </cell>
          <cell r="I254" t="str">
            <v>Cyclist</v>
          </cell>
          <cell r="J254" t="str">
            <v>2012/13</v>
          </cell>
        </row>
        <row r="255">
          <cell r="A255" t="str">
            <v>04 BAY OF PLENTY</v>
          </cell>
          <cell r="B255">
            <v>1</v>
          </cell>
          <cell r="C255">
            <v>2018</v>
          </cell>
          <cell r="D255">
            <v>53</v>
          </cell>
          <cell r="E255">
            <v>183</v>
          </cell>
          <cell r="F255">
            <v>4.9827693765000003</v>
          </cell>
          <cell r="G255">
            <v>8.2315490368000006</v>
          </cell>
          <cell r="H255">
            <v>0.8791574539</v>
          </cell>
          <cell r="I255" t="str">
            <v>Cyclist</v>
          </cell>
          <cell r="J255" t="str">
            <v>2017/18</v>
          </cell>
        </row>
        <row r="256">
          <cell r="A256" t="str">
            <v>04 BAY OF PLENTY</v>
          </cell>
          <cell r="B256">
            <v>1</v>
          </cell>
          <cell r="C256">
            <v>2023</v>
          </cell>
          <cell r="D256">
            <v>53</v>
          </cell>
          <cell r="E256">
            <v>183</v>
          </cell>
          <cell r="F256">
            <v>4.8955823973000001</v>
          </cell>
          <cell r="G256">
            <v>8.0982222264000008</v>
          </cell>
          <cell r="H256">
            <v>0.85836833410000002</v>
          </cell>
          <cell r="I256" t="str">
            <v>Cyclist</v>
          </cell>
          <cell r="J256" t="str">
            <v>2022/23</v>
          </cell>
        </row>
        <row r="257">
          <cell r="A257" t="str">
            <v>04 BAY OF PLENTY</v>
          </cell>
          <cell r="B257">
            <v>1</v>
          </cell>
          <cell r="C257">
            <v>2028</v>
          </cell>
          <cell r="D257">
            <v>53</v>
          </cell>
          <cell r="E257">
            <v>183</v>
          </cell>
          <cell r="F257">
            <v>4.9782720830000002</v>
          </cell>
          <cell r="G257">
            <v>8.2095150522000004</v>
          </cell>
          <cell r="H257">
            <v>0.86409261400000004</v>
          </cell>
          <cell r="I257" t="str">
            <v>Cyclist</v>
          </cell>
          <cell r="J257" t="str">
            <v>2027/28</v>
          </cell>
        </row>
        <row r="258">
          <cell r="A258" t="str">
            <v>04 BAY OF PLENTY</v>
          </cell>
          <cell r="B258">
            <v>1</v>
          </cell>
          <cell r="C258">
            <v>2033</v>
          </cell>
          <cell r="D258">
            <v>53</v>
          </cell>
          <cell r="E258">
            <v>183</v>
          </cell>
          <cell r="F258">
            <v>4.9989148572</v>
          </cell>
          <cell r="G258">
            <v>8.1483671742000006</v>
          </cell>
          <cell r="H258">
            <v>0.85656932129999996</v>
          </cell>
          <cell r="I258" t="str">
            <v>Cyclist</v>
          </cell>
          <cell r="J258" t="str">
            <v>2032/33</v>
          </cell>
        </row>
        <row r="259">
          <cell r="A259" t="str">
            <v>04 BAY OF PLENTY</v>
          </cell>
          <cell r="B259">
            <v>1</v>
          </cell>
          <cell r="C259">
            <v>2038</v>
          </cell>
          <cell r="D259">
            <v>53</v>
          </cell>
          <cell r="E259">
            <v>183</v>
          </cell>
          <cell r="F259">
            <v>4.9790502586000001</v>
          </cell>
          <cell r="G259">
            <v>8.1552031444999997</v>
          </cell>
          <cell r="H259">
            <v>0.84786423399999999</v>
          </cell>
          <cell r="I259" t="str">
            <v>Cyclist</v>
          </cell>
          <cell r="J259" t="str">
            <v>2037/38</v>
          </cell>
        </row>
        <row r="260">
          <cell r="A260" t="str">
            <v>04 BAY OF PLENTY</v>
          </cell>
          <cell r="B260">
            <v>1</v>
          </cell>
          <cell r="C260">
            <v>2043</v>
          </cell>
          <cell r="D260">
            <v>53</v>
          </cell>
          <cell r="E260">
            <v>183</v>
          </cell>
          <cell r="F260">
            <v>4.9420739463999999</v>
          </cell>
          <cell r="G260">
            <v>8.1458586698000008</v>
          </cell>
          <cell r="H260">
            <v>0.83733579680000003</v>
          </cell>
          <cell r="I260" t="str">
            <v>Cyclist</v>
          </cell>
          <cell r="J260" t="str">
            <v>2042/43</v>
          </cell>
        </row>
        <row r="261">
          <cell r="A261" t="str">
            <v>04 BAY OF PLENTY</v>
          </cell>
          <cell r="B261">
            <v>2</v>
          </cell>
          <cell r="C261">
            <v>2013</v>
          </cell>
          <cell r="D261">
            <v>777</v>
          </cell>
          <cell r="E261">
            <v>5260</v>
          </cell>
          <cell r="F261">
            <v>178.59124365</v>
          </cell>
          <cell r="G261">
            <v>1972.0747595</v>
          </cell>
          <cell r="H261">
            <v>45.59682093</v>
          </cell>
          <cell r="I261" t="str">
            <v>Light Vehicle Driver</v>
          </cell>
          <cell r="J261" t="str">
            <v>2012/13</v>
          </cell>
        </row>
        <row r="262">
          <cell r="A262" t="str">
            <v>04 BAY OF PLENTY</v>
          </cell>
          <cell r="B262">
            <v>2</v>
          </cell>
          <cell r="C262">
            <v>2018</v>
          </cell>
          <cell r="D262">
            <v>777</v>
          </cell>
          <cell r="E262">
            <v>5260</v>
          </cell>
          <cell r="F262">
            <v>183.41807656</v>
          </cell>
          <cell r="G262">
            <v>2056.0025636999999</v>
          </cell>
          <cell r="H262">
            <v>47.237207701000003</v>
          </cell>
          <cell r="I262" t="str">
            <v>Light Vehicle Driver</v>
          </cell>
          <cell r="J262" t="str">
            <v>2017/18</v>
          </cell>
        </row>
        <row r="263">
          <cell r="A263" t="str">
            <v>04 BAY OF PLENTY</v>
          </cell>
          <cell r="B263">
            <v>2</v>
          </cell>
          <cell r="C263">
            <v>2023</v>
          </cell>
          <cell r="D263">
            <v>777</v>
          </cell>
          <cell r="E263">
            <v>5260</v>
          </cell>
          <cell r="F263">
            <v>189.97582352000001</v>
          </cell>
          <cell r="G263">
            <v>2154.2082433</v>
          </cell>
          <cell r="H263">
            <v>49.263257840999998</v>
          </cell>
          <cell r="I263" t="str">
            <v>Light Vehicle Driver</v>
          </cell>
          <cell r="J263" t="str">
            <v>2022/23</v>
          </cell>
        </row>
        <row r="264">
          <cell r="A264" t="str">
            <v>04 BAY OF PLENTY</v>
          </cell>
          <cell r="B264">
            <v>2</v>
          </cell>
          <cell r="C264">
            <v>2028</v>
          </cell>
          <cell r="D264">
            <v>777</v>
          </cell>
          <cell r="E264">
            <v>5260</v>
          </cell>
          <cell r="F264">
            <v>199.51884321</v>
          </cell>
          <cell r="G264">
            <v>2285.9314626999999</v>
          </cell>
          <cell r="H264">
            <v>52.094210295000003</v>
          </cell>
          <cell r="I264" t="str">
            <v>Light Vehicle Driver</v>
          </cell>
          <cell r="J264" t="str">
            <v>2027/28</v>
          </cell>
        </row>
        <row r="265">
          <cell r="A265" t="str">
            <v>04 BAY OF PLENTY</v>
          </cell>
          <cell r="B265">
            <v>2</v>
          </cell>
          <cell r="C265">
            <v>2033</v>
          </cell>
          <cell r="D265">
            <v>777</v>
          </cell>
          <cell r="E265">
            <v>5260</v>
          </cell>
          <cell r="F265">
            <v>205.87266271999999</v>
          </cell>
          <cell r="G265">
            <v>2374.3156632</v>
          </cell>
          <cell r="H265">
            <v>54.006944941</v>
          </cell>
          <cell r="I265" t="str">
            <v>Light Vehicle Driver</v>
          </cell>
          <cell r="J265" t="str">
            <v>2032/33</v>
          </cell>
        </row>
        <row r="266">
          <cell r="A266" t="str">
            <v>04 BAY OF PLENTY</v>
          </cell>
          <cell r="B266">
            <v>2</v>
          </cell>
          <cell r="C266">
            <v>2038</v>
          </cell>
          <cell r="D266">
            <v>777</v>
          </cell>
          <cell r="E266">
            <v>5260</v>
          </cell>
          <cell r="F266">
            <v>208.25289835999999</v>
          </cell>
          <cell r="G266">
            <v>2410.4551999999999</v>
          </cell>
          <cell r="H266">
            <v>54.844608465999997</v>
          </cell>
          <cell r="I266" t="str">
            <v>Light Vehicle Driver</v>
          </cell>
          <cell r="J266" t="str">
            <v>2037/38</v>
          </cell>
        </row>
        <row r="267">
          <cell r="A267" t="str">
            <v>04 BAY OF PLENTY</v>
          </cell>
          <cell r="B267">
            <v>2</v>
          </cell>
          <cell r="C267">
            <v>2043</v>
          </cell>
          <cell r="D267">
            <v>777</v>
          </cell>
          <cell r="E267">
            <v>5260</v>
          </cell>
          <cell r="F267">
            <v>209.72284010999999</v>
          </cell>
          <cell r="G267">
            <v>2435.6388357999999</v>
          </cell>
          <cell r="H267">
            <v>55.457790736</v>
          </cell>
          <cell r="I267" t="str">
            <v>Light Vehicle Driver</v>
          </cell>
          <cell r="J267" t="str">
            <v>2042/43</v>
          </cell>
        </row>
        <row r="268">
          <cell r="A268" t="str">
            <v>04 BAY OF PLENTY</v>
          </cell>
          <cell r="B268">
            <v>3</v>
          </cell>
          <cell r="C268">
            <v>2013</v>
          </cell>
          <cell r="D268">
            <v>591</v>
          </cell>
          <cell r="E268">
            <v>2668</v>
          </cell>
          <cell r="F268">
            <v>98.719582360000004</v>
          </cell>
          <cell r="G268">
            <v>1385.2330090999999</v>
          </cell>
          <cell r="H268">
            <v>28.895615969000001</v>
          </cell>
          <cell r="I268" t="str">
            <v>Light Vehicle Passenger</v>
          </cell>
          <cell r="J268" t="str">
            <v>2012/13</v>
          </cell>
        </row>
        <row r="269">
          <cell r="A269" t="str">
            <v>04 BAY OF PLENTY</v>
          </cell>
          <cell r="B269">
            <v>3</v>
          </cell>
          <cell r="C269">
            <v>2018</v>
          </cell>
          <cell r="D269">
            <v>591</v>
          </cell>
          <cell r="E269">
            <v>2668</v>
          </cell>
          <cell r="F269">
            <v>97.677089113999997</v>
          </cell>
          <cell r="G269">
            <v>1446.0898532000001</v>
          </cell>
          <cell r="H269">
            <v>29.624864923000001</v>
          </cell>
          <cell r="I269" t="str">
            <v>Light Vehicle Passenger</v>
          </cell>
          <cell r="J269" t="str">
            <v>2017/18</v>
          </cell>
        </row>
        <row r="270">
          <cell r="A270" t="str">
            <v>04 BAY OF PLENTY</v>
          </cell>
          <cell r="B270">
            <v>3</v>
          </cell>
          <cell r="C270">
            <v>2023</v>
          </cell>
          <cell r="D270">
            <v>591</v>
          </cell>
          <cell r="E270">
            <v>2668</v>
          </cell>
          <cell r="F270">
            <v>97.260813882999997</v>
          </cell>
          <cell r="G270">
            <v>1498.4200486</v>
          </cell>
          <cell r="H270">
            <v>30.356712344999998</v>
          </cell>
          <cell r="I270" t="str">
            <v>Light Vehicle Passenger</v>
          </cell>
          <cell r="J270" t="str">
            <v>2022/23</v>
          </cell>
        </row>
        <row r="271">
          <cell r="A271" t="str">
            <v>04 BAY OF PLENTY</v>
          </cell>
          <cell r="B271">
            <v>3</v>
          </cell>
          <cell r="C271">
            <v>2028</v>
          </cell>
          <cell r="D271">
            <v>591</v>
          </cell>
          <cell r="E271">
            <v>2668</v>
          </cell>
          <cell r="F271">
            <v>98.100619762999997</v>
          </cell>
          <cell r="G271">
            <v>1554.5235935999999</v>
          </cell>
          <cell r="H271">
            <v>31.248359484000002</v>
          </cell>
          <cell r="I271" t="str">
            <v>Light Vehicle Passenger</v>
          </cell>
          <cell r="J271" t="str">
            <v>2027/28</v>
          </cell>
        </row>
        <row r="272">
          <cell r="A272" t="str">
            <v>04 BAY OF PLENTY</v>
          </cell>
          <cell r="B272">
            <v>3</v>
          </cell>
          <cell r="C272">
            <v>2033</v>
          </cell>
          <cell r="D272">
            <v>591</v>
          </cell>
          <cell r="E272">
            <v>2668</v>
          </cell>
          <cell r="F272">
            <v>98.181350034999994</v>
          </cell>
          <cell r="G272">
            <v>1579.7949521999999</v>
          </cell>
          <cell r="H272">
            <v>31.609344279999998</v>
          </cell>
          <cell r="I272" t="str">
            <v>Light Vehicle Passenger</v>
          </cell>
          <cell r="J272" t="str">
            <v>2032/33</v>
          </cell>
        </row>
        <row r="273">
          <cell r="A273" t="str">
            <v>04 BAY OF PLENTY</v>
          </cell>
          <cell r="B273">
            <v>3</v>
          </cell>
          <cell r="C273">
            <v>2038</v>
          </cell>
          <cell r="D273">
            <v>591</v>
          </cell>
          <cell r="E273">
            <v>2668</v>
          </cell>
          <cell r="F273">
            <v>97.591675924</v>
          </cell>
          <cell r="G273">
            <v>1590.506359</v>
          </cell>
          <cell r="H273">
            <v>31.709783174999998</v>
          </cell>
          <cell r="I273" t="str">
            <v>Light Vehicle Passenger</v>
          </cell>
          <cell r="J273" t="str">
            <v>2037/38</v>
          </cell>
        </row>
        <row r="274">
          <cell r="A274" t="str">
            <v>04 BAY OF PLENTY</v>
          </cell>
          <cell r="B274">
            <v>3</v>
          </cell>
          <cell r="C274">
            <v>2043</v>
          </cell>
          <cell r="D274">
            <v>591</v>
          </cell>
          <cell r="E274">
            <v>2668</v>
          </cell>
          <cell r="F274">
            <v>96.694828552000004</v>
          </cell>
          <cell r="G274">
            <v>1595.193364</v>
          </cell>
          <cell r="H274">
            <v>31.698775372</v>
          </cell>
          <cell r="I274" t="str">
            <v>Light Vehicle Passenger</v>
          </cell>
          <cell r="J274" t="str">
            <v>2042/43</v>
          </cell>
        </row>
        <row r="275">
          <cell r="A275" t="str">
            <v>04 BAY OF PLENTY</v>
          </cell>
          <cell r="B275">
            <v>4</v>
          </cell>
          <cell r="C275">
            <v>2013</v>
          </cell>
          <cell r="D275">
            <v>4</v>
          </cell>
          <cell r="E275">
            <v>8</v>
          </cell>
          <cell r="F275">
            <v>0.15552198610000001</v>
          </cell>
          <cell r="G275">
            <v>0.98369936449999995</v>
          </cell>
          <cell r="H275">
            <v>7.3048454499999999E-2</v>
          </cell>
          <cell r="J275" t="str">
            <v>2012/13</v>
          </cell>
        </row>
        <row r="276">
          <cell r="A276" t="str">
            <v>04 BAY OF PLENTY</v>
          </cell>
          <cell r="B276">
            <v>4</v>
          </cell>
          <cell r="C276">
            <v>2018</v>
          </cell>
          <cell r="D276">
            <v>4</v>
          </cell>
          <cell r="E276">
            <v>8</v>
          </cell>
          <cell r="F276">
            <v>0.14137100180000001</v>
          </cell>
          <cell r="G276">
            <v>0.89351436979999999</v>
          </cell>
          <cell r="H276">
            <v>6.6438523900000004E-2</v>
          </cell>
          <cell r="J276" t="str">
            <v>2017/18</v>
          </cell>
        </row>
        <row r="277">
          <cell r="A277" t="str">
            <v>04 BAY OF PLENTY</v>
          </cell>
          <cell r="B277">
            <v>4</v>
          </cell>
          <cell r="C277">
            <v>2023</v>
          </cell>
          <cell r="D277">
            <v>4</v>
          </cell>
          <cell r="E277">
            <v>8</v>
          </cell>
          <cell r="F277">
            <v>0.13093516099999999</v>
          </cell>
          <cell r="G277">
            <v>0.85966123189999999</v>
          </cell>
          <cell r="H277">
            <v>6.3879517100000005E-2</v>
          </cell>
          <cell r="J277" t="str">
            <v>2022/23</v>
          </cell>
        </row>
        <row r="278">
          <cell r="A278" t="str">
            <v>04 BAY OF PLENTY</v>
          </cell>
          <cell r="B278">
            <v>4</v>
          </cell>
          <cell r="C278">
            <v>2028</v>
          </cell>
          <cell r="D278">
            <v>4</v>
          </cell>
          <cell r="E278">
            <v>8</v>
          </cell>
          <cell r="F278">
            <v>0.12536028390000001</v>
          </cell>
          <cell r="G278">
            <v>0.8724248711</v>
          </cell>
          <cell r="H278">
            <v>6.4537960300000002E-2</v>
          </cell>
          <cell r="J278" t="str">
            <v>2027/28</v>
          </cell>
        </row>
        <row r="279">
          <cell r="A279" t="str">
            <v>04 BAY OF PLENTY</v>
          </cell>
          <cell r="B279">
            <v>4</v>
          </cell>
          <cell r="C279">
            <v>2033</v>
          </cell>
          <cell r="D279">
            <v>4</v>
          </cell>
          <cell r="E279">
            <v>8</v>
          </cell>
          <cell r="F279">
            <v>0.1199400987</v>
          </cell>
          <cell r="G279">
            <v>0.84285550490000005</v>
          </cell>
          <cell r="H279">
            <v>6.1972370300000003E-2</v>
          </cell>
          <cell r="J279" t="str">
            <v>2032/33</v>
          </cell>
        </row>
        <row r="280">
          <cell r="A280" t="str">
            <v>04 BAY OF PLENTY</v>
          </cell>
          <cell r="B280">
            <v>4</v>
          </cell>
          <cell r="C280">
            <v>2038</v>
          </cell>
          <cell r="D280">
            <v>4</v>
          </cell>
          <cell r="E280">
            <v>8</v>
          </cell>
          <cell r="F280">
            <v>0.1161409333</v>
          </cell>
          <cell r="G280">
            <v>0.8182133506</v>
          </cell>
          <cell r="H280">
            <v>6.0184243200000001E-2</v>
          </cell>
          <cell r="J280" t="str">
            <v>2037/38</v>
          </cell>
        </row>
        <row r="281">
          <cell r="A281" t="str">
            <v>04 BAY OF PLENTY</v>
          </cell>
          <cell r="B281">
            <v>4</v>
          </cell>
          <cell r="C281">
            <v>2043</v>
          </cell>
          <cell r="D281">
            <v>4</v>
          </cell>
          <cell r="E281">
            <v>8</v>
          </cell>
          <cell r="F281">
            <v>0.1114040967</v>
          </cell>
          <cell r="G281">
            <v>0.78926405300000002</v>
          </cell>
          <cell r="H281">
            <v>5.8150837499999997E-2</v>
          </cell>
          <cell r="J281" t="str">
            <v>2042/43</v>
          </cell>
        </row>
        <row r="282">
          <cell r="A282" t="str">
            <v>04 BAY OF PLENTY</v>
          </cell>
          <cell r="B282">
            <v>5</v>
          </cell>
          <cell r="C282">
            <v>2013</v>
          </cell>
          <cell r="D282">
            <v>10</v>
          </cell>
          <cell r="E282">
            <v>40</v>
          </cell>
          <cell r="F282">
            <v>0.90641599910000004</v>
          </cell>
          <cell r="G282">
            <v>35.608960758999999</v>
          </cell>
          <cell r="H282">
            <v>0.60409197079999999</v>
          </cell>
          <cell r="I282" t="str">
            <v>Motorcyclist</v>
          </cell>
          <cell r="J282" t="str">
            <v>2012/13</v>
          </cell>
        </row>
        <row r="283">
          <cell r="A283" t="str">
            <v>04 BAY OF PLENTY</v>
          </cell>
          <cell r="B283">
            <v>5</v>
          </cell>
          <cell r="C283">
            <v>2018</v>
          </cell>
          <cell r="D283">
            <v>10</v>
          </cell>
          <cell r="E283">
            <v>40</v>
          </cell>
          <cell r="F283">
            <v>0.95704096250000004</v>
          </cell>
          <cell r="G283">
            <v>38.225260372000001</v>
          </cell>
          <cell r="H283">
            <v>0.64585139979999995</v>
          </cell>
          <cell r="I283" t="str">
            <v>Motorcyclist</v>
          </cell>
          <cell r="J283" t="str">
            <v>2017/18</v>
          </cell>
        </row>
        <row r="284">
          <cell r="A284" t="str">
            <v>04 BAY OF PLENTY</v>
          </cell>
          <cell r="B284">
            <v>5</v>
          </cell>
          <cell r="C284">
            <v>2023</v>
          </cell>
          <cell r="D284">
            <v>10</v>
          </cell>
          <cell r="E284">
            <v>40</v>
          </cell>
          <cell r="F284">
            <v>0.98681349119999995</v>
          </cell>
          <cell r="G284">
            <v>39.383273011999997</v>
          </cell>
          <cell r="H284">
            <v>0.66414298589999998</v>
          </cell>
          <cell r="I284" t="str">
            <v>Motorcyclist</v>
          </cell>
          <cell r="J284" t="str">
            <v>2022/23</v>
          </cell>
        </row>
        <row r="285">
          <cell r="A285" t="str">
            <v>04 BAY OF PLENTY</v>
          </cell>
          <cell r="B285">
            <v>5</v>
          </cell>
          <cell r="C285">
            <v>2028</v>
          </cell>
          <cell r="D285">
            <v>10</v>
          </cell>
          <cell r="E285">
            <v>40</v>
          </cell>
          <cell r="F285">
            <v>1.0218663844</v>
          </cell>
          <cell r="G285">
            <v>40.676002734000001</v>
          </cell>
          <cell r="H285">
            <v>0.68447772120000006</v>
          </cell>
          <cell r="I285" t="str">
            <v>Motorcyclist</v>
          </cell>
          <cell r="J285" t="str">
            <v>2027/28</v>
          </cell>
        </row>
        <row r="286">
          <cell r="A286" t="str">
            <v>04 BAY OF PLENTY</v>
          </cell>
          <cell r="B286">
            <v>5</v>
          </cell>
          <cell r="C286">
            <v>2033</v>
          </cell>
          <cell r="D286">
            <v>10</v>
          </cell>
          <cell r="E286">
            <v>40</v>
          </cell>
          <cell r="F286">
            <v>1.0248171406</v>
          </cell>
          <cell r="G286">
            <v>40.772050935999999</v>
          </cell>
          <cell r="H286">
            <v>0.68622905059999995</v>
          </cell>
          <cell r="I286" t="str">
            <v>Motorcyclist</v>
          </cell>
          <cell r="J286" t="str">
            <v>2032/33</v>
          </cell>
        </row>
        <row r="287">
          <cell r="A287" t="str">
            <v>04 BAY OF PLENTY</v>
          </cell>
          <cell r="B287">
            <v>5</v>
          </cell>
          <cell r="C287">
            <v>2038</v>
          </cell>
          <cell r="D287">
            <v>10</v>
          </cell>
          <cell r="E287">
            <v>40</v>
          </cell>
          <cell r="F287">
            <v>1.0034397989999999</v>
          </cell>
          <cell r="G287">
            <v>40.133745939000001</v>
          </cell>
          <cell r="H287">
            <v>0.67630531670000005</v>
          </cell>
          <cell r="I287" t="str">
            <v>Motorcyclist</v>
          </cell>
          <cell r="J287" t="str">
            <v>2037/38</v>
          </cell>
        </row>
        <row r="288">
          <cell r="A288" t="str">
            <v>04 BAY OF PLENTY</v>
          </cell>
          <cell r="B288">
            <v>5</v>
          </cell>
          <cell r="C288">
            <v>2043</v>
          </cell>
          <cell r="D288">
            <v>10</v>
          </cell>
          <cell r="E288">
            <v>40</v>
          </cell>
          <cell r="F288">
            <v>0.97501016439999999</v>
          </cell>
          <cell r="G288">
            <v>39.234323132999997</v>
          </cell>
          <cell r="H288">
            <v>0.66196281099999998</v>
          </cell>
          <cell r="I288" t="str">
            <v>Motorcyclist</v>
          </cell>
          <cell r="J288" t="str">
            <v>2042/43</v>
          </cell>
        </row>
        <row r="289">
          <cell r="A289" t="str">
            <v>04 BAY OF PLENTY</v>
          </cell>
          <cell r="B289">
            <v>7</v>
          </cell>
          <cell r="C289">
            <v>2013</v>
          </cell>
          <cell r="D289">
            <v>73</v>
          </cell>
          <cell r="E289">
            <v>194</v>
          </cell>
          <cell r="F289">
            <v>7.4672006229000001</v>
          </cell>
          <cell r="G289">
            <v>52.669440211999998</v>
          </cell>
          <cell r="H289">
            <v>2.9412276716000001</v>
          </cell>
          <cell r="I289" t="str">
            <v>Local Bus</v>
          </cell>
          <cell r="J289" t="str">
            <v>2012/13</v>
          </cell>
        </row>
        <row r="290">
          <cell r="A290" t="str">
            <v>04 BAY OF PLENTY</v>
          </cell>
          <cell r="B290">
            <v>7</v>
          </cell>
          <cell r="C290">
            <v>2018</v>
          </cell>
          <cell r="D290">
            <v>73</v>
          </cell>
          <cell r="E290">
            <v>194</v>
          </cell>
          <cell r="F290">
            <v>7.2202824368999998</v>
          </cell>
          <cell r="G290">
            <v>49.998238008999998</v>
          </cell>
          <cell r="H290">
            <v>2.8010159497</v>
          </cell>
          <cell r="I290" t="str">
            <v>Local Bus</v>
          </cell>
          <cell r="J290" t="str">
            <v>2017/18</v>
          </cell>
        </row>
        <row r="291">
          <cell r="A291" t="str">
            <v>04 BAY OF PLENTY</v>
          </cell>
          <cell r="B291">
            <v>7</v>
          </cell>
          <cell r="C291">
            <v>2023</v>
          </cell>
          <cell r="D291">
            <v>73</v>
          </cell>
          <cell r="E291">
            <v>194</v>
          </cell>
          <cell r="F291">
            <v>7.0483778690000003</v>
          </cell>
          <cell r="G291">
            <v>48.204225807999997</v>
          </cell>
          <cell r="H291">
            <v>2.7055517973000001</v>
          </cell>
          <cell r="I291" t="str">
            <v>Local Bus</v>
          </cell>
          <cell r="J291" t="str">
            <v>2022/23</v>
          </cell>
        </row>
        <row r="292">
          <cell r="A292" t="str">
            <v>04 BAY OF PLENTY</v>
          </cell>
          <cell r="B292">
            <v>7</v>
          </cell>
          <cell r="C292">
            <v>2028</v>
          </cell>
          <cell r="D292">
            <v>73</v>
          </cell>
          <cell r="E292">
            <v>194</v>
          </cell>
          <cell r="F292">
            <v>7.0339497007</v>
          </cell>
          <cell r="G292">
            <v>46.578744061999998</v>
          </cell>
          <cell r="H292">
            <v>2.6569454331000002</v>
          </cell>
          <cell r="I292" t="str">
            <v>Local Bus</v>
          </cell>
          <cell r="J292" t="str">
            <v>2027/28</v>
          </cell>
        </row>
        <row r="293">
          <cell r="A293" t="str">
            <v>04 BAY OF PLENTY</v>
          </cell>
          <cell r="B293">
            <v>7</v>
          </cell>
          <cell r="C293">
            <v>2033</v>
          </cell>
          <cell r="D293">
            <v>73</v>
          </cell>
          <cell r="E293">
            <v>194</v>
          </cell>
          <cell r="F293">
            <v>6.9950660974999996</v>
          </cell>
          <cell r="G293">
            <v>44.546903673000003</v>
          </cell>
          <cell r="H293">
            <v>2.5967820613999999</v>
          </cell>
          <cell r="I293" t="str">
            <v>Local Bus</v>
          </cell>
          <cell r="J293" t="str">
            <v>2032/33</v>
          </cell>
        </row>
        <row r="294">
          <cell r="A294" t="str">
            <v>04 BAY OF PLENTY</v>
          </cell>
          <cell r="B294">
            <v>7</v>
          </cell>
          <cell r="C294">
            <v>2038</v>
          </cell>
          <cell r="D294">
            <v>73</v>
          </cell>
          <cell r="E294">
            <v>194</v>
          </cell>
          <cell r="F294">
            <v>6.9814892734000003</v>
          </cell>
          <cell r="G294">
            <v>43.075124041999999</v>
          </cell>
          <cell r="H294">
            <v>2.5508458577000002</v>
          </cell>
          <cell r="I294" t="str">
            <v>Local Bus</v>
          </cell>
          <cell r="J294" t="str">
            <v>2037/38</v>
          </cell>
        </row>
        <row r="295">
          <cell r="A295" t="str">
            <v>04 BAY OF PLENTY</v>
          </cell>
          <cell r="B295">
            <v>7</v>
          </cell>
          <cell r="C295">
            <v>2043</v>
          </cell>
          <cell r="D295">
            <v>73</v>
          </cell>
          <cell r="E295">
            <v>194</v>
          </cell>
          <cell r="F295">
            <v>6.9398570434</v>
          </cell>
          <cell r="G295">
            <v>41.474494905999997</v>
          </cell>
          <cell r="H295">
            <v>2.4954603698</v>
          </cell>
          <cell r="I295" t="str">
            <v>Local Bus</v>
          </cell>
          <cell r="J295" t="str">
            <v>2042/43</v>
          </cell>
        </row>
        <row r="296">
          <cell r="A296" t="str">
            <v>04 BAY OF PLENTY</v>
          </cell>
          <cell r="B296">
            <v>9</v>
          </cell>
          <cell r="C296">
            <v>2013</v>
          </cell>
          <cell r="D296">
            <v>13</v>
          </cell>
          <cell r="E296">
            <v>34</v>
          </cell>
          <cell r="F296">
            <v>0.59853678389999998</v>
          </cell>
          <cell r="G296">
            <v>0</v>
          </cell>
          <cell r="H296">
            <v>0.21279540499999999</v>
          </cell>
          <cell r="I296" t="str">
            <v>Other Household Travel</v>
          </cell>
          <cell r="J296" t="str">
            <v>2012/13</v>
          </cell>
        </row>
        <row r="297">
          <cell r="A297" t="str">
            <v>04 BAY OF PLENTY</v>
          </cell>
          <cell r="B297">
            <v>9</v>
          </cell>
          <cell r="C297">
            <v>2018</v>
          </cell>
          <cell r="D297">
            <v>13</v>
          </cell>
          <cell r="E297">
            <v>34</v>
          </cell>
          <cell r="F297">
            <v>0.58393492899999999</v>
          </cell>
          <cell r="G297">
            <v>0</v>
          </cell>
          <cell r="H297">
            <v>0.2140601795</v>
          </cell>
          <cell r="I297" t="str">
            <v>Other Household Travel</v>
          </cell>
          <cell r="J297" t="str">
            <v>2017/18</v>
          </cell>
        </row>
        <row r="298">
          <cell r="A298" t="str">
            <v>04 BAY OF PLENTY</v>
          </cell>
          <cell r="B298">
            <v>9</v>
          </cell>
          <cell r="C298">
            <v>2023</v>
          </cell>
          <cell r="D298">
            <v>13</v>
          </cell>
          <cell r="E298">
            <v>34</v>
          </cell>
          <cell r="F298">
            <v>0.54891596399999998</v>
          </cell>
          <cell r="G298">
            <v>0</v>
          </cell>
          <cell r="H298">
            <v>0.20741327409999999</v>
          </cell>
          <cell r="I298" t="str">
            <v>Other Household Travel</v>
          </cell>
          <cell r="J298" t="str">
            <v>2022/23</v>
          </cell>
        </row>
        <row r="299">
          <cell r="A299" t="str">
            <v>04 BAY OF PLENTY</v>
          </cell>
          <cell r="B299">
            <v>9</v>
          </cell>
          <cell r="C299">
            <v>2028</v>
          </cell>
          <cell r="D299">
            <v>13</v>
          </cell>
          <cell r="E299">
            <v>34</v>
          </cell>
          <cell r="F299">
            <v>0.48920022289999998</v>
          </cell>
          <cell r="G299">
            <v>0</v>
          </cell>
          <cell r="H299">
            <v>0.1889488272</v>
          </cell>
          <cell r="I299" t="str">
            <v>Other Household Travel</v>
          </cell>
          <cell r="J299" t="str">
            <v>2027/28</v>
          </cell>
        </row>
        <row r="300">
          <cell r="A300" t="str">
            <v>04 BAY OF PLENTY</v>
          </cell>
          <cell r="B300">
            <v>9</v>
          </cell>
          <cell r="C300">
            <v>2033</v>
          </cell>
          <cell r="D300">
            <v>13</v>
          </cell>
          <cell r="E300">
            <v>34</v>
          </cell>
          <cell r="F300">
            <v>0.43803934030000002</v>
          </cell>
          <cell r="G300">
            <v>0</v>
          </cell>
          <cell r="H300">
            <v>0.16679952270000001</v>
          </cell>
          <cell r="I300" t="str">
            <v>Other Household Travel</v>
          </cell>
          <cell r="J300" t="str">
            <v>2032/33</v>
          </cell>
        </row>
        <row r="301">
          <cell r="A301" t="str">
            <v>04 BAY OF PLENTY</v>
          </cell>
          <cell r="B301">
            <v>9</v>
          </cell>
          <cell r="C301">
            <v>2038</v>
          </cell>
          <cell r="D301">
            <v>13</v>
          </cell>
          <cell r="E301">
            <v>34</v>
          </cell>
          <cell r="F301">
            <v>0.39757612910000001</v>
          </cell>
          <cell r="G301">
            <v>0</v>
          </cell>
          <cell r="H301">
            <v>0.151038226</v>
          </cell>
          <cell r="I301" t="str">
            <v>Other Household Travel</v>
          </cell>
          <cell r="J301" t="str">
            <v>2037/38</v>
          </cell>
        </row>
        <row r="302">
          <cell r="A302" t="str">
            <v>04 BAY OF PLENTY</v>
          </cell>
          <cell r="B302">
            <v>9</v>
          </cell>
          <cell r="C302">
            <v>2043</v>
          </cell>
          <cell r="D302">
            <v>13</v>
          </cell>
          <cell r="E302">
            <v>34</v>
          </cell>
          <cell r="F302">
            <v>0.36027070999999999</v>
          </cell>
          <cell r="G302">
            <v>0</v>
          </cell>
          <cell r="H302">
            <v>0.13633162130000001</v>
          </cell>
          <cell r="I302" t="str">
            <v>Other Household Travel</v>
          </cell>
          <cell r="J302" t="str">
            <v>2042/43</v>
          </cell>
        </row>
        <row r="303">
          <cell r="A303" t="str">
            <v>04 BAY OF PLENTY</v>
          </cell>
          <cell r="B303">
            <v>10</v>
          </cell>
          <cell r="C303">
            <v>2013</v>
          </cell>
          <cell r="D303">
            <v>10</v>
          </cell>
          <cell r="E303">
            <v>20</v>
          </cell>
          <cell r="F303">
            <v>0.7132672793</v>
          </cell>
          <cell r="G303">
            <v>34.241381883000003</v>
          </cell>
          <cell r="H303">
            <v>1.7899343983</v>
          </cell>
          <cell r="I303" t="str">
            <v>Air/Non-Local PT</v>
          </cell>
          <cell r="J303" t="str">
            <v>2012/13</v>
          </cell>
        </row>
        <row r="304">
          <cell r="A304" t="str">
            <v>04 BAY OF PLENTY</v>
          </cell>
          <cell r="B304">
            <v>10</v>
          </cell>
          <cell r="C304">
            <v>2018</v>
          </cell>
          <cell r="D304">
            <v>10</v>
          </cell>
          <cell r="E304">
            <v>20</v>
          </cell>
          <cell r="F304">
            <v>0.75127165920000005</v>
          </cell>
          <cell r="G304">
            <v>36.950546549000002</v>
          </cell>
          <cell r="H304">
            <v>2.1462591542</v>
          </cell>
          <cell r="I304" t="str">
            <v>Air/Non-Local PT</v>
          </cell>
          <cell r="J304" t="str">
            <v>2017/18</v>
          </cell>
        </row>
        <row r="305">
          <cell r="A305" t="str">
            <v>04 BAY OF PLENTY</v>
          </cell>
          <cell r="B305">
            <v>10</v>
          </cell>
          <cell r="C305">
            <v>2023</v>
          </cell>
          <cell r="D305">
            <v>10</v>
          </cell>
          <cell r="E305">
            <v>20</v>
          </cell>
          <cell r="F305">
            <v>0.78764339969999997</v>
          </cell>
          <cell r="G305">
            <v>39.184537900000002</v>
          </cell>
          <cell r="H305">
            <v>2.4484507055</v>
          </cell>
          <cell r="I305" t="str">
            <v>Air/Non-Local PT</v>
          </cell>
          <cell r="J305" t="str">
            <v>2022/23</v>
          </cell>
        </row>
        <row r="306">
          <cell r="A306" t="str">
            <v>04 BAY OF PLENTY</v>
          </cell>
          <cell r="B306">
            <v>10</v>
          </cell>
          <cell r="C306">
            <v>2028</v>
          </cell>
          <cell r="D306">
            <v>10</v>
          </cell>
          <cell r="E306">
            <v>20</v>
          </cell>
          <cell r="F306">
            <v>0.81399801540000005</v>
          </cell>
          <cell r="G306">
            <v>41.155143424999999</v>
          </cell>
          <cell r="H306">
            <v>2.6198758183000002</v>
          </cell>
          <cell r="I306" t="str">
            <v>Air/Non-Local PT</v>
          </cell>
          <cell r="J306" t="str">
            <v>2027/28</v>
          </cell>
        </row>
        <row r="307">
          <cell r="A307" t="str">
            <v>04 BAY OF PLENTY</v>
          </cell>
          <cell r="B307">
            <v>10</v>
          </cell>
          <cell r="C307">
            <v>2033</v>
          </cell>
          <cell r="D307">
            <v>10</v>
          </cell>
          <cell r="E307">
            <v>20</v>
          </cell>
          <cell r="F307">
            <v>0.82363591690000004</v>
          </cell>
          <cell r="G307">
            <v>42.446049633000001</v>
          </cell>
          <cell r="H307">
            <v>2.6855782141</v>
          </cell>
          <cell r="I307" t="str">
            <v>Air/Non-Local PT</v>
          </cell>
          <cell r="J307" t="str">
            <v>2032/33</v>
          </cell>
        </row>
        <row r="308">
          <cell r="A308" t="str">
            <v>04 BAY OF PLENTY</v>
          </cell>
          <cell r="B308">
            <v>10</v>
          </cell>
          <cell r="C308">
            <v>2038</v>
          </cell>
          <cell r="D308">
            <v>10</v>
          </cell>
          <cell r="E308">
            <v>20</v>
          </cell>
          <cell r="F308">
            <v>0.86082751680000003</v>
          </cell>
          <cell r="G308">
            <v>46.995145976000003</v>
          </cell>
          <cell r="H308">
            <v>2.7549573533</v>
          </cell>
          <cell r="I308" t="str">
            <v>Air/Non-Local PT</v>
          </cell>
          <cell r="J308" t="str">
            <v>2037/38</v>
          </cell>
        </row>
        <row r="309">
          <cell r="A309" t="str">
            <v>04 BAY OF PLENTY</v>
          </cell>
          <cell r="B309">
            <v>10</v>
          </cell>
          <cell r="C309">
            <v>2043</v>
          </cell>
          <cell r="D309">
            <v>10</v>
          </cell>
          <cell r="E309">
            <v>20</v>
          </cell>
          <cell r="F309">
            <v>0.8991403939</v>
          </cell>
          <cell r="G309">
            <v>51.827595293000002</v>
          </cell>
          <cell r="H309">
            <v>2.8169120833000001</v>
          </cell>
          <cell r="I309" t="str">
            <v>Air/Non-Local PT</v>
          </cell>
          <cell r="J309" t="str">
            <v>2042/43</v>
          </cell>
        </row>
        <row r="310">
          <cell r="A310" t="str">
            <v>04 BAY OF PLENTY</v>
          </cell>
          <cell r="B310">
            <v>11</v>
          </cell>
          <cell r="C310">
            <v>2013</v>
          </cell>
          <cell r="D310">
            <v>6</v>
          </cell>
          <cell r="E310">
            <v>33</v>
          </cell>
          <cell r="F310">
            <v>1.4872690419000001</v>
          </cell>
          <cell r="G310">
            <v>13.901388431999999</v>
          </cell>
          <cell r="H310">
            <v>0.32958292379999998</v>
          </cell>
          <cell r="I310" t="str">
            <v>Non-Household Travel</v>
          </cell>
          <cell r="J310" t="str">
            <v>2012/13</v>
          </cell>
        </row>
        <row r="311">
          <cell r="A311" t="str">
            <v>04 BAY OF PLENTY</v>
          </cell>
          <cell r="B311">
            <v>11</v>
          </cell>
          <cell r="C311">
            <v>2018</v>
          </cell>
          <cell r="D311">
            <v>6</v>
          </cell>
          <cell r="E311">
            <v>33</v>
          </cell>
          <cell r="F311">
            <v>1.5962606815</v>
          </cell>
          <cell r="G311">
            <v>13.703505698000001</v>
          </cell>
          <cell r="H311">
            <v>0.34161361169999999</v>
          </cell>
          <cell r="I311" t="str">
            <v>Non-Household Travel</v>
          </cell>
          <cell r="J311" t="str">
            <v>2017/18</v>
          </cell>
        </row>
        <row r="312">
          <cell r="A312" t="str">
            <v>04 BAY OF PLENTY</v>
          </cell>
          <cell r="B312">
            <v>11</v>
          </cell>
          <cell r="C312">
            <v>2023</v>
          </cell>
          <cell r="D312">
            <v>6</v>
          </cell>
          <cell r="E312">
            <v>33</v>
          </cell>
          <cell r="F312">
            <v>1.6362467155</v>
          </cell>
          <cell r="G312">
            <v>13.148696230000001</v>
          </cell>
          <cell r="H312">
            <v>0.34114521009999998</v>
          </cell>
          <cell r="I312" t="str">
            <v>Non-Household Travel</v>
          </cell>
          <cell r="J312" t="str">
            <v>2022/23</v>
          </cell>
        </row>
        <row r="313">
          <cell r="A313" t="str">
            <v>04 BAY OF PLENTY</v>
          </cell>
          <cell r="B313">
            <v>11</v>
          </cell>
          <cell r="C313">
            <v>2028</v>
          </cell>
          <cell r="D313">
            <v>6</v>
          </cell>
          <cell r="E313">
            <v>33</v>
          </cell>
          <cell r="F313">
            <v>1.6613004330000001</v>
          </cell>
          <cell r="G313">
            <v>12.656842887</v>
          </cell>
          <cell r="H313">
            <v>0.33826262730000001</v>
          </cell>
          <cell r="I313" t="str">
            <v>Non-Household Travel</v>
          </cell>
          <cell r="J313" t="str">
            <v>2027/28</v>
          </cell>
        </row>
        <row r="314">
          <cell r="A314" t="str">
            <v>04 BAY OF PLENTY</v>
          </cell>
          <cell r="B314">
            <v>11</v>
          </cell>
          <cell r="C314">
            <v>2033</v>
          </cell>
          <cell r="D314">
            <v>6</v>
          </cell>
          <cell r="E314">
            <v>33</v>
          </cell>
          <cell r="F314">
            <v>1.6640417673000001</v>
          </cell>
          <cell r="G314">
            <v>12.384461176</v>
          </cell>
          <cell r="H314">
            <v>0.33490472589999998</v>
          </cell>
          <cell r="I314" t="str">
            <v>Non-Household Travel</v>
          </cell>
          <cell r="J314" t="str">
            <v>2032/33</v>
          </cell>
        </row>
        <row r="315">
          <cell r="A315" t="str">
            <v>04 BAY OF PLENTY</v>
          </cell>
          <cell r="B315">
            <v>11</v>
          </cell>
          <cell r="C315">
            <v>2038</v>
          </cell>
          <cell r="D315">
            <v>6</v>
          </cell>
          <cell r="E315">
            <v>33</v>
          </cell>
          <cell r="F315">
            <v>1.6655679764</v>
          </cell>
          <cell r="G315">
            <v>12.244832233</v>
          </cell>
          <cell r="H315">
            <v>0.33318871960000002</v>
          </cell>
          <cell r="I315" t="str">
            <v>Non-Household Travel</v>
          </cell>
          <cell r="J315" t="str">
            <v>2037/38</v>
          </cell>
        </row>
        <row r="316">
          <cell r="A316" t="str">
            <v>04 BAY OF PLENTY</v>
          </cell>
          <cell r="B316">
            <v>11</v>
          </cell>
          <cell r="C316">
            <v>2043</v>
          </cell>
          <cell r="D316">
            <v>6</v>
          </cell>
          <cell r="E316">
            <v>33</v>
          </cell>
          <cell r="F316">
            <v>1.6543897406000001</v>
          </cell>
          <cell r="G316">
            <v>11.954122501000001</v>
          </cell>
          <cell r="H316">
            <v>0.32839068900000001</v>
          </cell>
          <cell r="I316" t="str">
            <v>Non-Household Travel</v>
          </cell>
          <cell r="J316" t="str">
            <v>2042/43</v>
          </cell>
        </row>
        <row r="317">
          <cell r="A317" t="str">
            <v>05 GISBORNE</v>
          </cell>
          <cell r="B317">
            <v>0</v>
          </cell>
          <cell r="C317">
            <v>2013</v>
          </cell>
          <cell r="D317">
            <v>242</v>
          </cell>
          <cell r="E317">
            <v>910</v>
          </cell>
          <cell r="F317">
            <v>12.564280467</v>
          </cell>
          <cell r="G317">
            <v>7.5635235767999998</v>
          </cell>
          <cell r="H317">
            <v>2.2694063563000002</v>
          </cell>
          <cell r="I317" t="str">
            <v>Pedestrian</v>
          </cell>
          <cell r="J317" t="str">
            <v>2012/13</v>
          </cell>
        </row>
        <row r="318">
          <cell r="A318" t="str">
            <v>05 GISBORNE</v>
          </cell>
          <cell r="B318">
            <v>0</v>
          </cell>
          <cell r="C318">
            <v>2018</v>
          </cell>
          <cell r="D318">
            <v>242</v>
          </cell>
          <cell r="E318">
            <v>910</v>
          </cell>
          <cell r="F318">
            <v>12.023739207</v>
          </cell>
          <cell r="G318">
            <v>7.2528211206000002</v>
          </cell>
          <cell r="H318">
            <v>2.1443385381</v>
          </cell>
          <cell r="I318" t="str">
            <v>Pedestrian</v>
          </cell>
          <cell r="J318" t="str">
            <v>2017/18</v>
          </cell>
        </row>
        <row r="319">
          <cell r="A319" t="str">
            <v>05 GISBORNE</v>
          </cell>
          <cell r="B319">
            <v>0</v>
          </cell>
          <cell r="C319">
            <v>2023</v>
          </cell>
          <cell r="D319">
            <v>242</v>
          </cell>
          <cell r="E319">
            <v>910</v>
          </cell>
          <cell r="F319">
            <v>11.532272677</v>
          </cell>
          <cell r="G319">
            <v>6.9979999291999997</v>
          </cell>
          <cell r="H319">
            <v>2.0330296758999999</v>
          </cell>
          <cell r="I319" t="str">
            <v>Pedestrian</v>
          </cell>
          <cell r="J319" t="str">
            <v>2022/23</v>
          </cell>
        </row>
        <row r="320">
          <cell r="A320" t="str">
            <v>05 GISBORNE</v>
          </cell>
          <cell r="B320">
            <v>0</v>
          </cell>
          <cell r="C320">
            <v>2028</v>
          </cell>
          <cell r="D320">
            <v>242</v>
          </cell>
          <cell r="E320">
            <v>910</v>
          </cell>
          <cell r="F320">
            <v>11.206286798000001</v>
          </cell>
          <cell r="G320">
            <v>6.8955779729</v>
          </cell>
          <cell r="H320">
            <v>1.9715908959999999</v>
          </cell>
          <cell r="I320" t="str">
            <v>Pedestrian</v>
          </cell>
          <cell r="J320" t="str">
            <v>2027/28</v>
          </cell>
        </row>
        <row r="321">
          <cell r="A321" t="str">
            <v>05 GISBORNE</v>
          </cell>
          <cell r="B321">
            <v>0</v>
          </cell>
          <cell r="C321">
            <v>2033</v>
          </cell>
          <cell r="D321">
            <v>242</v>
          </cell>
          <cell r="E321">
            <v>910</v>
          </cell>
          <cell r="F321">
            <v>10.811240716</v>
          </cell>
          <cell r="G321">
            <v>6.7623229240000002</v>
          </cell>
          <cell r="H321">
            <v>1.9065517891999999</v>
          </cell>
          <cell r="I321" t="str">
            <v>Pedestrian</v>
          </cell>
          <cell r="J321" t="str">
            <v>2032/33</v>
          </cell>
        </row>
        <row r="322">
          <cell r="A322" t="str">
            <v>05 GISBORNE</v>
          </cell>
          <cell r="B322">
            <v>0</v>
          </cell>
          <cell r="C322">
            <v>2038</v>
          </cell>
          <cell r="D322">
            <v>242</v>
          </cell>
          <cell r="E322">
            <v>910</v>
          </cell>
          <cell r="F322">
            <v>10.395809867000001</v>
          </cell>
          <cell r="G322">
            <v>6.5479053763000001</v>
          </cell>
          <cell r="H322">
            <v>1.8345743454000001</v>
          </cell>
          <cell r="I322" t="str">
            <v>Pedestrian</v>
          </cell>
          <cell r="J322" t="str">
            <v>2037/38</v>
          </cell>
        </row>
        <row r="323">
          <cell r="A323" t="str">
            <v>05 GISBORNE</v>
          </cell>
          <cell r="B323">
            <v>0</v>
          </cell>
          <cell r="C323">
            <v>2043</v>
          </cell>
          <cell r="D323">
            <v>242</v>
          </cell>
          <cell r="E323">
            <v>910</v>
          </cell>
          <cell r="F323">
            <v>9.9891379479999998</v>
          </cell>
          <cell r="G323">
            <v>6.3593151610999996</v>
          </cell>
          <cell r="H323">
            <v>1.7650849249</v>
          </cell>
          <cell r="I323" t="str">
            <v>Pedestrian</v>
          </cell>
          <cell r="J323" t="str">
            <v>2042/43</v>
          </cell>
        </row>
        <row r="324">
          <cell r="A324" t="str">
            <v>05 GISBORNE</v>
          </cell>
          <cell r="B324">
            <v>1</v>
          </cell>
          <cell r="C324">
            <v>2013</v>
          </cell>
          <cell r="D324">
            <v>27</v>
          </cell>
          <cell r="E324">
            <v>100</v>
          </cell>
          <cell r="F324">
            <v>1.1119455742</v>
          </cell>
          <cell r="G324">
            <v>3.8031873472000002</v>
          </cell>
          <cell r="H324">
            <v>0.28046850410000002</v>
          </cell>
          <cell r="I324" t="str">
            <v>Cyclist</v>
          </cell>
          <cell r="J324" t="str">
            <v>2012/13</v>
          </cell>
        </row>
        <row r="325">
          <cell r="A325" t="str">
            <v>05 GISBORNE</v>
          </cell>
          <cell r="B325">
            <v>1</v>
          </cell>
          <cell r="C325">
            <v>2018</v>
          </cell>
          <cell r="D325">
            <v>27</v>
          </cell>
          <cell r="E325">
            <v>100</v>
          </cell>
          <cell r="F325">
            <v>1.0552291790999999</v>
          </cell>
          <cell r="G325">
            <v>3.4117002201000002</v>
          </cell>
          <cell r="H325">
            <v>0.25728426230000001</v>
          </cell>
          <cell r="I325" t="str">
            <v>Cyclist</v>
          </cell>
          <cell r="J325" t="str">
            <v>2017/18</v>
          </cell>
        </row>
        <row r="326">
          <cell r="A326" t="str">
            <v>05 GISBORNE</v>
          </cell>
          <cell r="B326">
            <v>1</v>
          </cell>
          <cell r="C326">
            <v>2023</v>
          </cell>
          <cell r="D326">
            <v>27</v>
          </cell>
          <cell r="E326">
            <v>100</v>
          </cell>
          <cell r="F326">
            <v>1.0207482426000001</v>
          </cell>
          <cell r="G326">
            <v>3.1850713970000002</v>
          </cell>
          <cell r="H326">
            <v>0.2413770368</v>
          </cell>
          <cell r="I326" t="str">
            <v>Cyclist</v>
          </cell>
          <cell r="J326" t="str">
            <v>2022/23</v>
          </cell>
        </row>
        <row r="327">
          <cell r="A327" t="str">
            <v>05 GISBORNE</v>
          </cell>
          <cell r="B327">
            <v>1</v>
          </cell>
          <cell r="C327">
            <v>2028</v>
          </cell>
          <cell r="D327">
            <v>27</v>
          </cell>
          <cell r="E327">
            <v>100</v>
          </cell>
          <cell r="F327">
            <v>0.95880657130000002</v>
          </cell>
          <cell r="G327">
            <v>2.8557916342</v>
          </cell>
          <cell r="H327">
            <v>0.21695063170000001</v>
          </cell>
          <cell r="I327" t="str">
            <v>Cyclist</v>
          </cell>
          <cell r="J327" t="str">
            <v>2027/28</v>
          </cell>
        </row>
        <row r="328">
          <cell r="A328" t="str">
            <v>05 GISBORNE</v>
          </cell>
          <cell r="B328">
            <v>1</v>
          </cell>
          <cell r="C328">
            <v>2033</v>
          </cell>
          <cell r="D328">
            <v>27</v>
          </cell>
          <cell r="E328">
            <v>100</v>
          </cell>
          <cell r="F328">
            <v>0.88616061820000003</v>
          </cell>
          <cell r="G328">
            <v>2.5178031110000001</v>
          </cell>
          <cell r="H328">
            <v>0.19423348930000001</v>
          </cell>
          <cell r="I328" t="str">
            <v>Cyclist</v>
          </cell>
          <cell r="J328" t="str">
            <v>2032/33</v>
          </cell>
        </row>
        <row r="329">
          <cell r="A329" t="str">
            <v>05 GISBORNE</v>
          </cell>
          <cell r="B329">
            <v>1</v>
          </cell>
          <cell r="C329">
            <v>2038</v>
          </cell>
          <cell r="D329">
            <v>27</v>
          </cell>
          <cell r="E329">
            <v>100</v>
          </cell>
          <cell r="F329">
            <v>0.81700756900000004</v>
          </cell>
          <cell r="G329">
            <v>2.1958084669</v>
          </cell>
          <cell r="H329">
            <v>0.17452505530000001</v>
          </cell>
          <cell r="I329" t="str">
            <v>Cyclist</v>
          </cell>
          <cell r="J329" t="str">
            <v>2037/38</v>
          </cell>
        </row>
        <row r="330">
          <cell r="A330" t="str">
            <v>05 GISBORNE</v>
          </cell>
          <cell r="B330">
            <v>1</v>
          </cell>
          <cell r="C330">
            <v>2043</v>
          </cell>
          <cell r="D330">
            <v>27</v>
          </cell>
          <cell r="E330">
            <v>100</v>
          </cell>
          <cell r="F330">
            <v>0.75474610320000002</v>
          </cell>
          <cell r="G330">
            <v>1.9230287718000001</v>
          </cell>
          <cell r="H330">
            <v>0.1574952013</v>
          </cell>
          <cell r="I330" t="str">
            <v>Cyclist</v>
          </cell>
          <cell r="J330" t="str">
            <v>2042/43</v>
          </cell>
        </row>
        <row r="331">
          <cell r="A331" t="str">
            <v>05 GISBORNE</v>
          </cell>
          <cell r="B331">
            <v>2</v>
          </cell>
          <cell r="C331">
            <v>2013</v>
          </cell>
          <cell r="D331">
            <v>319</v>
          </cell>
          <cell r="E331">
            <v>2307</v>
          </cell>
          <cell r="F331">
            <v>28.776347379000001</v>
          </cell>
          <cell r="G331">
            <v>241.40144318</v>
          </cell>
          <cell r="H331">
            <v>6.0182660548999998</v>
          </cell>
          <cell r="I331" t="str">
            <v>Light Vehicle Driver</v>
          </cell>
          <cell r="J331" t="str">
            <v>2012/13</v>
          </cell>
        </row>
        <row r="332">
          <cell r="A332" t="str">
            <v>05 GISBORNE</v>
          </cell>
          <cell r="B332">
            <v>2</v>
          </cell>
          <cell r="C332">
            <v>2018</v>
          </cell>
          <cell r="D332">
            <v>319</v>
          </cell>
          <cell r="E332">
            <v>2307</v>
          </cell>
          <cell r="F332">
            <v>29.134700394999999</v>
          </cell>
          <cell r="G332">
            <v>249.01406451</v>
          </cell>
          <cell r="H332">
            <v>6.1855221816999997</v>
          </cell>
          <cell r="I332" t="str">
            <v>Light Vehicle Driver</v>
          </cell>
          <cell r="J332" t="str">
            <v>2017/18</v>
          </cell>
        </row>
        <row r="333">
          <cell r="A333" t="str">
            <v>05 GISBORNE</v>
          </cell>
          <cell r="B333">
            <v>2</v>
          </cell>
          <cell r="C333">
            <v>2023</v>
          </cell>
          <cell r="D333">
            <v>319</v>
          </cell>
          <cell r="E333">
            <v>2307</v>
          </cell>
          <cell r="F333">
            <v>28.888584314999999</v>
          </cell>
          <cell r="G333">
            <v>248.86502960999999</v>
          </cell>
          <cell r="H333">
            <v>6.1910240926000002</v>
          </cell>
          <cell r="I333" t="str">
            <v>Light Vehicle Driver</v>
          </cell>
          <cell r="J333" t="str">
            <v>2022/23</v>
          </cell>
        </row>
        <row r="334">
          <cell r="A334" t="str">
            <v>05 GISBORNE</v>
          </cell>
          <cell r="B334">
            <v>2</v>
          </cell>
          <cell r="C334">
            <v>2028</v>
          </cell>
          <cell r="D334">
            <v>319</v>
          </cell>
          <cell r="E334">
            <v>2307</v>
          </cell>
          <cell r="F334">
            <v>28.587075886000001</v>
          </cell>
          <cell r="G334">
            <v>247.77573294000001</v>
          </cell>
          <cell r="H334">
            <v>6.1760729365999998</v>
          </cell>
          <cell r="I334" t="str">
            <v>Light Vehicle Driver</v>
          </cell>
          <cell r="J334" t="str">
            <v>2027/28</v>
          </cell>
        </row>
        <row r="335">
          <cell r="A335" t="str">
            <v>05 GISBORNE</v>
          </cell>
          <cell r="B335">
            <v>2</v>
          </cell>
          <cell r="C335">
            <v>2033</v>
          </cell>
          <cell r="D335">
            <v>319</v>
          </cell>
          <cell r="E335">
            <v>2307</v>
          </cell>
          <cell r="F335">
            <v>28.121178266000001</v>
          </cell>
          <cell r="G335">
            <v>245.75296420999999</v>
          </cell>
          <cell r="H335">
            <v>6.1249258626999996</v>
          </cell>
          <cell r="I335" t="str">
            <v>Light Vehicle Driver</v>
          </cell>
          <cell r="J335" t="str">
            <v>2032/33</v>
          </cell>
        </row>
        <row r="336">
          <cell r="A336" t="str">
            <v>05 GISBORNE</v>
          </cell>
          <cell r="B336">
            <v>2</v>
          </cell>
          <cell r="C336">
            <v>2038</v>
          </cell>
          <cell r="D336">
            <v>319</v>
          </cell>
          <cell r="E336">
            <v>2307</v>
          </cell>
          <cell r="F336">
            <v>27.646499775999999</v>
          </cell>
          <cell r="G336">
            <v>243.45413425999999</v>
          </cell>
          <cell r="H336">
            <v>6.0673329263999998</v>
          </cell>
          <cell r="I336" t="str">
            <v>Light Vehicle Driver</v>
          </cell>
          <cell r="J336" t="str">
            <v>2037/38</v>
          </cell>
        </row>
        <row r="337">
          <cell r="A337" t="str">
            <v>05 GISBORNE</v>
          </cell>
          <cell r="B337">
            <v>2</v>
          </cell>
          <cell r="C337">
            <v>2043</v>
          </cell>
          <cell r="D337">
            <v>319</v>
          </cell>
          <cell r="E337">
            <v>2307</v>
          </cell>
          <cell r="F337">
            <v>27.109909185999999</v>
          </cell>
          <cell r="G337">
            <v>240.38093218</v>
          </cell>
          <cell r="H337">
            <v>5.9964062882000002</v>
          </cell>
          <cell r="I337" t="str">
            <v>Light Vehicle Driver</v>
          </cell>
          <cell r="J337" t="str">
            <v>2042/43</v>
          </cell>
        </row>
        <row r="338">
          <cell r="A338" t="str">
            <v>05 GISBORNE</v>
          </cell>
          <cell r="B338">
            <v>3</v>
          </cell>
          <cell r="C338">
            <v>2013</v>
          </cell>
          <cell r="D338">
            <v>278</v>
          </cell>
          <cell r="E338">
            <v>1431</v>
          </cell>
          <cell r="F338">
            <v>18.791024854</v>
          </cell>
          <cell r="G338">
            <v>174.74236519999999</v>
          </cell>
          <cell r="H338">
            <v>4.5909579553000004</v>
          </cell>
          <cell r="I338" t="str">
            <v>Light Vehicle Passenger</v>
          </cell>
          <cell r="J338" t="str">
            <v>2012/13</v>
          </cell>
        </row>
        <row r="339">
          <cell r="A339" t="str">
            <v>05 GISBORNE</v>
          </cell>
          <cell r="B339">
            <v>3</v>
          </cell>
          <cell r="C339">
            <v>2018</v>
          </cell>
          <cell r="D339">
            <v>278</v>
          </cell>
          <cell r="E339">
            <v>1431</v>
          </cell>
          <cell r="F339">
            <v>17.509201803</v>
          </cell>
          <cell r="G339">
            <v>164.37102755000001</v>
          </cell>
          <cell r="H339">
            <v>4.3565148779999996</v>
          </cell>
          <cell r="I339" t="str">
            <v>Light Vehicle Passenger</v>
          </cell>
          <cell r="J339" t="str">
            <v>2017/18</v>
          </cell>
        </row>
        <row r="340">
          <cell r="A340" t="str">
            <v>05 GISBORNE</v>
          </cell>
          <cell r="B340">
            <v>3</v>
          </cell>
          <cell r="C340">
            <v>2023</v>
          </cell>
          <cell r="D340">
            <v>278</v>
          </cell>
          <cell r="E340">
            <v>1431</v>
          </cell>
          <cell r="F340">
            <v>16.401976054999999</v>
          </cell>
          <cell r="G340">
            <v>155.63407165999999</v>
          </cell>
          <cell r="H340">
            <v>4.1419480037999996</v>
          </cell>
          <cell r="I340" t="str">
            <v>Light Vehicle Passenger</v>
          </cell>
          <cell r="J340" t="str">
            <v>2022/23</v>
          </cell>
        </row>
        <row r="341">
          <cell r="A341" t="str">
            <v>05 GISBORNE</v>
          </cell>
          <cell r="B341">
            <v>3</v>
          </cell>
          <cell r="C341">
            <v>2028</v>
          </cell>
          <cell r="D341">
            <v>278</v>
          </cell>
          <cell r="E341">
            <v>1431</v>
          </cell>
          <cell r="F341">
            <v>15.419976277</v>
          </cell>
          <cell r="G341">
            <v>148.26253584</v>
          </cell>
          <cell r="H341">
            <v>3.9422345055000001</v>
          </cell>
          <cell r="I341" t="str">
            <v>Light Vehicle Passenger</v>
          </cell>
          <cell r="J341" t="str">
            <v>2027/28</v>
          </cell>
        </row>
        <row r="342">
          <cell r="A342" t="str">
            <v>05 GISBORNE</v>
          </cell>
          <cell r="B342">
            <v>3</v>
          </cell>
          <cell r="C342">
            <v>2033</v>
          </cell>
          <cell r="D342">
            <v>278</v>
          </cell>
          <cell r="E342">
            <v>1431</v>
          </cell>
          <cell r="F342">
            <v>14.522580057000001</v>
          </cell>
          <cell r="G342">
            <v>139.59158424</v>
          </cell>
          <cell r="H342">
            <v>3.7163157827000002</v>
          </cell>
          <cell r="I342" t="str">
            <v>Light Vehicle Passenger</v>
          </cell>
          <cell r="J342" t="str">
            <v>2032/33</v>
          </cell>
        </row>
        <row r="343">
          <cell r="A343" t="str">
            <v>05 GISBORNE</v>
          </cell>
          <cell r="B343">
            <v>3</v>
          </cell>
          <cell r="C343">
            <v>2038</v>
          </cell>
          <cell r="D343">
            <v>278</v>
          </cell>
          <cell r="E343">
            <v>1431</v>
          </cell>
          <cell r="F343">
            <v>13.817559822</v>
          </cell>
          <cell r="G343">
            <v>132.46024281000001</v>
          </cell>
          <cell r="H343">
            <v>3.5542546963000001</v>
          </cell>
          <cell r="I343" t="str">
            <v>Light Vehicle Passenger</v>
          </cell>
          <cell r="J343" t="str">
            <v>2037/38</v>
          </cell>
        </row>
        <row r="344">
          <cell r="A344" t="str">
            <v>05 GISBORNE</v>
          </cell>
          <cell r="B344">
            <v>3</v>
          </cell>
          <cell r="C344">
            <v>2043</v>
          </cell>
          <cell r="D344">
            <v>278</v>
          </cell>
          <cell r="E344">
            <v>1431</v>
          </cell>
          <cell r="F344">
            <v>13.118438191999999</v>
          </cell>
          <cell r="G344">
            <v>125.51128602999999</v>
          </cell>
          <cell r="H344">
            <v>3.3999913052999999</v>
          </cell>
          <cell r="I344" t="str">
            <v>Light Vehicle Passenger</v>
          </cell>
          <cell r="J344" t="str">
            <v>2042/43</v>
          </cell>
        </row>
        <row r="345">
          <cell r="A345" t="str">
            <v>05 GISBORNE</v>
          </cell>
          <cell r="B345">
            <v>4</v>
          </cell>
          <cell r="C345">
            <v>2013</v>
          </cell>
          <cell r="D345">
            <v>2</v>
          </cell>
          <cell r="E345">
            <v>2</v>
          </cell>
          <cell r="F345">
            <v>2.27015811E-2</v>
          </cell>
          <cell r="G345">
            <v>0.1174510768</v>
          </cell>
          <cell r="H345">
            <v>5.0534828E-3</v>
          </cell>
          <cell r="J345" t="str">
            <v>2012/13</v>
          </cell>
        </row>
        <row r="346">
          <cell r="A346" t="str">
            <v>05 GISBORNE</v>
          </cell>
          <cell r="B346">
            <v>4</v>
          </cell>
          <cell r="C346">
            <v>2018</v>
          </cell>
          <cell r="D346">
            <v>2</v>
          </cell>
          <cell r="E346">
            <v>2</v>
          </cell>
          <cell r="F346">
            <v>2.44828154E-2</v>
          </cell>
          <cell r="G346">
            <v>0.16236521579999999</v>
          </cell>
          <cell r="H346">
            <v>6.7867372000000002E-3</v>
          </cell>
          <cell r="J346" t="str">
            <v>2017/18</v>
          </cell>
        </row>
        <row r="347">
          <cell r="A347" t="str">
            <v>05 GISBORNE</v>
          </cell>
          <cell r="B347">
            <v>4</v>
          </cell>
          <cell r="C347">
            <v>2023</v>
          </cell>
          <cell r="D347">
            <v>2</v>
          </cell>
          <cell r="E347">
            <v>2</v>
          </cell>
          <cell r="F347">
            <v>2.8913963300000001E-2</v>
          </cell>
          <cell r="G347">
            <v>0.2325307405</v>
          </cell>
          <cell r="H347">
            <v>9.5420512999999998E-3</v>
          </cell>
          <cell r="J347" t="str">
            <v>2022/23</v>
          </cell>
        </row>
        <row r="348">
          <cell r="A348" t="str">
            <v>05 GISBORNE</v>
          </cell>
          <cell r="B348">
            <v>4</v>
          </cell>
          <cell r="C348">
            <v>2028</v>
          </cell>
          <cell r="D348">
            <v>2</v>
          </cell>
          <cell r="E348">
            <v>2</v>
          </cell>
          <cell r="F348">
            <v>3.6333705600000002E-2</v>
          </cell>
          <cell r="G348">
            <v>0.33604516559999997</v>
          </cell>
          <cell r="H348">
            <v>1.36324181E-2</v>
          </cell>
          <cell r="J348" t="str">
            <v>2027/28</v>
          </cell>
        </row>
        <row r="349">
          <cell r="A349" t="str">
            <v>05 GISBORNE</v>
          </cell>
          <cell r="B349">
            <v>4</v>
          </cell>
          <cell r="C349">
            <v>2033</v>
          </cell>
          <cell r="D349">
            <v>2</v>
          </cell>
          <cell r="E349">
            <v>2</v>
          </cell>
          <cell r="F349">
            <v>4.3758269699999998E-2</v>
          </cell>
          <cell r="G349">
            <v>0.44887741889999999</v>
          </cell>
          <cell r="H349">
            <v>1.8071832699999998E-2</v>
          </cell>
          <cell r="J349" t="str">
            <v>2032/33</v>
          </cell>
        </row>
        <row r="350">
          <cell r="A350" t="str">
            <v>05 GISBORNE</v>
          </cell>
          <cell r="B350">
            <v>4</v>
          </cell>
          <cell r="C350">
            <v>2038</v>
          </cell>
          <cell r="D350">
            <v>2</v>
          </cell>
          <cell r="E350">
            <v>2</v>
          </cell>
          <cell r="F350">
            <v>4.9484436600000001E-2</v>
          </cell>
          <cell r="G350">
            <v>0.5283648675</v>
          </cell>
          <cell r="H350">
            <v>2.1213601799999999E-2</v>
          </cell>
          <cell r="J350" t="str">
            <v>2037/38</v>
          </cell>
        </row>
        <row r="351">
          <cell r="A351" t="str">
            <v>05 GISBORNE</v>
          </cell>
          <cell r="B351">
            <v>4</v>
          </cell>
          <cell r="C351">
            <v>2043</v>
          </cell>
          <cell r="D351">
            <v>2</v>
          </cell>
          <cell r="E351">
            <v>2</v>
          </cell>
          <cell r="F351">
            <v>5.6081116600000001E-2</v>
          </cell>
          <cell r="G351">
            <v>0.62030354070000004</v>
          </cell>
          <cell r="H351">
            <v>2.4846745900000002E-2</v>
          </cell>
          <cell r="J351" t="str">
            <v>2042/43</v>
          </cell>
        </row>
        <row r="352">
          <cell r="A352" t="str">
            <v>05 GISBORNE</v>
          </cell>
          <cell r="B352">
            <v>5</v>
          </cell>
          <cell r="C352">
            <v>2013</v>
          </cell>
          <cell r="D352">
            <v>3</v>
          </cell>
          <cell r="E352">
            <v>16</v>
          </cell>
          <cell r="F352">
            <v>0.20072163900000001</v>
          </cell>
          <cell r="G352">
            <v>0.95186353219999997</v>
          </cell>
          <cell r="H352">
            <v>4.6418087199999999E-2</v>
          </cell>
          <cell r="I352" t="str">
            <v>Motorcyclist</v>
          </cell>
          <cell r="J352" t="str">
            <v>2012/13</v>
          </cell>
        </row>
        <row r="353">
          <cell r="A353" t="str">
            <v>05 GISBORNE</v>
          </cell>
          <cell r="B353">
            <v>5</v>
          </cell>
          <cell r="C353">
            <v>2018</v>
          </cell>
          <cell r="D353">
            <v>3</v>
          </cell>
          <cell r="E353">
            <v>16</v>
          </cell>
          <cell r="F353">
            <v>0.20011529810000001</v>
          </cell>
          <cell r="G353">
            <v>0.97544022939999997</v>
          </cell>
          <cell r="H353">
            <v>4.6325207299999997E-2</v>
          </cell>
          <cell r="I353" t="str">
            <v>Motorcyclist</v>
          </cell>
          <cell r="J353" t="str">
            <v>2017/18</v>
          </cell>
        </row>
        <row r="354">
          <cell r="A354" t="str">
            <v>05 GISBORNE</v>
          </cell>
          <cell r="B354">
            <v>5</v>
          </cell>
          <cell r="C354">
            <v>2023</v>
          </cell>
          <cell r="D354">
            <v>3</v>
          </cell>
          <cell r="E354">
            <v>16</v>
          </cell>
          <cell r="F354">
            <v>0.18921009920000001</v>
          </cell>
          <cell r="G354">
            <v>0.94498969830000001</v>
          </cell>
          <cell r="H354">
            <v>4.3856214800000001E-2</v>
          </cell>
          <cell r="I354" t="str">
            <v>Motorcyclist</v>
          </cell>
          <cell r="J354" t="str">
            <v>2022/23</v>
          </cell>
        </row>
        <row r="355">
          <cell r="A355" t="str">
            <v>05 GISBORNE</v>
          </cell>
          <cell r="B355">
            <v>5</v>
          </cell>
          <cell r="C355">
            <v>2028</v>
          </cell>
          <cell r="D355">
            <v>3</v>
          </cell>
          <cell r="E355">
            <v>16</v>
          </cell>
          <cell r="F355">
            <v>0.1751730246</v>
          </cell>
          <cell r="G355">
            <v>0.89218041510000001</v>
          </cell>
          <cell r="H355">
            <v>4.0851320500000003E-2</v>
          </cell>
          <cell r="I355" t="str">
            <v>Motorcyclist</v>
          </cell>
          <cell r="J355" t="str">
            <v>2027/28</v>
          </cell>
        </row>
        <row r="356">
          <cell r="A356" t="str">
            <v>05 GISBORNE</v>
          </cell>
          <cell r="B356">
            <v>5</v>
          </cell>
          <cell r="C356">
            <v>2033</v>
          </cell>
          <cell r="D356">
            <v>3</v>
          </cell>
          <cell r="E356">
            <v>16</v>
          </cell>
          <cell r="F356">
            <v>0.16242442469999999</v>
          </cell>
          <cell r="G356">
            <v>0.82323159990000006</v>
          </cell>
          <cell r="H356">
            <v>3.8047514300000002E-2</v>
          </cell>
          <cell r="I356" t="str">
            <v>Motorcyclist</v>
          </cell>
          <cell r="J356" t="str">
            <v>2032/33</v>
          </cell>
        </row>
        <row r="357">
          <cell r="A357" t="str">
            <v>05 GISBORNE</v>
          </cell>
          <cell r="B357">
            <v>5</v>
          </cell>
          <cell r="C357">
            <v>2038</v>
          </cell>
          <cell r="D357">
            <v>3</v>
          </cell>
          <cell r="E357">
            <v>16</v>
          </cell>
          <cell r="F357">
            <v>0.15276950610000001</v>
          </cell>
          <cell r="G357">
            <v>0.75770159410000004</v>
          </cell>
          <cell r="H357">
            <v>3.5876436999999997E-2</v>
          </cell>
          <cell r="I357" t="str">
            <v>Motorcyclist</v>
          </cell>
          <cell r="J357" t="str">
            <v>2037/38</v>
          </cell>
        </row>
        <row r="358">
          <cell r="A358" t="str">
            <v>05 GISBORNE</v>
          </cell>
          <cell r="B358">
            <v>5</v>
          </cell>
          <cell r="C358">
            <v>2043</v>
          </cell>
          <cell r="D358">
            <v>3</v>
          </cell>
          <cell r="E358">
            <v>16</v>
          </cell>
          <cell r="F358">
            <v>0.14246196180000001</v>
          </cell>
          <cell r="G358">
            <v>0.69292214129999996</v>
          </cell>
          <cell r="H358">
            <v>3.3546605600000001E-2</v>
          </cell>
          <cell r="I358" t="str">
            <v>Motorcyclist</v>
          </cell>
          <cell r="J358" t="str">
            <v>2042/43</v>
          </cell>
        </row>
        <row r="359">
          <cell r="A359" t="str">
            <v>05 GISBORNE</v>
          </cell>
          <cell r="B359">
            <v>6</v>
          </cell>
          <cell r="C359">
            <v>2013</v>
          </cell>
          <cell r="D359">
            <v>1</v>
          </cell>
          <cell r="E359">
            <v>3</v>
          </cell>
          <cell r="F359">
            <v>2.2764127700000001E-2</v>
          </cell>
          <cell r="G359">
            <v>0</v>
          </cell>
          <cell r="H359">
            <v>2.5293475000000001E-3</v>
          </cell>
          <cell r="I359" t="str">
            <v>Local Train</v>
          </cell>
          <cell r="J359" t="str">
            <v>2012/13</v>
          </cell>
        </row>
        <row r="360">
          <cell r="A360" t="str">
            <v>05 GISBORNE</v>
          </cell>
          <cell r="B360">
            <v>6</v>
          </cell>
          <cell r="C360">
            <v>2018</v>
          </cell>
          <cell r="D360">
            <v>1</v>
          </cell>
          <cell r="E360">
            <v>3</v>
          </cell>
          <cell r="F360">
            <v>3.3968115899999998E-2</v>
          </cell>
          <cell r="G360">
            <v>0</v>
          </cell>
          <cell r="H360">
            <v>3.7713642000000002E-3</v>
          </cell>
          <cell r="I360" t="str">
            <v>Local Train</v>
          </cell>
          <cell r="J360" t="str">
            <v>2017/18</v>
          </cell>
        </row>
        <row r="361">
          <cell r="A361" t="str">
            <v>05 GISBORNE</v>
          </cell>
          <cell r="B361">
            <v>6</v>
          </cell>
          <cell r="C361">
            <v>2023</v>
          </cell>
          <cell r="D361">
            <v>1</v>
          </cell>
          <cell r="E361">
            <v>3</v>
          </cell>
          <cell r="F361">
            <v>5.0797137899999997E-2</v>
          </cell>
          <cell r="G361">
            <v>0</v>
          </cell>
          <cell r="H361">
            <v>5.6363867999999996E-3</v>
          </cell>
          <cell r="I361" t="str">
            <v>Local Train</v>
          </cell>
          <cell r="J361" t="str">
            <v>2022/23</v>
          </cell>
        </row>
        <row r="362">
          <cell r="A362" t="str">
            <v>05 GISBORNE</v>
          </cell>
          <cell r="B362">
            <v>6</v>
          </cell>
          <cell r="C362">
            <v>2028</v>
          </cell>
          <cell r="D362">
            <v>1</v>
          </cell>
          <cell r="E362">
            <v>3</v>
          </cell>
          <cell r="F362">
            <v>7.5048004099999996E-2</v>
          </cell>
          <cell r="G362">
            <v>0</v>
          </cell>
          <cell r="H362">
            <v>8.3205395999999994E-3</v>
          </cell>
          <cell r="I362" t="str">
            <v>Local Train</v>
          </cell>
          <cell r="J362" t="str">
            <v>2027/28</v>
          </cell>
        </row>
        <row r="363">
          <cell r="A363" t="str">
            <v>05 GISBORNE</v>
          </cell>
          <cell r="B363">
            <v>6</v>
          </cell>
          <cell r="C363">
            <v>2033</v>
          </cell>
          <cell r="D363">
            <v>1</v>
          </cell>
          <cell r="E363">
            <v>3</v>
          </cell>
          <cell r="F363">
            <v>0.1014276828</v>
          </cell>
          <cell r="G363">
            <v>0</v>
          </cell>
          <cell r="H363">
            <v>1.1235929299999999E-2</v>
          </cell>
          <cell r="I363" t="str">
            <v>Local Train</v>
          </cell>
          <cell r="J363" t="str">
            <v>2032/33</v>
          </cell>
        </row>
        <row r="364">
          <cell r="A364" t="str">
            <v>05 GISBORNE</v>
          </cell>
          <cell r="B364">
            <v>6</v>
          </cell>
          <cell r="C364">
            <v>2038</v>
          </cell>
          <cell r="D364">
            <v>1</v>
          </cell>
          <cell r="E364">
            <v>3</v>
          </cell>
          <cell r="F364">
            <v>0.1195365273</v>
          </cell>
          <cell r="G364">
            <v>0</v>
          </cell>
          <cell r="H364">
            <v>1.3233076E-2</v>
          </cell>
          <cell r="I364" t="str">
            <v>Local Train</v>
          </cell>
          <cell r="J364" t="str">
            <v>2037/38</v>
          </cell>
        </row>
        <row r="365">
          <cell r="A365" t="str">
            <v>05 GISBORNE</v>
          </cell>
          <cell r="B365">
            <v>6</v>
          </cell>
          <cell r="C365">
            <v>2043</v>
          </cell>
          <cell r="D365">
            <v>1</v>
          </cell>
          <cell r="E365">
            <v>3</v>
          </cell>
          <cell r="F365">
            <v>0.1401514828</v>
          </cell>
          <cell r="G365">
            <v>0</v>
          </cell>
          <cell r="H365">
            <v>1.5501603399999999E-2</v>
          </cell>
          <cell r="I365" t="str">
            <v>Local Train</v>
          </cell>
          <cell r="J365" t="str">
            <v>2042/43</v>
          </cell>
        </row>
        <row r="366">
          <cell r="A366" t="str">
            <v>05 GISBORNE</v>
          </cell>
          <cell r="B366">
            <v>7</v>
          </cell>
          <cell r="C366">
            <v>2013</v>
          </cell>
          <cell r="D366">
            <v>18</v>
          </cell>
          <cell r="E366">
            <v>34</v>
          </cell>
          <cell r="F366">
            <v>0.39415976190000002</v>
          </cell>
          <cell r="G366">
            <v>4.8778387282000004</v>
          </cell>
          <cell r="H366">
            <v>0.17812381360000001</v>
          </cell>
          <cell r="I366" t="str">
            <v>Local Bus</v>
          </cell>
          <cell r="J366" t="str">
            <v>2012/13</v>
          </cell>
        </row>
        <row r="367">
          <cell r="A367" t="str">
            <v>05 GISBORNE</v>
          </cell>
          <cell r="B367">
            <v>7</v>
          </cell>
          <cell r="C367">
            <v>2018</v>
          </cell>
          <cell r="D367">
            <v>18</v>
          </cell>
          <cell r="E367">
            <v>34</v>
          </cell>
          <cell r="F367">
            <v>0.3535702355</v>
          </cell>
          <cell r="G367">
            <v>4.3373156583999997</v>
          </cell>
          <cell r="H367">
            <v>0.159864122</v>
          </cell>
          <cell r="I367" t="str">
            <v>Local Bus</v>
          </cell>
          <cell r="J367" t="str">
            <v>2017/18</v>
          </cell>
        </row>
        <row r="368">
          <cell r="A368" t="str">
            <v>05 GISBORNE</v>
          </cell>
          <cell r="B368">
            <v>7</v>
          </cell>
          <cell r="C368">
            <v>2023</v>
          </cell>
          <cell r="D368">
            <v>18</v>
          </cell>
          <cell r="E368">
            <v>34</v>
          </cell>
          <cell r="F368">
            <v>0.32973965570000002</v>
          </cell>
          <cell r="G368">
            <v>3.9663064626</v>
          </cell>
          <cell r="H368">
            <v>0.14935212389999999</v>
          </cell>
          <cell r="I368" t="str">
            <v>Local Bus</v>
          </cell>
          <cell r="J368" t="str">
            <v>2022/23</v>
          </cell>
        </row>
        <row r="369">
          <cell r="A369" t="str">
            <v>05 GISBORNE</v>
          </cell>
          <cell r="B369">
            <v>7</v>
          </cell>
          <cell r="C369">
            <v>2028</v>
          </cell>
          <cell r="D369">
            <v>18</v>
          </cell>
          <cell r="E369">
            <v>34</v>
          </cell>
          <cell r="F369">
            <v>0.32487317999999998</v>
          </cell>
          <cell r="G369">
            <v>3.7064099867000002</v>
          </cell>
          <cell r="H369">
            <v>0.1464834823</v>
          </cell>
          <cell r="I369" t="str">
            <v>Local Bus</v>
          </cell>
          <cell r="J369" t="str">
            <v>2027/28</v>
          </cell>
        </row>
        <row r="370">
          <cell r="A370" t="str">
            <v>05 GISBORNE</v>
          </cell>
          <cell r="B370">
            <v>7</v>
          </cell>
          <cell r="C370">
            <v>2033</v>
          </cell>
          <cell r="D370">
            <v>18</v>
          </cell>
          <cell r="E370">
            <v>34</v>
          </cell>
          <cell r="F370">
            <v>0.32425418550000001</v>
          </cell>
          <cell r="G370">
            <v>3.3067011892</v>
          </cell>
          <cell r="H370">
            <v>0.14347698119999999</v>
          </cell>
          <cell r="I370" t="str">
            <v>Local Bus</v>
          </cell>
          <cell r="J370" t="str">
            <v>2032/33</v>
          </cell>
        </row>
        <row r="371">
          <cell r="A371" t="str">
            <v>05 GISBORNE</v>
          </cell>
          <cell r="B371">
            <v>7</v>
          </cell>
          <cell r="C371">
            <v>2038</v>
          </cell>
          <cell r="D371">
            <v>18</v>
          </cell>
          <cell r="E371">
            <v>34</v>
          </cell>
          <cell r="F371">
            <v>0.32155654039999998</v>
          </cell>
          <cell r="G371">
            <v>3.1261455210000002</v>
          </cell>
          <cell r="H371">
            <v>0.143610879</v>
          </cell>
          <cell r="I371" t="str">
            <v>Local Bus</v>
          </cell>
          <cell r="J371" t="str">
            <v>2037/38</v>
          </cell>
        </row>
        <row r="372">
          <cell r="A372" t="str">
            <v>05 GISBORNE</v>
          </cell>
          <cell r="B372">
            <v>7</v>
          </cell>
          <cell r="C372">
            <v>2043</v>
          </cell>
          <cell r="D372">
            <v>18</v>
          </cell>
          <cell r="E372">
            <v>34</v>
          </cell>
          <cell r="F372">
            <v>0.32268776399999999</v>
          </cell>
          <cell r="G372">
            <v>2.9586368315999998</v>
          </cell>
          <cell r="H372">
            <v>0.14502625050000001</v>
          </cell>
          <cell r="I372" t="str">
            <v>Local Bus</v>
          </cell>
          <cell r="J372" t="str">
            <v>2042/43</v>
          </cell>
        </row>
        <row r="373">
          <cell r="A373" t="str">
            <v>05 GISBORNE</v>
          </cell>
          <cell r="B373">
            <v>8</v>
          </cell>
          <cell r="C373">
            <v>2013</v>
          </cell>
          <cell r="D373">
            <v>1</v>
          </cell>
          <cell r="E373">
            <v>2</v>
          </cell>
          <cell r="F373">
            <v>1.5651153399999999E-2</v>
          </cell>
          <cell r="G373">
            <v>0</v>
          </cell>
          <cell r="H373">
            <v>6.5213138999999998E-3</v>
          </cell>
          <cell r="I373" t="str">
            <v>Local Ferry</v>
          </cell>
          <cell r="J373" t="str">
            <v>2012/13</v>
          </cell>
        </row>
        <row r="374">
          <cell r="A374" t="str">
            <v>05 GISBORNE</v>
          </cell>
          <cell r="B374">
            <v>8</v>
          </cell>
          <cell r="C374">
            <v>2018</v>
          </cell>
          <cell r="D374">
            <v>1</v>
          </cell>
          <cell r="E374">
            <v>2</v>
          </cell>
          <cell r="F374">
            <v>1.4907050599999999E-2</v>
          </cell>
          <cell r="G374">
            <v>0</v>
          </cell>
          <cell r="H374">
            <v>6.2112710999999996E-3</v>
          </cell>
          <cell r="I374" t="str">
            <v>Local Ferry</v>
          </cell>
          <cell r="J374" t="str">
            <v>2017/18</v>
          </cell>
        </row>
        <row r="375">
          <cell r="A375" t="str">
            <v>05 GISBORNE</v>
          </cell>
          <cell r="B375">
            <v>8</v>
          </cell>
          <cell r="C375">
            <v>2023</v>
          </cell>
          <cell r="D375">
            <v>1</v>
          </cell>
          <cell r="E375">
            <v>2</v>
          </cell>
          <cell r="F375">
            <v>1.39811703E-2</v>
          </cell>
          <cell r="G375">
            <v>0</v>
          </cell>
          <cell r="H375">
            <v>5.8254876000000001E-3</v>
          </cell>
          <cell r="I375" t="str">
            <v>Local Ferry</v>
          </cell>
          <cell r="J375" t="str">
            <v>2022/23</v>
          </cell>
        </row>
        <row r="376">
          <cell r="A376" t="str">
            <v>05 GISBORNE</v>
          </cell>
          <cell r="B376">
            <v>8</v>
          </cell>
          <cell r="C376">
            <v>2028</v>
          </cell>
          <cell r="D376">
            <v>1</v>
          </cell>
          <cell r="E376">
            <v>2</v>
          </cell>
          <cell r="F376">
            <v>1.3672536000000001E-2</v>
          </cell>
          <cell r="G376">
            <v>0</v>
          </cell>
          <cell r="H376">
            <v>5.6968899999999996E-3</v>
          </cell>
          <cell r="I376" t="str">
            <v>Local Ferry</v>
          </cell>
          <cell r="J376" t="str">
            <v>2027/28</v>
          </cell>
        </row>
        <row r="377">
          <cell r="A377" t="str">
            <v>05 GISBORNE</v>
          </cell>
          <cell r="B377">
            <v>8</v>
          </cell>
          <cell r="C377">
            <v>2033</v>
          </cell>
          <cell r="D377">
            <v>1</v>
          </cell>
          <cell r="E377">
            <v>2</v>
          </cell>
          <cell r="F377">
            <v>1.5082007499999999E-2</v>
          </cell>
          <cell r="G377">
            <v>0</v>
          </cell>
          <cell r="H377">
            <v>6.2841698000000003E-3</v>
          </cell>
          <cell r="I377" t="str">
            <v>Local Ferry</v>
          </cell>
          <cell r="J377" t="str">
            <v>2032/33</v>
          </cell>
        </row>
        <row r="378">
          <cell r="A378" t="str">
            <v>05 GISBORNE</v>
          </cell>
          <cell r="B378">
            <v>8</v>
          </cell>
          <cell r="C378">
            <v>2038</v>
          </cell>
          <cell r="D378">
            <v>1</v>
          </cell>
          <cell r="E378">
            <v>2</v>
          </cell>
          <cell r="F378">
            <v>1.7834836499999999E-2</v>
          </cell>
          <cell r="G378">
            <v>0</v>
          </cell>
          <cell r="H378">
            <v>7.4311819000000001E-3</v>
          </cell>
          <cell r="I378" t="str">
            <v>Local Ferry</v>
          </cell>
          <cell r="J378" t="str">
            <v>2037/38</v>
          </cell>
        </row>
        <row r="379">
          <cell r="A379" t="str">
            <v>05 GISBORNE</v>
          </cell>
          <cell r="B379">
            <v>8</v>
          </cell>
          <cell r="C379">
            <v>2043</v>
          </cell>
          <cell r="D379">
            <v>1</v>
          </cell>
          <cell r="E379">
            <v>2</v>
          </cell>
          <cell r="F379">
            <v>2.0730339E-2</v>
          </cell>
          <cell r="G379">
            <v>0</v>
          </cell>
          <cell r="H379">
            <v>8.6376412000000007E-3</v>
          </cell>
          <cell r="I379" t="str">
            <v>Local Ferry</v>
          </cell>
          <cell r="J379" t="str">
            <v>2042/43</v>
          </cell>
        </row>
        <row r="380">
          <cell r="A380" t="str">
            <v>05 GISBORNE</v>
          </cell>
          <cell r="B380">
            <v>9</v>
          </cell>
          <cell r="C380">
            <v>2013</v>
          </cell>
          <cell r="D380">
            <v>1</v>
          </cell>
          <cell r="E380">
            <v>2</v>
          </cell>
          <cell r="F380">
            <v>3.13358953E-2</v>
          </cell>
          <cell r="G380">
            <v>0</v>
          </cell>
          <cell r="H380">
            <v>5.2226492000000003E-3</v>
          </cell>
          <cell r="I380" t="str">
            <v>Other Household Travel</v>
          </cell>
          <cell r="J380" t="str">
            <v>2012/13</v>
          </cell>
        </row>
        <row r="381">
          <cell r="A381" t="str">
            <v>05 GISBORNE</v>
          </cell>
          <cell r="B381">
            <v>9</v>
          </cell>
          <cell r="C381">
            <v>2018</v>
          </cell>
          <cell r="D381">
            <v>1</v>
          </cell>
          <cell r="E381">
            <v>2</v>
          </cell>
          <cell r="F381">
            <v>2.6354931099999999E-2</v>
          </cell>
          <cell r="G381">
            <v>0</v>
          </cell>
          <cell r="H381">
            <v>4.3924884999999997E-3</v>
          </cell>
          <cell r="I381" t="str">
            <v>Other Household Travel</v>
          </cell>
          <cell r="J381" t="str">
            <v>2017/18</v>
          </cell>
        </row>
        <row r="382">
          <cell r="A382" t="str">
            <v>05 GISBORNE</v>
          </cell>
          <cell r="B382">
            <v>9</v>
          </cell>
          <cell r="C382">
            <v>2023</v>
          </cell>
          <cell r="D382">
            <v>1</v>
          </cell>
          <cell r="E382">
            <v>2</v>
          </cell>
          <cell r="F382">
            <v>1.9835706299999999E-2</v>
          </cell>
          <cell r="G382">
            <v>0</v>
          </cell>
          <cell r="H382">
            <v>3.3059511000000001E-3</v>
          </cell>
          <cell r="I382" t="str">
            <v>Other Household Travel</v>
          </cell>
          <cell r="J382" t="str">
            <v>2022/23</v>
          </cell>
        </row>
        <row r="383">
          <cell r="A383" t="str">
            <v>05 GISBORNE</v>
          </cell>
          <cell r="B383">
            <v>9</v>
          </cell>
          <cell r="C383">
            <v>2028</v>
          </cell>
          <cell r="D383">
            <v>1</v>
          </cell>
          <cell r="E383">
            <v>2</v>
          </cell>
          <cell r="F383">
            <v>1.79814225E-2</v>
          </cell>
          <cell r="G383">
            <v>0</v>
          </cell>
          <cell r="H383">
            <v>2.9969036999999998E-3</v>
          </cell>
          <cell r="I383" t="str">
            <v>Other Household Travel</v>
          </cell>
          <cell r="J383" t="str">
            <v>2027/28</v>
          </cell>
        </row>
        <row r="384">
          <cell r="A384" t="str">
            <v>05 GISBORNE</v>
          </cell>
          <cell r="B384">
            <v>9</v>
          </cell>
          <cell r="C384">
            <v>2033</v>
          </cell>
          <cell r="D384">
            <v>1</v>
          </cell>
          <cell r="E384">
            <v>2</v>
          </cell>
          <cell r="F384">
            <v>1.53208119E-2</v>
          </cell>
          <cell r="G384">
            <v>0</v>
          </cell>
          <cell r="H384">
            <v>2.5534686999999999E-3</v>
          </cell>
          <cell r="I384" t="str">
            <v>Other Household Travel</v>
          </cell>
          <cell r="J384" t="str">
            <v>2032/33</v>
          </cell>
        </row>
        <row r="385">
          <cell r="A385" t="str">
            <v>05 GISBORNE</v>
          </cell>
          <cell r="B385">
            <v>9</v>
          </cell>
          <cell r="C385">
            <v>2038</v>
          </cell>
          <cell r="D385">
            <v>1</v>
          </cell>
          <cell r="E385">
            <v>2</v>
          </cell>
          <cell r="F385">
            <v>1.16094002E-2</v>
          </cell>
          <cell r="G385">
            <v>0</v>
          </cell>
          <cell r="H385">
            <v>1.9349E-3</v>
          </cell>
          <cell r="I385" t="str">
            <v>Other Household Travel</v>
          </cell>
          <cell r="J385" t="str">
            <v>2037/38</v>
          </cell>
        </row>
        <row r="386">
          <cell r="A386" t="str">
            <v>05 GISBORNE</v>
          </cell>
          <cell r="B386">
            <v>9</v>
          </cell>
          <cell r="C386">
            <v>2043</v>
          </cell>
          <cell r="D386">
            <v>1</v>
          </cell>
          <cell r="E386">
            <v>2</v>
          </cell>
          <cell r="F386">
            <v>8.4668802000000005E-3</v>
          </cell>
          <cell r="G386">
            <v>0</v>
          </cell>
          <cell r="H386">
            <v>1.4111467000000001E-3</v>
          </cell>
          <cell r="I386" t="str">
            <v>Other Household Travel</v>
          </cell>
          <cell r="J386" t="str">
            <v>2042/43</v>
          </cell>
        </row>
        <row r="387">
          <cell r="A387" t="str">
            <v>05 GISBORNE</v>
          </cell>
          <cell r="B387">
            <v>10</v>
          </cell>
          <cell r="C387">
            <v>2013</v>
          </cell>
          <cell r="D387">
            <v>12</v>
          </cell>
          <cell r="E387">
            <v>20</v>
          </cell>
          <cell r="F387">
            <v>0.31271654580000002</v>
          </cell>
          <cell r="G387">
            <v>23.012948782999999</v>
          </cell>
          <cell r="H387">
            <v>0.66485160600000004</v>
          </cell>
          <cell r="I387" t="str">
            <v>Air/Non-Local PT</v>
          </cell>
          <cell r="J387" t="str">
            <v>2012/13</v>
          </cell>
        </row>
        <row r="388">
          <cell r="A388" t="str">
            <v>05 GISBORNE</v>
          </cell>
          <cell r="B388">
            <v>10</v>
          </cell>
          <cell r="C388">
            <v>2018</v>
          </cell>
          <cell r="D388">
            <v>12</v>
          </cell>
          <cell r="E388">
            <v>20</v>
          </cell>
          <cell r="F388">
            <v>0.30620107489999998</v>
          </cell>
          <cell r="G388">
            <v>22.178930756</v>
          </cell>
          <cell r="H388">
            <v>0.63981926659999999</v>
          </cell>
          <cell r="I388" t="str">
            <v>Air/Non-Local PT</v>
          </cell>
          <cell r="J388" t="str">
            <v>2017/18</v>
          </cell>
        </row>
        <row r="389">
          <cell r="A389" t="str">
            <v>05 GISBORNE</v>
          </cell>
          <cell r="B389">
            <v>10</v>
          </cell>
          <cell r="C389">
            <v>2023</v>
          </cell>
          <cell r="D389">
            <v>12</v>
          </cell>
          <cell r="E389">
            <v>20</v>
          </cell>
          <cell r="F389">
            <v>0.30090128259999999</v>
          </cell>
          <cell r="G389">
            <v>21.585924137999999</v>
          </cell>
          <cell r="H389">
            <v>0.62241018199999998</v>
          </cell>
          <cell r="I389" t="str">
            <v>Air/Non-Local PT</v>
          </cell>
          <cell r="J389" t="str">
            <v>2022/23</v>
          </cell>
        </row>
        <row r="390">
          <cell r="A390" t="str">
            <v>05 GISBORNE</v>
          </cell>
          <cell r="B390">
            <v>10</v>
          </cell>
          <cell r="C390">
            <v>2028</v>
          </cell>
          <cell r="D390">
            <v>12</v>
          </cell>
          <cell r="E390">
            <v>20</v>
          </cell>
          <cell r="F390">
            <v>0.30630954449999998</v>
          </cell>
          <cell r="G390">
            <v>20.972266740999999</v>
          </cell>
          <cell r="H390">
            <v>0.622057003</v>
          </cell>
          <cell r="I390" t="str">
            <v>Air/Non-Local PT</v>
          </cell>
          <cell r="J390" t="str">
            <v>2027/28</v>
          </cell>
        </row>
        <row r="391">
          <cell r="A391" t="str">
            <v>05 GISBORNE</v>
          </cell>
          <cell r="B391">
            <v>10</v>
          </cell>
          <cell r="C391">
            <v>2033</v>
          </cell>
          <cell r="D391">
            <v>12</v>
          </cell>
          <cell r="E391">
            <v>20</v>
          </cell>
          <cell r="F391">
            <v>0.31009061999999998</v>
          </cell>
          <cell r="G391">
            <v>20.323432145999998</v>
          </cell>
          <cell r="H391">
            <v>0.61958363770000002</v>
          </cell>
          <cell r="I391" t="str">
            <v>Air/Non-Local PT</v>
          </cell>
          <cell r="J391" t="str">
            <v>2032/33</v>
          </cell>
        </row>
        <row r="392">
          <cell r="A392" t="str">
            <v>05 GISBORNE</v>
          </cell>
          <cell r="B392">
            <v>10</v>
          </cell>
          <cell r="C392">
            <v>2038</v>
          </cell>
          <cell r="D392">
            <v>12</v>
          </cell>
          <cell r="E392">
            <v>20</v>
          </cell>
          <cell r="F392">
            <v>0.30705500419999998</v>
          </cell>
          <cell r="G392">
            <v>19.870180351999998</v>
          </cell>
          <cell r="H392">
            <v>0.60480062339999996</v>
          </cell>
          <cell r="I392" t="str">
            <v>Air/Non-Local PT</v>
          </cell>
          <cell r="J392" t="str">
            <v>2037/38</v>
          </cell>
        </row>
        <row r="393">
          <cell r="A393" t="str">
            <v>05 GISBORNE</v>
          </cell>
          <cell r="B393">
            <v>10</v>
          </cell>
          <cell r="C393">
            <v>2043</v>
          </cell>
          <cell r="D393">
            <v>12</v>
          </cell>
          <cell r="E393">
            <v>20</v>
          </cell>
          <cell r="F393">
            <v>0.3045069138</v>
          </cell>
          <cell r="G393">
            <v>19.472537738</v>
          </cell>
          <cell r="H393">
            <v>0.59093384640000002</v>
          </cell>
          <cell r="I393" t="str">
            <v>Air/Non-Local PT</v>
          </cell>
          <cell r="J393" t="str">
            <v>2042/43</v>
          </cell>
        </row>
        <row r="394">
          <cell r="A394" t="str">
            <v>05 GISBORNE</v>
          </cell>
          <cell r="B394">
            <v>11</v>
          </cell>
          <cell r="C394">
            <v>2013</v>
          </cell>
          <cell r="D394">
            <v>8</v>
          </cell>
          <cell r="E394">
            <v>22</v>
          </cell>
          <cell r="F394">
            <v>0.24434687620000001</v>
          </cell>
          <cell r="G394">
            <v>9.0032605469</v>
          </cell>
          <cell r="H394">
            <v>0.1991820503</v>
          </cell>
          <cell r="I394" t="str">
            <v>Non-Household Travel</v>
          </cell>
          <cell r="J394" t="str">
            <v>2012/13</v>
          </cell>
        </row>
        <row r="395">
          <cell r="A395" t="str">
            <v>05 GISBORNE</v>
          </cell>
          <cell r="B395">
            <v>11</v>
          </cell>
          <cell r="C395">
            <v>2018</v>
          </cell>
          <cell r="D395">
            <v>8</v>
          </cell>
          <cell r="E395">
            <v>22</v>
          </cell>
          <cell r="F395">
            <v>0.2664411445</v>
          </cell>
          <cell r="G395">
            <v>9.6809029583000008</v>
          </cell>
          <cell r="H395">
            <v>0.21352860730000001</v>
          </cell>
          <cell r="I395" t="str">
            <v>Non-Household Travel</v>
          </cell>
          <cell r="J395" t="str">
            <v>2017/18</v>
          </cell>
        </row>
        <row r="396">
          <cell r="A396" t="str">
            <v>05 GISBORNE</v>
          </cell>
          <cell r="B396">
            <v>11</v>
          </cell>
          <cell r="C396">
            <v>2023</v>
          </cell>
          <cell r="D396">
            <v>8</v>
          </cell>
          <cell r="E396">
            <v>22</v>
          </cell>
          <cell r="F396">
            <v>0.27335797610000001</v>
          </cell>
          <cell r="G396">
            <v>9.7631577048999993</v>
          </cell>
          <cell r="H396">
            <v>0.21500586269999999</v>
          </cell>
          <cell r="I396" t="str">
            <v>Non-Household Travel</v>
          </cell>
          <cell r="J396" t="str">
            <v>2022/23</v>
          </cell>
        </row>
        <row r="397">
          <cell r="A397" t="str">
            <v>05 GISBORNE</v>
          </cell>
          <cell r="B397">
            <v>11</v>
          </cell>
          <cell r="C397">
            <v>2028</v>
          </cell>
          <cell r="D397">
            <v>8</v>
          </cell>
          <cell r="E397">
            <v>22</v>
          </cell>
          <cell r="F397">
            <v>0.27181739170000002</v>
          </cell>
          <cell r="G397">
            <v>9.4742853167999996</v>
          </cell>
          <cell r="H397">
            <v>0.20926992389999999</v>
          </cell>
          <cell r="I397" t="str">
            <v>Non-Household Travel</v>
          </cell>
          <cell r="J397" t="str">
            <v>2027/28</v>
          </cell>
        </row>
        <row r="398">
          <cell r="A398" t="str">
            <v>05 GISBORNE</v>
          </cell>
          <cell r="B398">
            <v>11</v>
          </cell>
          <cell r="C398">
            <v>2033</v>
          </cell>
          <cell r="D398">
            <v>8</v>
          </cell>
          <cell r="E398">
            <v>22</v>
          </cell>
          <cell r="F398">
            <v>0.26704385269999997</v>
          </cell>
          <cell r="G398">
            <v>8.7712928522000002</v>
          </cell>
          <cell r="H398">
            <v>0.1972372691</v>
          </cell>
          <cell r="I398" t="str">
            <v>Non-Household Travel</v>
          </cell>
          <cell r="J398" t="str">
            <v>2032/33</v>
          </cell>
        </row>
        <row r="399">
          <cell r="A399" t="str">
            <v>05 GISBORNE</v>
          </cell>
          <cell r="B399">
            <v>11</v>
          </cell>
          <cell r="C399">
            <v>2038</v>
          </cell>
          <cell r="D399">
            <v>8</v>
          </cell>
          <cell r="E399">
            <v>22</v>
          </cell>
          <cell r="F399">
            <v>0.26440604350000002</v>
          </cell>
          <cell r="G399">
            <v>7.933385425</v>
          </cell>
          <cell r="H399">
            <v>0.18431047019999999</v>
          </cell>
          <cell r="I399" t="str">
            <v>Non-Household Travel</v>
          </cell>
          <cell r="J399" t="str">
            <v>2037/38</v>
          </cell>
        </row>
        <row r="400">
          <cell r="A400" t="str">
            <v>05 GISBORNE</v>
          </cell>
          <cell r="B400">
            <v>11</v>
          </cell>
          <cell r="C400">
            <v>2043</v>
          </cell>
          <cell r="D400">
            <v>8</v>
          </cell>
          <cell r="E400">
            <v>22</v>
          </cell>
          <cell r="F400">
            <v>0.26282842270000001</v>
          </cell>
          <cell r="G400">
            <v>7.1232277789999996</v>
          </cell>
          <cell r="H400">
            <v>0.17202692929999999</v>
          </cell>
          <cell r="I400" t="str">
            <v>Non-Household Travel</v>
          </cell>
          <cell r="J400" t="str">
            <v>2042/43</v>
          </cell>
        </row>
        <row r="401">
          <cell r="A401" t="str">
            <v>06 HAWKE`S BAY</v>
          </cell>
          <cell r="B401">
            <v>0</v>
          </cell>
          <cell r="C401">
            <v>2013</v>
          </cell>
          <cell r="D401">
            <v>221</v>
          </cell>
          <cell r="E401">
            <v>754</v>
          </cell>
          <cell r="F401">
            <v>26.538300281000001</v>
          </cell>
          <cell r="G401">
            <v>22.691613215</v>
          </cell>
          <cell r="H401">
            <v>5.9462513095</v>
          </cell>
          <cell r="I401" t="str">
            <v>Pedestrian</v>
          </cell>
          <cell r="J401" t="str">
            <v>2012/13</v>
          </cell>
        </row>
        <row r="402">
          <cell r="A402" t="str">
            <v>06 HAWKE`S BAY</v>
          </cell>
          <cell r="B402">
            <v>0</v>
          </cell>
          <cell r="C402">
            <v>2018</v>
          </cell>
          <cell r="D402">
            <v>221</v>
          </cell>
          <cell r="E402">
            <v>754</v>
          </cell>
          <cell r="F402">
            <v>27.944817379</v>
          </cell>
          <cell r="G402">
            <v>23.630409191999998</v>
          </cell>
          <cell r="H402">
            <v>6.2178853297999996</v>
          </cell>
          <cell r="I402" t="str">
            <v>Pedestrian</v>
          </cell>
          <cell r="J402" t="str">
            <v>2017/18</v>
          </cell>
        </row>
        <row r="403">
          <cell r="A403" t="str">
            <v>06 HAWKE`S BAY</v>
          </cell>
          <cell r="B403">
            <v>0</v>
          </cell>
          <cell r="C403">
            <v>2023</v>
          </cell>
          <cell r="D403">
            <v>221</v>
          </cell>
          <cell r="E403">
            <v>754</v>
          </cell>
          <cell r="F403">
            <v>29.14750742</v>
          </cell>
          <cell r="G403">
            <v>24.358757362999999</v>
          </cell>
          <cell r="H403">
            <v>6.4584054091</v>
          </cell>
          <cell r="I403" t="str">
            <v>Pedestrian</v>
          </cell>
          <cell r="J403" t="str">
            <v>2022/23</v>
          </cell>
        </row>
        <row r="404">
          <cell r="A404" t="str">
            <v>06 HAWKE`S BAY</v>
          </cell>
          <cell r="B404">
            <v>0</v>
          </cell>
          <cell r="C404">
            <v>2028</v>
          </cell>
          <cell r="D404">
            <v>221</v>
          </cell>
          <cell r="E404">
            <v>754</v>
          </cell>
          <cell r="F404">
            <v>29.641081930999999</v>
          </cell>
          <cell r="G404">
            <v>24.726975710000001</v>
          </cell>
          <cell r="H404">
            <v>6.5336336425999999</v>
          </cell>
          <cell r="I404" t="str">
            <v>Pedestrian</v>
          </cell>
          <cell r="J404" t="str">
            <v>2027/28</v>
          </cell>
        </row>
        <row r="405">
          <cell r="A405" t="str">
            <v>06 HAWKE`S BAY</v>
          </cell>
          <cell r="B405">
            <v>0</v>
          </cell>
          <cell r="C405">
            <v>2033</v>
          </cell>
          <cell r="D405">
            <v>221</v>
          </cell>
          <cell r="E405">
            <v>754</v>
          </cell>
          <cell r="F405">
            <v>29.595070895999999</v>
          </cell>
          <cell r="G405">
            <v>24.863531463000001</v>
          </cell>
          <cell r="H405">
            <v>6.5287993063999998</v>
          </cell>
          <cell r="I405" t="str">
            <v>Pedestrian</v>
          </cell>
          <cell r="J405" t="str">
            <v>2032/33</v>
          </cell>
        </row>
        <row r="406">
          <cell r="A406" t="str">
            <v>06 HAWKE`S BAY</v>
          </cell>
          <cell r="B406">
            <v>0</v>
          </cell>
          <cell r="C406">
            <v>2038</v>
          </cell>
          <cell r="D406">
            <v>221</v>
          </cell>
          <cell r="E406">
            <v>754</v>
          </cell>
          <cell r="F406">
            <v>29.539599793000001</v>
          </cell>
          <cell r="G406">
            <v>25.193683757999999</v>
          </cell>
          <cell r="H406">
            <v>6.5614534492000001</v>
          </cell>
          <cell r="I406" t="str">
            <v>Pedestrian</v>
          </cell>
          <cell r="J406" t="str">
            <v>2037/38</v>
          </cell>
        </row>
        <row r="407">
          <cell r="A407" t="str">
            <v>06 HAWKE`S BAY</v>
          </cell>
          <cell r="B407">
            <v>0</v>
          </cell>
          <cell r="C407">
            <v>2043</v>
          </cell>
          <cell r="D407">
            <v>221</v>
          </cell>
          <cell r="E407">
            <v>754</v>
          </cell>
          <cell r="F407">
            <v>29.331338688999999</v>
          </cell>
          <cell r="G407">
            <v>25.427207582000001</v>
          </cell>
          <cell r="H407">
            <v>6.5692179990000001</v>
          </cell>
          <cell r="I407" t="str">
            <v>Pedestrian</v>
          </cell>
          <cell r="J407" t="str">
            <v>2042/43</v>
          </cell>
        </row>
        <row r="408">
          <cell r="A408" t="str">
            <v>06 HAWKE`S BAY</v>
          </cell>
          <cell r="B408">
            <v>1</v>
          </cell>
          <cell r="C408">
            <v>2013</v>
          </cell>
          <cell r="D408">
            <v>30</v>
          </cell>
          <cell r="E408">
            <v>93</v>
          </cell>
          <cell r="F408">
            <v>3.1819840940000002</v>
          </cell>
          <cell r="G408">
            <v>9.5482363540000001</v>
          </cell>
          <cell r="H408">
            <v>0.88401106659999995</v>
          </cell>
          <cell r="I408" t="str">
            <v>Cyclist</v>
          </cell>
          <cell r="J408" t="str">
            <v>2012/13</v>
          </cell>
        </row>
        <row r="409">
          <cell r="A409" t="str">
            <v>06 HAWKE`S BAY</v>
          </cell>
          <cell r="B409">
            <v>1</v>
          </cell>
          <cell r="C409">
            <v>2018</v>
          </cell>
          <cell r="D409">
            <v>30</v>
          </cell>
          <cell r="E409">
            <v>93</v>
          </cell>
          <cell r="F409">
            <v>3.3096529013999998</v>
          </cell>
          <cell r="G409">
            <v>10.217483173</v>
          </cell>
          <cell r="H409">
            <v>0.94432698719999997</v>
          </cell>
          <cell r="I409" t="str">
            <v>Cyclist</v>
          </cell>
          <cell r="J409" t="str">
            <v>2017/18</v>
          </cell>
        </row>
        <row r="410">
          <cell r="A410" t="str">
            <v>06 HAWKE`S BAY</v>
          </cell>
          <cell r="B410">
            <v>1</v>
          </cell>
          <cell r="C410">
            <v>2023</v>
          </cell>
          <cell r="D410">
            <v>30</v>
          </cell>
          <cell r="E410">
            <v>93</v>
          </cell>
          <cell r="F410">
            <v>3.4552543172000001</v>
          </cell>
          <cell r="G410">
            <v>10.611232829</v>
          </cell>
          <cell r="H410">
            <v>0.97699562549999996</v>
          </cell>
          <cell r="I410" t="str">
            <v>Cyclist</v>
          </cell>
          <cell r="J410" t="str">
            <v>2022/23</v>
          </cell>
        </row>
        <row r="411">
          <cell r="A411" t="str">
            <v>06 HAWKE`S BAY</v>
          </cell>
          <cell r="B411">
            <v>1</v>
          </cell>
          <cell r="C411">
            <v>2028</v>
          </cell>
          <cell r="D411">
            <v>30</v>
          </cell>
          <cell r="E411">
            <v>93</v>
          </cell>
          <cell r="F411">
            <v>3.5925666586</v>
          </cell>
          <cell r="G411">
            <v>11.118484731000001</v>
          </cell>
          <cell r="H411">
            <v>1.0225636417999999</v>
          </cell>
          <cell r="I411" t="str">
            <v>Cyclist</v>
          </cell>
          <cell r="J411" t="str">
            <v>2027/28</v>
          </cell>
        </row>
        <row r="412">
          <cell r="A412" t="str">
            <v>06 HAWKE`S BAY</v>
          </cell>
          <cell r="B412">
            <v>1</v>
          </cell>
          <cell r="C412">
            <v>2033</v>
          </cell>
          <cell r="D412">
            <v>30</v>
          </cell>
          <cell r="E412">
            <v>93</v>
          </cell>
          <cell r="F412">
            <v>3.6286940792000002</v>
          </cell>
          <cell r="G412">
            <v>11.596009892</v>
          </cell>
          <cell r="H412">
            <v>1.0575265337999999</v>
          </cell>
          <cell r="I412" t="str">
            <v>Cyclist</v>
          </cell>
          <cell r="J412" t="str">
            <v>2032/33</v>
          </cell>
        </row>
        <row r="413">
          <cell r="A413" t="str">
            <v>06 HAWKE`S BAY</v>
          </cell>
          <cell r="B413">
            <v>1</v>
          </cell>
          <cell r="C413">
            <v>2038</v>
          </cell>
          <cell r="D413">
            <v>30</v>
          </cell>
          <cell r="E413">
            <v>93</v>
          </cell>
          <cell r="F413">
            <v>3.6653353907000001</v>
          </cell>
          <cell r="G413">
            <v>11.796850336</v>
          </cell>
          <cell r="H413">
            <v>1.0757189056000001</v>
          </cell>
          <cell r="I413" t="str">
            <v>Cyclist</v>
          </cell>
          <cell r="J413" t="str">
            <v>2037/38</v>
          </cell>
        </row>
        <row r="414">
          <cell r="A414" t="str">
            <v>06 HAWKE`S BAY</v>
          </cell>
          <cell r="B414">
            <v>1</v>
          </cell>
          <cell r="C414">
            <v>2043</v>
          </cell>
          <cell r="D414">
            <v>30</v>
          </cell>
          <cell r="E414">
            <v>93</v>
          </cell>
          <cell r="F414">
            <v>3.6790783066000001</v>
          </cell>
          <cell r="G414">
            <v>11.925964628999999</v>
          </cell>
          <cell r="H414">
            <v>1.0886481402999999</v>
          </cell>
          <cell r="I414" t="str">
            <v>Cyclist</v>
          </cell>
          <cell r="J414" t="str">
            <v>2042/43</v>
          </cell>
        </row>
        <row r="415">
          <cell r="A415" t="str">
            <v>06 HAWKE`S BAY</v>
          </cell>
          <cell r="B415">
            <v>2</v>
          </cell>
          <cell r="C415">
            <v>2013</v>
          </cell>
          <cell r="D415">
            <v>446</v>
          </cell>
          <cell r="E415">
            <v>3171</v>
          </cell>
          <cell r="F415">
            <v>111.16933473</v>
          </cell>
          <cell r="G415">
            <v>1001.7566771</v>
          </cell>
          <cell r="H415">
            <v>25.377986313000001</v>
          </cell>
          <cell r="I415" t="str">
            <v>Light Vehicle Driver</v>
          </cell>
          <cell r="J415" t="str">
            <v>2012/13</v>
          </cell>
        </row>
        <row r="416">
          <cell r="A416" t="str">
            <v>06 HAWKE`S BAY</v>
          </cell>
          <cell r="B416">
            <v>2</v>
          </cell>
          <cell r="C416">
            <v>2018</v>
          </cell>
          <cell r="D416">
            <v>446</v>
          </cell>
          <cell r="E416">
            <v>3171</v>
          </cell>
          <cell r="F416">
            <v>119.46686907</v>
          </cell>
          <cell r="G416">
            <v>1083.6110593999999</v>
          </cell>
          <cell r="H416">
            <v>27.374666599000001</v>
          </cell>
          <cell r="I416" t="str">
            <v>Light Vehicle Driver</v>
          </cell>
          <cell r="J416" t="str">
            <v>2017/18</v>
          </cell>
        </row>
        <row r="417">
          <cell r="A417" t="str">
            <v>06 HAWKE`S BAY</v>
          </cell>
          <cell r="B417">
            <v>2</v>
          </cell>
          <cell r="C417">
            <v>2023</v>
          </cell>
          <cell r="D417">
            <v>446</v>
          </cell>
          <cell r="E417">
            <v>3171</v>
          </cell>
          <cell r="F417">
            <v>125.71695925</v>
          </cell>
          <cell r="G417">
            <v>1141.0195093</v>
          </cell>
          <cell r="H417">
            <v>28.852830545</v>
          </cell>
          <cell r="I417" t="str">
            <v>Light Vehicle Driver</v>
          </cell>
          <cell r="J417" t="str">
            <v>2022/23</v>
          </cell>
        </row>
        <row r="418">
          <cell r="A418" t="str">
            <v>06 HAWKE`S BAY</v>
          </cell>
          <cell r="B418">
            <v>2</v>
          </cell>
          <cell r="C418">
            <v>2028</v>
          </cell>
          <cell r="D418">
            <v>446</v>
          </cell>
          <cell r="E418">
            <v>3171</v>
          </cell>
          <cell r="F418">
            <v>132.58605294</v>
          </cell>
          <cell r="G418">
            <v>1206.5571324</v>
          </cell>
          <cell r="H418">
            <v>30.555900576999999</v>
          </cell>
          <cell r="I418" t="str">
            <v>Light Vehicle Driver</v>
          </cell>
          <cell r="J418" t="str">
            <v>2027/28</v>
          </cell>
        </row>
        <row r="419">
          <cell r="A419" t="str">
            <v>06 HAWKE`S BAY</v>
          </cell>
          <cell r="B419">
            <v>2</v>
          </cell>
          <cell r="C419">
            <v>2033</v>
          </cell>
          <cell r="D419">
            <v>446</v>
          </cell>
          <cell r="E419">
            <v>3171</v>
          </cell>
          <cell r="F419">
            <v>138.59324656000001</v>
          </cell>
          <cell r="G419">
            <v>1265.5454279</v>
          </cell>
          <cell r="H419">
            <v>32.074357501000001</v>
          </cell>
          <cell r="I419" t="str">
            <v>Light Vehicle Driver</v>
          </cell>
          <cell r="J419" t="str">
            <v>2032/33</v>
          </cell>
        </row>
        <row r="420">
          <cell r="A420" t="str">
            <v>06 HAWKE`S BAY</v>
          </cell>
          <cell r="B420">
            <v>2</v>
          </cell>
          <cell r="C420">
            <v>2038</v>
          </cell>
          <cell r="D420">
            <v>446</v>
          </cell>
          <cell r="E420">
            <v>3171</v>
          </cell>
          <cell r="F420">
            <v>142.74464311</v>
          </cell>
          <cell r="G420">
            <v>1306.2214097999999</v>
          </cell>
          <cell r="H420">
            <v>33.139109869999999</v>
          </cell>
          <cell r="I420" t="str">
            <v>Light Vehicle Driver</v>
          </cell>
          <cell r="J420" t="str">
            <v>2037/38</v>
          </cell>
        </row>
        <row r="421">
          <cell r="A421" t="str">
            <v>06 HAWKE`S BAY</v>
          </cell>
          <cell r="B421">
            <v>2</v>
          </cell>
          <cell r="C421">
            <v>2043</v>
          </cell>
          <cell r="D421">
            <v>446</v>
          </cell>
          <cell r="E421">
            <v>3171</v>
          </cell>
          <cell r="F421">
            <v>146.36628476999999</v>
          </cell>
          <cell r="G421">
            <v>1341.5247523999999</v>
          </cell>
          <cell r="H421">
            <v>34.070623961999999</v>
          </cell>
          <cell r="I421" t="str">
            <v>Light Vehicle Driver</v>
          </cell>
          <cell r="J421" t="str">
            <v>2042/43</v>
          </cell>
        </row>
        <row r="422">
          <cell r="A422" t="str">
            <v>06 HAWKE`S BAY</v>
          </cell>
          <cell r="B422">
            <v>3</v>
          </cell>
          <cell r="C422">
            <v>2013</v>
          </cell>
          <cell r="D422">
            <v>300</v>
          </cell>
          <cell r="E422">
            <v>1579</v>
          </cell>
          <cell r="F422">
            <v>58.497679761999997</v>
          </cell>
          <cell r="G422">
            <v>607.82570181000006</v>
          </cell>
          <cell r="H422">
            <v>15.230731736999999</v>
          </cell>
          <cell r="I422" t="str">
            <v>Light Vehicle Passenger</v>
          </cell>
          <cell r="J422" t="str">
            <v>2012/13</v>
          </cell>
        </row>
        <row r="423">
          <cell r="A423" t="str">
            <v>06 HAWKE`S BAY</v>
          </cell>
          <cell r="B423">
            <v>3</v>
          </cell>
          <cell r="C423">
            <v>2018</v>
          </cell>
          <cell r="D423">
            <v>300</v>
          </cell>
          <cell r="E423">
            <v>1579</v>
          </cell>
          <cell r="F423">
            <v>60.405657173999998</v>
          </cell>
          <cell r="G423">
            <v>642.95162944000003</v>
          </cell>
          <cell r="H423">
            <v>15.968389121</v>
          </cell>
          <cell r="I423" t="str">
            <v>Light Vehicle Passenger</v>
          </cell>
          <cell r="J423" t="str">
            <v>2017/18</v>
          </cell>
        </row>
        <row r="424">
          <cell r="A424" t="str">
            <v>06 HAWKE`S BAY</v>
          </cell>
          <cell r="B424">
            <v>3</v>
          </cell>
          <cell r="C424">
            <v>2023</v>
          </cell>
          <cell r="D424">
            <v>300</v>
          </cell>
          <cell r="E424">
            <v>1579</v>
          </cell>
          <cell r="F424">
            <v>61.772805951000002</v>
          </cell>
          <cell r="G424">
            <v>669.58509643000002</v>
          </cell>
          <cell r="H424">
            <v>16.532435840000002</v>
          </cell>
          <cell r="I424" t="str">
            <v>Light Vehicle Passenger</v>
          </cell>
          <cell r="J424" t="str">
            <v>2022/23</v>
          </cell>
        </row>
        <row r="425">
          <cell r="A425" t="str">
            <v>06 HAWKE`S BAY</v>
          </cell>
          <cell r="B425">
            <v>3</v>
          </cell>
          <cell r="C425">
            <v>2028</v>
          </cell>
          <cell r="D425">
            <v>300</v>
          </cell>
          <cell r="E425">
            <v>1579</v>
          </cell>
          <cell r="F425">
            <v>63.543880749000003</v>
          </cell>
          <cell r="G425">
            <v>690.44868241999995</v>
          </cell>
          <cell r="H425">
            <v>17.078773456</v>
          </cell>
          <cell r="I425" t="str">
            <v>Light Vehicle Passenger</v>
          </cell>
          <cell r="J425" t="str">
            <v>2027/28</v>
          </cell>
        </row>
        <row r="426">
          <cell r="A426" t="str">
            <v>06 HAWKE`S BAY</v>
          </cell>
          <cell r="B426">
            <v>3</v>
          </cell>
          <cell r="C426">
            <v>2033</v>
          </cell>
          <cell r="D426">
            <v>300</v>
          </cell>
          <cell r="E426">
            <v>1579</v>
          </cell>
          <cell r="F426">
            <v>64.659354543999996</v>
          </cell>
          <cell r="G426">
            <v>700.39420789999997</v>
          </cell>
          <cell r="H426">
            <v>17.354749005999999</v>
          </cell>
          <cell r="I426" t="str">
            <v>Light Vehicle Passenger</v>
          </cell>
          <cell r="J426" t="str">
            <v>2032/33</v>
          </cell>
        </row>
        <row r="427">
          <cell r="A427" t="str">
            <v>06 HAWKE`S BAY</v>
          </cell>
          <cell r="B427">
            <v>3</v>
          </cell>
          <cell r="C427">
            <v>2038</v>
          </cell>
          <cell r="D427">
            <v>300</v>
          </cell>
          <cell r="E427">
            <v>1579</v>
          </cell>
          <cell r="F427">
            <v>65.699381204000005</v>
          </cell>
          <cell r="G427">
            <v>703.60689643000001</v>
          </cell>
          <cell r="H427">
            <v>17.473011802999999</v>
          </cell>
          <cell r="I427" t="str">
            <v>Light Vehicle Passenger</v>
          </cell>
          <cell r="J427" t="str">
            <v>2037/38</v>
          </cell>
        </row>
        <row r="428">
          <cell r="A428" t="str">
            <v>06 HAWKE`S BAY</v>
          </cell>
          <cell r="B428">
            <v>3</v>
          </cell>
          <cell r="C428">
            <v>2043</v>
          </cell>
          <cell r="D428">
            <v>300</v>
          </cell>
          <cell r="E428">
            <v>1579</v>
          </cell>
          <cell r="F428">
            <v>66.462228437999997</v>
          </cell>
          <cell r="G428">
            <v>703.44850716999997</v>
          </cell>
          <cell r="H428">
            <v>17.511341832999999</v>
          </cell>
          <cell r="I428" t="str">
            <v>Light Vehicle Passenger</v>
          </cell>
          <cell r="J428" t="str">
            <v>2042/43</v>
          </cell>
        </row>
        <row r="429">
          <cell r="A429" t="str">
            <v>06 HAWKE`S BAY</v>
          </cell>
          <cell r="B429">
            <v>4</v>
          </cell>
          <cell r="C429">
            <v>2013</v>
          </cell>
          <cell r="D429">
            <v>4</v>
          </cell>
          <cell r="E429">
            <v>8</v>
          </cell>
          <cell r="F429">
            <v>0.32519619989999998</v>
          </cell>
          <cell r="G429">
            <v>1.7589425135000001</v>
          </cell>
          <cell r="H429">
            <v>4.5837477299999999E-2</v>
          </cell>
          <cell r="J429" t="str">
            <v>2012/13</v>
          </cell>
        </row>
        <row r="430">
          <cell r="A430" t="str">
            <v>06 HAWKE`S BAY</v>
          </cell>
          <cell r="B430">
            <v>4</v>
          </cell>
          <cell r="C430">
            <v>2018</v>
          </cell>
          <cell r="D430">
            <v>4</v>
          </cell>
          <cell r="E430">
            <v>8</v>
          </cell>
          <cell r="F430">
            <v>0.33399104629999998</v>
          </cell>
          <cell r="G430">
            <v>1.7235216927000001</v>
          </cell>
          <cell r="H430">
            <v>4.7593421400000002E-2</v>
          </cell>
          <cell r="J430" t="str">
            <v>2017/18</v>
          </cell>
        </row>
        <row r="431">
          <cell r="A431" t="str">
            <v>06 HAWKE`S BAY</v>
          </cell>
          <cell r="B431">
            <v>4</v>
          </cell>
          <cell r="C431">
            <v>2023</v>
          </cell>
          <cell r="D431">
            <v>4</v>
          </cell>
          <cell r="E431">
            <v>8</v>
          </cell>
          <cell r="F431">
            <v>0.34837124250000001</v>
          </cell>
          <cell r="G431">
            <v>1.7173274164000001</v>
          </cell>
          <cell r="H431">
            <v>4.98300822E-2</v>
          </cell>
          <cell r="J431" t="str">
            <v>2022/23</v>
          </cell>
        </row>
        <row r="432">
          <cell r="A432" t="str">
            <v>06 HAWKE`S BAY</v>
          </cell>
          <cell r="B432">
            <v>4</v>
          </cell>
          <cell r="C432">
            <v>2028</v>
          </cell>
          <cell r="D432">
            <v>4</v>
          </cell>
          <cell r="E432">
            <v>8</v>
          </cell>
          <cell r="F432">
            <v>0.36531258039999998</v>
          </cell>
          <cell r="G432">
            <v>1.7400284588999999</v>
          </cell>
          <cell r="H432">
            <v>5.2624842999999998E-2</v>
          </cell>
          <cell r="J432" t="str">
            <v>2027/28</v>
          </cell>
        </row>
        <row r="433">
          <cell r="A433" t="str">
            <v>06 HAWKE`S BAY</v>
          </cell>
          <cell r="B433">
            <v>4</v>
          </cell>
          <cell r="C433">
            <v>2033</v>
          </cell>
          <cell r="D433">
            <v>4</v>
          </cell>
          <cell r="E433">
            <v>8</v>
          </cell>
          <cell r="F433">
            <v>0.38370008</v>
          </cell>
          <cell r="G433">
            <v>1.7771933863</v>
          </cell>
          <cell r="H433">
            <v>5.6304227700000001E-2</v>
          </cell>
          <cell r="J433" t="str">
            <v>2032/33</v>
          </cell>
        </row>
        <row r="434">
          <cell r="A434" t="str">
            <v>06 HAWKE`S BAY</v>
          </cell>
          <cell r="B434">
            <v>4</v>
          </cell>
          <cell r="C434">
            <v>2038</v>
          </cell>
          <cell r="D434">
            <v>4</v>
          </cell>
          <cell r="E434">
            <v>8</v>
          </cell>
          <cell r="F434">
            <v>0.37932368379999998</v>
          </cell>
          <cell r="G434">
            <v>1.7378360394000001</v>
          </cell>
          <cell r="H434">
            <v>5.6771962600000003E-2</v>
          </cell>
          <cell r="J434" t="str">
            <v>2037/38</v>
          </cell>
        </row>
        <row r="435">
          <cell r="A435" t="str">
            <v>06 HAWKE`S BAY</v>
          </cell>
          <cell r="B435">
            <v>4</v>
          </cell>
          <cell r="C435">
            <v>2043</v>
          </cell>
          <cell r="D435">
            <v>4</v>
          </cell>
          <cell r="E435">
            <v>8</v>
          </cell>
          <cell r="F435">
            <v>0.36581711420000002</v>
          </cell>
          <cell r="G435">
            <v>1.6757688264999999</v>
          </cell>
          <cell r="H435">
            <v>5.5454368900000002E-2</v>
          </cell>
          <cell r="J435" t="str">
            <v>2042/43</v>
          </cell>
        </row>
        <row r="436">
          <cell r="A436" t="str">
            <v>06 HAWKE`S BAY</v>
          </cell>
          <cell r="B436">
            <v>5</v>
          </cell>
          <cell r="C436">
            <v>2013</v>
          </cell>
          <cell r="D436">
            <v>6</v>
          </cell>
          <cell r="E436">
            <v>19</v>
          </cell>
          <cell r="F436">
            <v>0.65061969099999994</v>
          </cell>
          <cell r="G436">
            <v>3.0321841239</v>
          </cell>
          <cell r="H436">
            <v>0.11763194120000001</v>
          </cell>
          <cell r="I436" t="str">
            <v>Motorcyclist</v>
          </cell>
          <cell r="J436" t="str">
            <v>2012/13</v>
          </cell>
        </row>
        <row r="437">
          <cell r="A437" t="str">
            <v>06 HAWKE`S BAY</v>
          </cell>
          <cell r="B437">
            <v>5</v>
          </cell>
          <cell r="C437">
            <v>2018</v>
          </cell>
          <cell r="D437">
            <v>6</v>
          </cell>
          <cell r="E437">
            <v>19</v>
          </cell>
          <cell r="F437">
            <v>0.62945791120000005</v>
          </cell>
          <cell r="G437">
            <v>3.1875832787</v>
          </cell>
          <cell r="H437">
            <v>0.1151544387</v>
          </cell>
          <cell r="I437" t="str">
            <v>Motorcyclist</v>
          </cell>
          <cell r="J437" t="str">
            <v>2017/18</v>
          </cell>
        </row>
        <row r="438">
          <cell r="A438" t="str">
            <v>06 HAWKE`S BAY</v>
          </cell>
          <cell r="B438">
            <v>5</v>
          </cell>
          <cell r="C438">
            <v>2023</v>
          </cell>
          <cell r="D438">
            <v>6</v>
          </cell>
          <cell r="E438">
            <v>19</v>
          </cell>
          <cell r="F438">
            <v>0.60035954199999997</v>
          </cell>
          <cell r="G438">
            <v>3.2548629714000001</v>
          </cell>
          <cell r="H438">
            <v>0.112491759</v>
          </cell>
          <cell r="I438" t="str">
            <v>Motorcyclist</v>
          </cell>
          <cell r="J438" t="str">
            <v>2022/23</v>
          </cell>
        </row>
        <row r="439">
          <cell r="A439" t="str">
            <v>06 HAWKE`S BAY</v>
          </cell>
          <cell r="B439">
            <v>5</v>
          </cell>
          <cell r="C439">
            <v>2028</v>
          </cell>
          <cell r="D439">
            <v>6</v>
          </cell>
          <cell r="E439">
            <v>19</v>
          </cell>
          <cell r="F439">
            <v>0.58796567929999999</v>
          </cell>
          <cell r="G439">
            <v>3.1261074221</v>
          </cell>
          <cell r="H439">
            <v>0.11052228879999999</v>
          </cell>
          <cell r="I439" t="str">
            <v>Motorcyclist</v>
          </cell>
          <cell r="J439" t="str">
            <v>2027/28</v>
          </cell>
        </row>
        <row r="440">
          <cell r="A440" t="str">
            <v>06 HAWKE`S BAY</v>
          </cell>
          <cell r="B440">
            <v>5</v>
          </cell>
          <cell r="C440">
            <v>2033</v>
          </cell>
          <cell r="D440">
            <v>6</v>
          </cell>
          <cell r="E440">
            <v>19</v>
          </cell>
          <cell r="F440">
            <v>0.56101445630000002</v>
          </cell>
          <cell r="G440">
            <v>2.9348747708</v>
          </cell>
          <cell r="H440">
            <v>0.10380815810000001</v>
          </cell>
          <cell r="I440" t="str">
            <v>Motorcyclist</v>
          </cell>
          <cell r="J440" t="str">
            <v>2032/33</v>
          </cell>
        </row>
        <row r="441">
          <cell r="A441" t="str">
            <v>06 HAWKE`S BAY</v>
          </cell>
          <cell r="B441">
            <v>5</v>
          </cell>
          <cell r="C441">
            <v>2038</v>
          </cell>
          <cell r="D441">
            <v>6</v>
          </cell>
          <cell r="E441">
            <v>19</v>
          </cell>
          <cell r="F441">
            <v>0.52737262060000001</v>
          </cell>
          <cell r="G441">
            <v>2.8298672750999998</v>
          </cell>
          <cell r="H441">
            <v>9.9600595799999997E-2</v>
          </cell>
          <cell r="I441" t="str">
            <v>Motorcyclist</v>
          </cell>
          <cell r="J441" t="str">
            <v>2037/38</v>
          </cell>
        </row>
        <row r="442">
          <cell r="A442" t="str">
            <v>06 HAWKE`S BAY</v>
          </cell>
          <cell r="B442">
            <v>5</v>
          </cell>
          <cell r="C442">
            <v>2043</v>
          </cell>
          <cell r="D442">
            <v>6</v>
          </cell>
          <cell r="E442">
            <v>19</v>
          </cell>
          <cell r="F442">
            <v>0.49089190160000001</v>
          </cell>
          <cell r="G442">
            <v>2.7254703494000001</v>
          </cell>
          <cell r="H442">
            <v>9.5062928199999994E-2</v>
          </cell>
          <cell r="I442" t="str">
            <v>Motorcyclist</v>
          </cell>
          <cell r="J442" t="str">
            <v>2042/43</v>
          </cell>
        </row>
        <row r="443">
          <cell r="A443" t="str">
            <v>06 HAWKE`S BAY</v>
          </cell>
          <cell r="B443">
            <v>7</v>
          </cell>
          <cell r="C443">
            <v>2013</v>
          </cell>
          <cell r="D443">
            <v>50</v>
          </cell>
          <cell r="E443">
            <v>142</v>
          </cell>
          <cell r="F443">
            <v>4.5218645043999999</v>
          </cell>
          <cell r="G443">
            <v>39.591997026999998</v>
          </cell>
          <cell r="H443">
            <v>1.3660147812000001</v>
          </cell>
          <cell r="I443" t="str">
            <v>Local Bus</v>
          </cell>
          <cell r="J443" t="str">
            <v>2012/13</v>
          </cell>
        </row>
        <row r="444">
          <cell r="A444" t="str">
            <v>06 HAWKE`S BAY</v>
          </cell>
          <cell r="B444">
            <v>7</v>
          </cell>
          <cell r="C444">
            <v>2018</v>
          </cell>
          <cell r="D444">
            <v>50</v>
          </cell>
          <cell r="E444">
            <v>142</v>
          </cell>
          <cell r="F444">
            <v>4.5846954776000004</v>
          </cell>
          <cell r="G444">
            <v>39.067154361999997</v>
          </cell>
          <cell r="H444">
            <v>1.3904703866000001</v>
          </cell>
          <cell r="I444" t="str">
            <v>Local Bus</v>
          </cell>
          <cell r="J444" t="str">
            <v>2017/18</v>
          </cell>
        </row>
        <row r="445">
          <cell r="A445" t="str">
            <v>06 HAWKE`S BAY</v>
          </cell>
          <cell r="B445">
            <v>7</v>
          </cell>
          <cell r="C445">
            <v>2023</v>
          </cell>
          <cell r="D445">
            <v>50</v>
          </cell>
          <cell r="E445">
            <v>142</v>
          </cell>
          <cell r="F445">
            <v>4.6584866930000004</v>
          </cell>
          <cell r="G445">
            <v>38.783810535000001</v>
          </cell>
          <cell r="H445">
            <v>1.4168894746</v>
          </cell>
          <cell r="I445" t="str">
            <v>Local Bus</v>
          </cell>
          <cell r="J445" t="str">
            <v>2022/23</v>
          </cell>
        </row>
        <row r="446">
          <cell r="A446" t="str">
            <v>06 HAWKE`S BAY</v>
          </cell>
          <cell r="B446">
            <v>7</v>
          </cell>
          <cell r="C446">
            <v>2028</v>
          </cell>
          <cell r="D446">
            <v>50</v>
          </cell>
          <cell r="E446">
            <v>142</v>
          </cell>
          <cell r="F446">
            <v>4.8022400016000004</v>
          </cell>
          <cell r="G446">
            <v>39.982796995999998</v>
          </cell>
          <cell r="H446">
            <v>1.4610293612</v>
          </cell>
          <cell r="I446" t="str">
            <v>Local Bus</v>
          </cell>
          <cell r="J446" t="str">
            <v>2027/28</v>
          </cell>
        </row>
        <row r="447">
          <cell r="A447" t="str">
            <v>06 HAWKE`S BAY</v>
          </cell>
          <cell r="B447">
            <v>7</v>
          </cell>
          <cell r="C447">
            <v>2033</v>
          </cell>
          <cell r="D447">
            <v>50</v>
          </cell>
          <cell r="E447">
            <v>142</v>
          </cell>
          <cell r="F447">
            <v>4.7936539044000002</v>
          </cell>
          <cell r="G447">
            <v>39.927268466999998</v>
          </cell>
          <cell r="H447">
            <v>1.4547817104</v>
          </cell>
          <cell r="I447" t="str">
            <v>Local Bus</v>
          </cell>
          <cell r="J447" t="str">
            <v>2032/33</v>
          </cell>
        </row>
        <row r="448">
          <cell r="A448" t="str">
            <v>06 HAWKE`S BAY</v>
          </cell>
          <cell r="B448">
            <v>7</v>
          </cell>
          <cell r="C448">
            <v>2038</v>
          </cell>
          <cell r="D448">
            <v>50</v>
          </cell>
          <cell r="E448">
            <v>142</v>
          </cell>
          <cell r="F448">
            <v>4.8586774482999999</v>
          </cell>
          <cell r="G448">
            <v>40.523380023999998</v>
          </cell>
          <cell r="H448">
            <v>1.4754749255999999</v>
          </cell>
          <cell r="I448" t="str">
            <v>Local Bus</v>
          </cell>
          <cell r="J448" t="str">
            <v>2037/38</v>
          </cell>
        </row>
        <row r="449">
          <cell r="A449" t="str">
            <v>06 HAWKE`S BAY</v>
          </cell>
          <cell r="B449">
            <v>7</v>
          </cell>
          <cell r="C449">
            <v>2043</v>
          </cell>
          <cell r="D449">
            <v>50</v>
          </cell>
          <cell r="E449">
            <v>142</v>
          </cell>
          <cell r="F449">
            <v>4.8936819215999998</v>
          </cell>
          <cell r="G449">
            <v>40.891760185999999</v>
          </cell>
          <cell r="H449">
            <v>1.4864887897000001</v>
          </cell>
          <cell r="I449" t="str">
            <v>Local Bus</v>
          </cell>
          <cell r="J449" t="str">
            <v>2042/43</v>
          </cell>
        </row>
        <row r="450">
          <cell r="A450" t="str">
            <v>06 HAWKE`S BAY</v>
          </cell>
          <cell r="B450">
            <v>9</v>
          </cell>
          <cell r="C450">
            <v>2013</v>
          </cell>
          <cell r="D450">
            <v>3</v>
          </cell>
          <cell r="E450">
            <v>10</v>
          </cell>
          <cell r="F450">
            <v>0.49138149730000003</v>
          </cell>
          <cell r="G450">
            <v>0</v>
          </cell>
          <cell r="H450">
            <v>0.15778150060000001</v>
          </cell>
          <cell r="I450" t="str">
            <v>Other Household Travel</v>
          </cell>
          <cell r="J450" t="str">
            <v>2012/13</v>
          </cell>
        </row>
        <row r="451">
          <cell r="A451" t="str">
            <v>06 HAWKE`S BAY</v>
          </cell>
          <cell r="B451">
            <v>9</v>
          </cell>
          <cell r="C451">
            <v>2018</v>
          </cell>
          <cell r="D451">
            <v>3</v>
          </cell>
          <cell r="E451">
            <v>10</v>
          </cell>
          <cell r="F451">
            <v>0.53393566260000003</v>
          </cell>
          <cell r="G451">
            <v>0</v>
          </cell>
          <cell r="H451">
            <v>0.1683227041</v>
          </cell>
          <cell r="I451" t="str">
            <v>Other Household Travel</v>
          </cell>
          <cell r="J451" t="str">
            <v>2017/18</v>
          </cell>
        </row>
        <row r="452">
          <cell r="A452" t="str">
            <v>06 HAWKE`S BAY</v>
          </cell>
          <cell r="B452">
            <v>9</v>
          </cell>
          <cell r="C452">
            <v>2023</v>
          </cell>
          <cell r="D452">
            <v>3</v>
          </cell>
          <cell r="E452">
            <v>10</v>
          </cell>
          <cell r="F452">
            <v>0.62216360439999996</v>
          </cell>
          <cell r="G452">
            <v>0</v>
          </cell>
          <cell r="H452">
            <v>0.19254345010000001</v>
          </cell>
          <cell r="I452" t="str">
            <v>Other Household Travel</v>
          </cell>
          <cell r="J452" t="str">
            <v>2022/23</v>
          </cell>
        </row>
        <row r="453">
          <cell r="A453" t="str">
            <v>06 HAWKE`S BAY</v>
          </cell>
          <cell r="B453">
            <v>9</v>
          </cell>
          <cell r="C453">
            <v>2028</v>
          </cell>
          <cell r="D453">
            <v>3</v>
          </cell>
          <cell r="E453">
            <v>10</v>
          </cell>
          <cell r="F453">
            <v>0.73655267290000004</v>
          </cell>
          <cell r="G453">
            <v>0</v>
          </cell>
          <cell r="H453">
            <v>0.2225215227</v>
          </cell>
          <cell r="I453" t="str">
            <v>Other Household Travel</v>
          </cell>
          <cell r="J453" t="str">
            <v>2027/28</v>
          </cell>
        </row>
        <row r="454">
          <cell r="A454" t="str">
            <v>06 HAWKE`S BAY</v>
          </cell>
          <cell r="B454">
            <v>9</v>
          </cell>
          <cell r="C454">
            <v>2033</v>
          </cell>
          <cell r="D454">
            <v>3</v>
          </cell>
          <cell r="E454">
            <v>10</v>
          </cell>
          <cell r="F454">
            <v>0.82932938270000001</v>
          </cell>
          <cell r="G454">
            <v>0</v>
          </cell>
          <cell r="H454">
            <v>0.24474123540000001</v>
          </cell>
          <cell r="I454" t="str">
            <v>Other Household Travel</v>
          </cell>
          <cell r="J454" t="str">
            <v>2032/33</v>
          </cell>
        </row>
        <row r="455">
          <cell r="A455" t="str">
            <v>06 HAWKE`S BAY</v>
          </cell>
          <cell r="B455">
            <v>9</v>
          </cell>
          <cell r="C455">
            <v>2038</v>
          </cell>
          <cell r="D455">
            <v>3</v>
          </cell>
          <cell r="E455">
            <v>10</v>
          </cell>
          <cell r="F455">
            <v>0.93760718279999999</v>
          </cell>
          <cell r="G455">
            <v>0</v>
          </cell>
          <cell r="H455">
            <v>0.27308603599999998</v>
          </cell>
          <cell r="I455" t="str">
            <v>Other Household Travel</v>
          </cell>
          <cell r="J455" t="str">
            <v>2037/38</v>
          </cell>
        </row>
        <row r="456">
          <cell r="A456" t="str">
            <v>06 HAWKE`S BAY</v>
          </cell>
          <cell r="B456">
            <v>9</v>
          </cell>
          <cell r="C456">
            <v>2043</v>
          </cell>
          <cell r="D456">
            <v>3</v>
          </cell>
          <cell r="E456">
            <v>10</v>
          </cell>
          <cell r="F456">
            <v>1.0489365655</v>
          </cell>
          <cell r="G456">
            <v>0</v>
          </cell>
          <cell r="H456">
            <v>0.3021730151</v>
          </cell>
          <cell r="I456" t="str">
            <v>Other Household Travel</v>
          </cell>
          <cell r="J456" t="str">
            <v>2042/43</v>
          </cell>
        </row>
        <row r="457">
          <cell r="A457" t="str">
            <v>06 HAWKE`S BAY</v>
          </cell>
          <cell r="B457">
            <v>10</v>
          </cell>
          <cell r="C457">
            <v>2013</v>
          </cell>
          <cell r="D457">
            <v>3</v>
          </cell>
          <cell r="E457">
            <v>5</v>
          </cell>
          <cell r="F457">
            <v>0.36260942909999999</v>
          </cell>
          <cell r="G457">
            <v>56.865163273</v>
          </cell>
          <cell r="H457">
            <v>0.96259589999999995</v>
          </cell>
          <cell r="I457" t="str">
            <v>Air/Non-Local PT</v>
          </cell>
          <cell r="J457" t="str">
            <v>2012/13</v>
          </cell>
        </row>
        <row r="458">
          <cell r="A458" t="str">
            <v>06 HAWKE`S BAY</v>
          </cell>
          <cell r="B458">
            <v>10</v>
          </cell>
          <cell r="C458">
            <v>2018</v>
          </cell>
          <cell r="D458">
            <v>3</v>
          </cell>
          <cell r="E458">
            <v>5</v>
          </cell>
          <cell r="F458">
            <v>0.41218094669999999</v>
          </cell>
          <cell r="G458">
            <v>64.457469644</v>
          </cell>
          <cell r="H458">
            <v>1.0922312090999999</v>
          </cell>
          <cell r="I458" t="str">
            <v>Air/Non-Local PT</v>
          </cell>
          <cell r="J458" t="str">
            <v>2017/18</v>
          </cell>
        </row>
        <row r="459">
          <cell r="A459" t="str">
            <v>06 HAWKE`S BAY</v>
          </cell>
          <cell r="B459">
            <v>10</v>
          </cell>
          <cell r="C459">
            <v>2023</v>
          </cell>
          <cell r="D459">
            <v>3</v>
          </cell>
          <cell r="E459">
            <v>5</v>
          </cell>
          <cell r="F459">
            <v>0.43578535029999999</v>
          </cell>
          <cell r="G459">
            <v>67.593396251000001</v>
          </cell>
          <cell r="H459">
            <v>1.1484401098999999</v>
          </cell>
          <cell r="I459" t="str">
            <v>Air/Non-Local PT</v>
          </cell>
          <cell r="J459" t="str">
            <v>2022/23</v>
          </cell>
        </row>
        <row r="460">
          <cell r="A460" t="str">
            <v>06 HAWKE`S BAY</v>
          </cell>
          <cell r="B460">
            <v>10</v>
          </cell>
          <cell r="C460">
            <v>2028</v>
          </cell>
          <cell r="D460">
            <v>3</v>
          </cell>
          <cell r="E460">
            <v>5</v>
          </cell>
          <cell r="F460">
            <v>0.43181254899999999</v>
          </cell>
          <cell r="G460">
            <v>66.915355112</v>
          </cell>
          <cell r="H460">
            <v>1.1363437809000001</v>
          </cell>
          <cell r="I460" t="str">
            <v>Air/Non-Local PT</v>
          </cell>
          <cell r="J460" t="str">
            <v>2027/28</v>
          </cell>
        </row>
        <row r="461">
          <cell r="A461" t="str">
            <v>06 HAWKE`S BAY</v>
          </cell>
          <cell r="B461">
            <v>10</v>
          </cell>
          <cell r="C461">
            <v>2033</v>
          </cell>
          <cell r="D461">
            <v>3</v>
          </cell>
          <cell r="E461">
            <v>5</v>
          </cell>
          <cell r="F461">
            <v>0.42481782350000002</v>
          </cell>
          <cell r="G461">
            <v>65.572289224000002</v>
          </cell>
          <cell r="H461">
            <v>1.1150444648</v>
          </cell>
          <cell r="I461" t="str">
            <v>Air/Non-Local PT</v>
          </cell>
          <cell r="J461" t="str">
            <v>2032/33</v>
          </cell>
        </row>
        <row r="462">
          <cell r="A462" t="str">
            <v>06 HAWKE`S BAY</v>
          </cell>
          <cell r="B462">
            <v>10</v>
          </cell>
          <cell r="C462">
            <v>2038</v>
          </cell>
          <cell r="D462">
            <v>3</v>
          </cell>
          <cell r="E462">
            <v>5</v>
          </cell>
          <cell r="F462">
            <v>0.42833646250000001</v>
          </cell>
          <cell r="G462">
            <v>67.784590874000003</v>
          </cell>
          <cell r="H462">
            <v>1.1412928702</v>
          </cell>
          <cell r="I462" t="str">
            <v>Air/Non-Local PT</v>
          </cell>
          <cell r="J462" t="str">
            <v>2037/38</v>
          </cell>
        </row>
        <row r="463">
          <cell r="A463" t="str">
            <v>06 HAWKE`S BAY</v>
          </cell>
          <cell r="B463">
            <v>10</v>
          </cell>
          <cell r="C463">
            <v>2043</v>
          </cell>
          <cell r="D463">
            <v>3</v>
          </cell>
          <cell r="E463">
            <v>5</v>
          </cell>
          <cell r="F463">
            <v>0.42767384349999998</v>
          </cell>
          <cell r="G463">
            <v>69.396277479000005</v>
          </cell>
          <cell r="H463">
            <v>1.1570071708</v>
          </cell>
          <cell r="I463" t="str">
            <v>Air/Non-Local PT</v>
          </cell>
          <cell r="J463" t="str">
            <v>2042/43</v>
          </cell>
        </row>
        <row r="464">
          <cell r="A464" t="str">
            <v>06 HAWKE`S BAY</v>
          </cell>
          <cell r="B464">
            <v>11</v>
          </cell>
          <cell r="C464">
            <v>2013</v>
          </cell>
          <cell r="D464">
            <v>8</v>
          </cell>
          <cell r="E464">
            <v>27</v>
          </cell>
          <cell r="F464">
            <v>0.84253347339999995</v>
          </cell>
          <cell r="G464">
            <v>31.621733808999998</v>
          </cell>
          <cell r="H464">
            <v>0.62196297879999995</v>
          </cell>
          <cell r="I464" t="str">
            <v>Non-Household Travel</v>
          </cell>
          <cell r="J464" t="str">
            <v>2012/13</v>
          </cell>
        </row>
        <row r="465">
          <cell r="A465" t="str">
            <v>06 HAWKE`S BAY</v>
          </cell>
          <cell r="B465">
            <v>11</v>
          </cell>
          <cell r="C465">
            <v>2018</v>
          </cell>
          <cell r="D465">
            <v>8</v>
          </cell>
          <cell r="E465">
            <v>27</v>
          </cell>
          <cell r="F465">
            <v>0.97637985770000002</v>
          </cell>
          <cell r="G465">
            <v>37.395680161999998</v>
          </cell>
          <cell r="H465">
            <v>0.73418431959999997</v>
          </cell>
          <cell r="I465" t="str">
            <v>Non-Household Travel</v>
          </cell>
          <cell r="J465" t="str">
            <v>2017/18</v>
          </cell>
        </row>
        <row r="466">
          <cell r="A466" t="str">
            <v>06 HAWKE`S BAY</v>
          </cell>
          <cell r="B466">
            <v>11</v>
          </cell>
          <cell r="C466">
            <v>2023</v>
          </cell>
          <cell r="D466">
            <v>8</v>
          </cell>
          <cell r="E466">
            <v>27</v>
          </cell>
          <cell r="F466">
            <v>1.0837026029000001</v>
          </cell>
          <cell r="G466">
            <v>40.777668796999997</v>
          </cell>
          <cell r="H466">
            <v>0.80873281200000002</v>
          </cell>
          <cell r="I466" t="str">
            <v>Non-Household Travel</v>
          </cell>
          <cell r="J466" t="str">
            <v>2022/23</v>
          </cell>
        </row>
        <row r="467">
          <cell r="A467" t="str">
            <v>06 HAWKE`S BAY</v>
          </cell>
          <cell r="B467">
            <v>11</v>
          </cell>
          <cell r="C467">
            <v>2028</v>
          </cell>
          <cell r="D467">
            <v>8</v>
          </cell>
          <cell r="E467">
            <v>27</v>
          </cell>
          <cell r="F467">
            <v>1.1781478119</v>
          </cell>
          <cell r="G467">
            <v>41.329586708999997</v>
          </cell>
          <cell r="H467">
            <v>0.84328033260000002</v>
          </cell>
          <cell r="I467" t="str">
            <v>Non-Household Travel</v>
          </cell>
          <cell r="J467" t="str">
            <v>2027/28</v>
          </cell>
        </row>
        <row r="468">
          <cell r="A468" t="str">
            <v>06 HAWKE`S BAY</v>
          </cell>
          <cell r="B468">
            <v>11</v>
          </cell>
          <cell r="C468">
            <v>2033</v>
          </cell>
          <cell r="D468">
            <v>8</v>
          </cell>
          <cell r="E468">
            <v>27</v>
          </cell>
          <cell r="F468">
            <v>1.2567958293999999</v>
          </cell>
          <cell r="G468">
            <v>42.300179186999998</v>
          </cell>
          <cell r="H468">
            <v>0.88103645109999995</v>
          </cell>
          <cell r="I468" t="str">
            <v>Non-Household Travel</v>
          </cell>
          <cell r="J468" t="str">
            <v>2032/33</v>
          </cell>
        </row>
        <row r="469">
          <cell r="A469" t="str">
            <v>06 HAWKE`S BAY</v>
          </cell>
          <cell r="B469">
            <v>11</v>
          </cell>
          <cell r="C469">
            <v>2038</v>
          </cell>
          <cell r="D469">
            <v>8</v>
          </cell>
          <cell r="E469">
            <v>27</v>
          </cell>
          <cell r="F469">
            <v>1.3507100337</v>
          </cell>
          <cell r="G469">
            <v>44.417315520000002</v>
          </cell>
          <cell r="H469">
            <v>0.93944021929999999</v>
          </cell>
          <cell r="I469" t="str">
            <v>Non-Household Travel</v>
          </cell>
          <cell r="J469" t="str">
            <v>2037/38</v>
          </cell>
        </row>
        <row r="470">
          <cell r="A470" t="str">
            <v>06 HAWKE`S BAY</v>
          </cell>
          <cell r="B470">
            <v>11</v>
          </cell>
          <cell r="C470">
            <v>2043</v>
          </cell>
          <cell r="D470">
            <v>8</v>
          </cell>
          <cell r="E470">
            <v>27</v>
          </cell>
          <cell r="F470">
            <v>1.4431240961</v>
          </cell>
          <cell r="G470">
            <v>46.544536250999997</v>
          </cell>
          <cell r="H470">
            <v>0.99821482530000005</v>
          </cell>
          <cell r="I470" t="str">
            <v>Non-Household Travel</v>
          </cell>
          <cell r="J470" t="str">
            <v>2042/43</v>
          </cell>
        </row>
        <row r="471">
          <cell r="A471" t="str">
            <v>07 TARANAKI</v>
          </cell>
          <cell r="B471">
            <v>0</v>
          </cell>
          <cell r="C471">
            <v>2013</v>
          </cell>
          <cell r="D471">
            <v>314</v>
          </cell>
          <cell r="E471">
            <v>1091</v>
          </cell>
          <cell r="F471">
            <v>23.308571313000002</v>
          </cell>
          <cell r="G471">
            <v>16.820589198</v>
          </cell>
          <cell r="H471">
            <v>4.7547330373000003</v>
          </cell>
          <cell r="I471" t="str">
            <v>Pedestrian</v>
          </cell>
          <cell r="J471" t="str">
            <v>2012/13</v>
          </cell>
        </row>
        <row r="472">
          <cell r="A472" t="str">
            <v>07 TARANAKI</v>
          </cell>
          <cell r="B472">
            <v>0</v>
          </cell>
          <cell r="C472">
            <v>2018</v>
          </cell>
          <cell r="D472">
            <v>314</v>
          </cell>
          <cell r="E472">
            <v>1091</v>
          </cell>
          <cell r="F472">
            <v>24.784559384000001</v>
          </cell>
          <cell r="G472">
            <v>17.989530228</v>
          </cell>
          <cell r="H472">
            <v>4.9240409299000003</v>
          </cell>
          <cell r="I472" t="str">
            <v>Pedestrian</v>
          </cell>
          <cell r="J472" t="str">
            <v>2017/18</v>
          </cell>
        </row>
        <row r="473">
          <cell r="A473" t="str">
            <v>07 TARANAKI</v>
          </cell>
          <cell r="B473">
            <v>0</v>
          </cell>
          <cell r="C473">
            <v>2023</v>
          </cell>
          <cell r="D473">
            <v>314</v>
          </cell>
          <cell r="E473">
            <v>1091</v>
          </cell>
          <cell r="F473">
            <v>25.633265255000001</v>
          </cell>
          <cell r="G473">
            <v>18.667505445</v>
          </cell>
          <cell r="H473">
            <v>4.9887910597999996</v>
          </cell>
          <cell r="I473" t="str">
            <v>Pedestrian</v>
          </cell>
          <cell r="J473" t="str">
            <v>2022/23</v>
          </cell>
        </row>
        <row r="474">
          <cell r="A474" t="str">
            <v>07 TARANAKI</v>
          </cell>
          <cell r="B474">
            <v>0</v>
          </cell>
          <cell r="C474">
            <v>2028</v>
          </cell>
          <cell r="D474">
            <v>314</v>
          </cell>
          <cell r="E474">
            <v>1091</v>
          </cell>
          <cell r="F474">
            <v>26.097367374000001</v>
          </cell>
          <cell r="G474">
            <v>19.145151000999999</v>
          </cell>
          <cell r="H474">
            <v>5.0138769118999997</v>
          </cell>
          <cell r="I474" t="str">
            <v>Pedestrian</v>
          </cell>
          <cell r="J474" t="str">
            <v>2027/28</v>
          </cell>
        </row>
        <row r="475">
          <cell r="A475" t="str">
            <v>07 TARANAKI</v>
          </cell>
          <cell r="B475">
            <v>0</v>
          </cell>
          <cell r="C475">
            <v>2033</v>
          </cell>
          <cell r="D475">
            <v>314</v>
          </cell>
          <cell r="E475">
            <v>1091</v>
          </cell>
          <cell r="F475">
            <v>26.315828605</v>
          </cell>
          <cell r="G475">
            <v>19.415343363000002</v>
          </cell>
          <cell r="H475">
            <v>5.0120357493999999</v>
          </cell>
          <cell r="I475" t="str">
            <v>Pedestrian</v>
          </cell>
          <cell r="J475" t="str">
            <v>2032/33</v>
          </cell>
        </row>
        <row r="476">
          <cell r="A476" t="str">
            <v>07 TARANAKI</v>
          </cell>
          <cell r="B476">
            <v>0</v>
          </cell>
          <cell r="C476">
            <v>2038</v>
          </cell>
          <cell r="D476">
            <v>314</v>
          </cell>
          <cell r="E476">
            <v>1091</v>
          </cell>
          <cell r="F476">
            <v>26.390149621999999</v>
          </cell>
          <cell r="G476">
            <v>19.642559527</v>
          </cell>
          <cell r="H476">
            <v>5.0011872242999997</v>
          </cell>
          <cell r="I476" t="str">
            <v>Pedestrian</v>
          </cell>
          <cell r="J476" t="str">
            <v>2037/38</v>
          </cell>
        </row>
        <row r="477">
          <cell r="A477" t="str">
            <v>07 TARANAKI</v>
          </cell>
          <cell r="B477">
            <v>0</v>
          </cell>
          <cell r="C477">
            <v>2043</v>
          </cell>
          <cell r="D477">
            <v>314</v>
          </cell>
          <cell r="E477">
            <v>1091</v>
          </cell>
          <cell r="F477">
            <v>26.393977189000001</v>
          </cell>
          <cell r="G477">
            <v>19.837306814000002</v>
          </cell>
          <cell r="H477">
            <v>4.9820732127999996</v>
          </cell>
          <cell r="I477" t="str">
            <v>Pedestrian</v>
          </cell>
          <cell r="J477" t="str">
            <v>2042/43</v>
          </cell>
        </row>
        <row r="478">
          <cell r="A478" t="str">
            <v>07 TARANAKI</v>
          </cell>
          <cell r="B478">
            <v>1</v>
          </cell>
          <cell r="C478">
            <v>2013</v>
          </cell>
          <cell r="D478">
            <v>45</v>
          </cell>
          <cell r="E478">
            <v>133</v>
          </cell>
          <cell r="F478">
            <v>2.1611397319000001</v>
          </cell>
          <cell r="G478">
            <v>5.5737915155</v>
          </cell>
          <cell r="H478">
            <v>0.51341482110000003</v>
          </cell>
          <cell r="I478" t="str">
            <v>Cyclist</v>
          </cell>
          <cell r="J478" t="str">
            <v>2012/13</v>
          </cell>
        </row>
        <row r="479">
          <cell r="A479" t="str">
            <v>07 TARANAKI</v>
          </cell>
          <cell r="B479">
            <v>1</v>
          </cell>
          <cell r="C479">
            <v>2018</v>
          </cell>
          <cell r="D479">
            <v>45</v>
          </cell>
          <cell r="E479">
            <v>133</v>
          </cell>
          <cell r="F479">
            <v>2.2177321568999999</v>
          </cell>
          <cell r="G479">
            <v>5.8278757674000001</v>
          </cell>
          <cell r="H479">
            <v>0.54255206919999999</v>
          </cell>
          <cell r="I479" t="str">
            <v>Cyclist</v>
          </cell>
          <cell r="J479" t="str">
            <v>2017/18</v>
          </cell>
        </row>
        <row r="480">
          <cell r="A480" t="str">
            <v>07 TARANAKI</v>
          </cell>
          <cell r="B480">
            <v>1</v>
          </cell>
          <cell r="C480">
            <v>2023</v>
          </cell>
          <cell r="D480">
            <v>45</v>
          </cell>
          <cell r="E480">
            <v>133</v>
          </cell>
          <cell r="F480">
            <v>2.2566620090999998</v>
          </cell>
          <cell r="G480">
            <v>5.9734360370999999</v>
          </cell>
          <cell r="H480">
            <v>0.5612669334</v>
          </cell>
          <cell r="I480" t="str">
            <v>Cyclist</v>
          </cell>
          <cell r="J480" t="str">
            <v>2022/23</v>
          </cell>
        </row>
        <row r="481">
          <cell r="A481" t="str">
            <v>07 TARANAKI</v>
          </cell>
          <cell r="B481">
            <v>1</v>
          </cell>
          <cell r="C481">
            <v>2028</v>
          </cell>
          <cell r="D481">
            <v>45</v>
          </cell>
          <cell r="E481">
            <v>133</v>
          </cell>
          <cell r="F481">
            <v>2.2404857704999999</v>
          </cell>
          <cell r="G481">
            <v>5.8476829164000002</v>
          </cell>
          <cell r="H481">
            <v>0.55522768300000003</v>
          </cell>
          <cell r="I481" t="str">
            <v>Cyclist</v>
          </cell>
          <cell r="J481" t="str">
            <v>2027/28</v>
          </cell>
        </row>
        <row r="482">
          <cell r="A482" t="str">
            <v>07 TARANAKI</v>
          </cell>
          <cell r="B482">
            <v>1</v>
          </cell>
          <cell r="C482">
            <v>2033</v>
          </cell>
          <cell r="D482">
            <v>45</v>
          </cell>
          <cell r="E482">
            <v>133</v>
          </cell>
          <cell r="F482">
            <v>2.2301019987999999</v>
          </cell>
          <cell r="G482">
            <v>5.8855402990999997</v>
          </cell>
          <cell r="H482">
            <v>0.56242724690000001</v>
          </cell>
          <cell r="I482" t="str">
            <v>Cyclist</v>
          </cell>
          <cell r="J482" t="str">
            <v>2032/33</v>
          </cell>
        </row>
        <row r="483">
          <cell r="A483" t="str">
            <v>07 TARANAKI</v>
          </cell>
          <cell r="B483">
            <v>1</v>
          </cell>
          <cell r="C483">
            <v>2038</v>
          </cell>
          <cell r="D483">
            <v>45</v>
          </cell>
          <cell r="E483">
            <v>133</v>
          </cell>
          <cell r="F483">
            <v>2.1872703161999998</v>
          </cell>
          <cell r="G483">
            <v>6.0333285656999998</v>
          </cell>
          <cell r="H483">
            <v>0.57527845200000005</v>
          </cell>
          <cell r="I483" t="str">
            <v>Cyclist</v>
          </cell>
          <cell r="J483" t="str">
            <v>2037/38</v>
          </cell>
        </row>
        <row r="484">
          <cell r="A484" t="str">
            <v>07 TARANAKI</v>
          </cell>
          <cell r="B484">
            <v>1</v>
          </cell>
          <cell r="C484">
            <v>2043</v>
          </cell>
          <cell r="D484">
            <v>45</v>
          </cell>
          <cell r="E484">
            <v>133</v>
          </cell>
          <cell r="F484">
            <v>2.1480162570000001</v>
          </cell>
          <cell r="G484">
            <v>6.2130300219999999</v>
          </cell>
          <cell r="H484">
            <v>0.59059266180000003</v>
          </cell>
          <cell r="I484" t="str">
            <v>Cyclist</v>
          </cell>
          <cell r="J484" t="str">
            <v>2042/43</v>
          </cell>
        </row>
        <row r="485">
          <cell r="A485" t="str">
            <v>07 TARANAKI</v>
          </cell>
          <cell r="B485">
            <v>2</v>
          </cell>
          <cell r="C485">
            <v>2013</v>
          </cell>
          <cell r="D485">
            <v>575</v>
          </cell>
          <cell r="E485">
            <v>4143</v>
          </cell>
          <cell r="F485">
            <v>90.801950900999998</v>
          </cell>
          <cell r="G485">
            <v>933.36875414999997</v>
          </cell>
          <cell r="H485">
            <v>21.205429401</v>
          </cell>
          <cell r="I485" t="str">
            <v>Light Vehicle Driver</v>
          </cell>
          <cell r="J485" t="str">
            <v>2012/13</v>
          </cell>
        </row>
        <row r="486">
          <cell r="A486" t="str">
            <v>07 TARANAKI</v>
          </cell>
          <cell r="B486">
            <v>2</v>
          </cell>
          <cell r="C486">
            <v>2018</v>
          </cell>
          <cell r="D486">
            <v>575</v>
          </cell>
          <cell r="E486">
            <v>4143</v>
          </cell>
          <cell r="F486">
            <v>98.829148058000001</v>
          </cell>
          <cell r="G486">
            <v>1030.4070336</v>
          </cell>
          <cell r="H486">
            <v>23.281397449</v>
          </cell>
          <cell r="I486" t="str">
            <v>Light Vehicle Driver</v>
          </cell>
          <cell r="J486" t="str">
            <v>2017/18</v>
          </cell>
        </row>
        <row r="487">
          <cell r="A487" t="str">
            <v>07 TARANAKI</v>
          </cell>
          <cell r="B487">
            <v>2</v>
          </cell>
          <cell r="C487">
            <v>2023</v>
          </cell>
          <cell r="D487">
            <v>575</v>
          </cell>
          <cell r="E487">
            <v>4143</v>
          </cell>
          <cell r="F487">
            <v>104.55723299</v>
          </cell>
          <cell r="G487">
            <v>1096.7968025</v>
          </cell>
          <cell r="H487">
            <v>24.726116946000001</v>
          </cell>
          <cell r="I487" t="str">
            <v>Light Vehicle Driver</v>
          </cell>
          <cell r="J487" t="str">
            <v>2022/23</v>
          </cell>
        </row>
        <row r="488">
          <cell r="A488" t="str">
            <v>07 TARANAKI</v>
          </cell>
          <cell r="B488">
            <v>2</v>
          </cell>
          <cell r="C488">
            <v>2028</v>
          </cell>
          <cell r="D488">
            <v>575</v>
          </cell>
          <cell r="E488">
            <v>4143</v>
          </cell>
          <cell r="F488">
            <v>109.73771908000001</v>
          </cell>
          <cell r="G488">
            <v>1146.8859440000001</v>
          </cell>
          <cell r="H488">
            <v>25.934060488</v>
          </cell>
          <cell r="I488" t="str">
            <v>Light Vehicle Driver</v>
          </cell>
          <cell r="J488" t="str">
            <v>2027/28</v>
          </cell>
        </row>
        <row r="489">
          <cell r="A489" t="str">
            <v>07 TARANAKI</v>
          </cell>
          <cell r="B489">
            <v>2</v>
          </cell>
          <cell r="C489">
            <v>2033</v>
          </cell>
          <cell r="D489">
            <v>575</v>
          </cell>
          <cell r="E489">
            <v>4143</v>
          </cell>
          <cell r="F489">
            <v>112.61483174999999</v>
          </cell>
          <cell r="G489">
            <v>1173.6042184</v>
          </cell>
          <cell r="H489">
            <v>26.621935246</v>
          </cell>
          <cell r="I489" t="str">
            <v>Light Vehicle Driver</v>
          </cell>
          <cell r="J489" t="str">
            <v>2032/33</v>
          </cell>
        </row>
        <row r="490">
          <cell r="A490" t="str">
            <v>07 TARANAKI</v>
          </cell>
          <cell r="B490">
            <v>2</v>
          </cell>
          <cell r="C490">
            <v>2038</v>
          </cell>
          <cell r="D490">
            <v>575</v>
          </cell>
          <cell r="E490">
            <v>4143</v>
          </cell>
          <cell r="F490">
            <v>114.85457198</v>
          </cell>
          <cell r="G490">
            <v>1206.7224369999999</v>
          </cell>
          <cell r="H490">
            <v>27.314699483999998</v>
          </cell>
          <cell r="I490" t="str">
            <v>Light Vehicle Driver</v>
          </cell>
          <cell r="J490" t="str">
            <v>2037/38</v>
          </cell>
        </row>
        <row r="491">
          <cell r="A491" t="str">
            <v>07 TARANAKI</v>
          </cell>
          <cell r="B491">
            <v>2</v>
          </cell>
          <cell r="C491">
            <v>2043</v>
          </cell>
          <cell r="D491">
            <v>575</v>
          </cell>
          <cell r="E491">
            <v>4143</v>
          </cell>
          <cell r="F491">
            <v>116.39216145</v>
          </cell>
          <cell r="G491">
            <v>1233.6395829000001</v>
          </cell>
          <cell r="H491">
            <v>27.856270714000001</v>
          </cell>
          <cell r="I491" t="str">
            <v>Light Vehicle Driver</v>
          </cell>
          <cell r="J491" t="str">
            <v>2042/43</v>
          </cell>
        </row>
        <row r="492">
          <cell r="A492" t="str">
            <v>07 TARANAKI</v>
          </cell>
          <cell r="B492">
            <v>3</v>
          </cell>
          <cell r="C492">
            <v>2013</v>
          </cell>
          <cell r="D492">
            <v>446</v>
          </cell>
          <cell r="E492">
            <v>2212</v>
          </cell>
          <cell r="F492">
            <v>45.48406773</v>
          </cell>
          <cell r="G492">
            <v>656.25872372000003</v>
          </cell>
          <cell r="H492">
            <v>13.125178352000001</v>
          </cell>
          <cell r="I492" t="str">
            <v>Light Vehicle Passenger</v>
          </cell>
          <cell r="J492" t="str">
            <v>2012/13</v>
          </cell>
        </row>
        <row r="493">
          <cell r="A493" t="str">
            <v>07 TARANAKI</v>
          </cell>
          <cell r="B493">
            <v>3</v>
          </cell>
          <cell r="C493">
            <v>2018</v>
          </cell>
          <cell r="D493">
            <v>446</v>
          </cell>
          <cell r="E493">
            <v>2212</v>
          </cell>
          <cell r="F493">
            <v>46.789602082999998</v>
          </cell>
          <cell r="G493">
            <v>671.37100128999998</v>
          </cell>
          <cell r="H493">
            <v>13.447135551000001</v>
          </cell>
          <cell r="I493" t="str">
            <v>Light Vehicle Passenger</v>
          </cell>
          <cell r="J493" t="str">
            <v>2017/18</v>
          </cell>
        </row>
        <row r="494">
          <cell r="A494" t="str">
            <v>07 TARANAKI</v>
          </cell>
          <cell r="B494">
            <v>3</v>
          </cell>
          <cell r="C494">
            <v>2023</v>
          </cell>
          <cell r="D494">
            <v>446</v>
          </cell>
          <cell r="E494">
            <v>2212</v>
          </cell>
          <cell r="F494">
            <v>47.736279781</v>
          </cell>
          <cell r="G494">
            <v>680.81954009000003</v>
          </cell>
          <cell r="H494">
            <v>13.669036218</v>
          </cell>
          <cell r="I494" t="str">
            <v>Light Vehicle Passenger</v>
          </cell>
          <cell r="J494" t="str">
            <v>2022/23</v>
          </cell>
        </row>
        <row r="495">
          <cell r="A495" t="str">
            <v>07 TARANAKI</v>
          </cell>
          <cell r="B495">
            <v>3</v>
          </cell>
          <cell r="C495">
            <v>2028</v>
          </cell>
          <cell r="D495">
            <v>446</v>
          </cell>
          <cell r="E495">
            <v>2212</v>
          </cell>
          <cell r="F495">
            <v>48.644344506000003</v>
          </cell>
          <cell r="G495">
            <v>694.11377503000006</v>
          </cell>
          <cell r="H495">
            <v>13.960941639</v>
          </cell>
          <cell r="I495" t="str">
            <v>Light Vehicle Passenger</v>
          </cell>
          <cell r="J495" t="str">
            <v>2027/28</v>
          </cell>
        </row>
        <row r="496">
          <cell r="A496" t="str">
            <v>07 TARANAKI</v>
          </cell>
          <cell r="B496">
            <v>3</v>
          </cell>
          <cell r="C496">
            <v>2033</v>
          </cell>
          <cell r="D496">
            <v>446</v>
          </cell>
          <cell r="E496">
            <v>2212</v>
          </cell>
          <cell r="F496">
            <v>49.470646782000003</v>
          </cell>
          <cell r="G496">
            <v>707.75371662999999</v>
          </cell>
          <cell r="H496">
            <v>14.237306134000001</v>
          </cell>
          <cell r="I496" t="str">
            <v>Light Vehicle Passenger</v>
          </cell>
          <cell r="J496" t="str">
            <v>2032/33</v>
          </cell>
        </row>
        <row r="497">
          <cell r="A497" t="str">
            <v>07 TARANAKI</v>
          </cell>
          <cell r="B497">
            <v>3</v>
          </cell>
          <cell r="C497">
            <v>2038</v>
          </cell>
          <cell r="D497">
            <v>446</v>
          </cell>
          <cell r="E497">
            <v>2212</v>
          </cell>
          <cell r="F497">
            <v>49.910576480000003</v>
          </cell>
          <cell r="G497">
            <v>711.29695937999998</v>
          </cell>
          <cell r="H497">
            <v>14.337920617</v>
          </cell>
          <cell r="I497" t="str">
            <v>Light Vehicle Passenger</v>
          </cell>
          <cell r="J497" t="str">
            <v>2037/38</v>
          </cell>
        </row>
        <row r="498">
          <cell r="A498" t="str">
            <v>07 TARANAKI</v>
          </cell>
          <cell r="B498">
            <v>3</v>
          </cell>
          <cell r="C498">
            <v>2043</v>
          </cell>
          <cell r="D498">
            <v>446</v>
          </cell>
          <cell r="E498">
            <v>2212</v>
          </cell>
          <cell r="F498">
            <v>50.024051577999998</v>
          </cell>
          <cell r="G498">
            <v>710.24495374000003</v>
          </cell>
          <cell r="H498">
            <v>14.345690527</v>
          </cell>
          <cell r="I498" t="str">
            <v>Light Vehicle Passenger</v>
          </cell>
          <cell r="J498" t="str">
            <v>2042/43</v>
          </cell>
        </row>
        <row r="499">
          <cell r="A499" t="str">
            <v>07 TARANAKI</v>
          </cell>
          <cell r="B499">
            <v>4</v>
          </cell>
          <cell r="C499">
            <v>2013</v>
          </cell>
          <cell r="D499">
            <v>10</v>
          </cell>
          <cell r="E499">
            <v>18</v>
          </cell>
          <cell r="F499">
            <v>0.56194422089999996</v>
          </cell>
          <cell r="G499">
            <v>1.1335038904000001</v>
          </cell>
          <cell r="H499">
            <v>0.10005985589999999</v>
          </cell>
          <cell r="J499" t="str">
            <v>2012/13</v>
          </cell>
        </row>
        <row r="500">
          <cell r="A500" t="str">
            <v>07 TARANAKI</v>
          </cell>
          <cell r="B500">
            <v>4</v>
          </cell>
          <cell r="C500">
            <v>2018</v>
          </cell>
          <cell r="D500">
            <v>10</v>
          </cell>
          <cell r="E500">
            <v>18</v>
          </cell>
          <cell r="F500">
            <v>0.70425760110000002</v>
          </cell>
          <cell r="G500">
            <v>1.4207678231</v>
          </cell>
          <cell r="H500">
            <v>0.12599228160000001</v>
          </cell>
          <cell r="J500" t="str">
            <v>2017/18</v>
          </cell>
        </row>
        <row r="501">
          <cell r="A501" t="str">
            <v>07 TARANAKI</v>
          </cell>
          <cell r="B501">
            <v>4</v>
          </cell>
          <cell r="C501">
            <v>2023</v>
          </cell>
          <cell r="D501">
            <v>10</v>
          </cell>
          <cell r="E501">
            <v>18</v>
          </cell>
          <cell r="F501">
            <v>0.76416933480000004</v>
          </cell>
          <cell r="G501">
            <v>1.5558763804</v>
          </cell>
          <cell r="H501">
            <v>0.13717954590000001</v>
          </cell>
          <cell r="J501" t="str">
            <v>2022/23</v>
          </cell>
        </row>
        <row r="502">
          <cell r="A502" t="str">
            <v>07 TARANAKI</v>
          </cell>
          <cell r="B502">
            <v>4</v>
          </cell>
          <cell r="C502">
            <v>2028</v>
          </cell>
          <cell r="D502">
            <v>10</v>
          </cell>
          <cell r="E502">
            <v>18</v>
          </cell>
          <cell r="F502">
            <v>0.82882397009999997</v>
          </cell>
          <cell r="G502">
            <v>1.7045988148</v>
          </cell>
          <cell r="H502">
            <v>0.14945236610000001</v>
          </cell>
          <cell r="J502" t="str">
            <v>2027/28</v>
          </cell>
        </row>
        <row r="503">
          <cell r="A503" t="str">
            <v>07 TARANAKI</v>
          </cell>
          <cell r="B503">
            <v>4</v>
          </cell>
          <cell r="C503">
            <v>2033</v>
          </cell>
          <cell r="D503">
            <v>10</v>
          </cell>
          <cell r="E503">
            <v>18</v>
          </cell>
          <cell r="F503">
            <v>0.84637644479999996</v>
          </cell>
          <cell r="G503">
            <v>1.7592393729</v>
          </cell>
          <cell r="H503">
            <v>0.15388158669999999</v>
          </cell>
          <cell r="J503" t="str">
            <v>2032/33</v>
          </cell>
        </row>
        <row r="504">
          <cell r="A504" t="str">
            <v>07 TARANAKI</v>
          </cell>
          <cell r="B504">
            <v>4</v>
          </cell>
          <cell r="C504">
            <v>2038</v>
          </cell>
          <cell r="D504">
            <v>10</v>
          </cell>
          <cell r="E504">
            <v>18</v>
          </cell>
          <cell r="F504">
            <v>0.84661859809999995</v>
          </cell>
          <cell r="G504">
            <v>1.7847134055</v>
          </cell>
          <cell r="H504">
            <v>0.15421472250000001</v>
          </cell>
          <cell r="J504" t="str">
            <v>2037/38</v>
          </cell>
        </row>
        <row r="505">
          <cell r="A505" t="str">
            <v>07 TARANAKI</v>
          </cell>
          <cell r="B505">
            <v>4</v>
          </cell>
          <cell r="C505">
            <v>2043</v>
          </cell>
          <cell r="D505">
            <v>10</v>
          </cell>
          <cell r="E505">
            <v>18</v>
          </cell>
          <cell r="F505">
            <v>0.84012390069999998</v>
          </cell>
          <cell r="G505">
            <v>1.7974090323</v>
          </cell>
          <cell r="H505">
            <v>0.1533378906</v>
          </cell>
          <cell r="J505" t="str">
            <v>2042/43</v>
          </cell>
        </row>
        <row r="506">
          <cell r="A506" t="str">
            <v>07 TARANAKI</v>
          </cell>
          <cell r="B506">
            <v>5</v>
          </cell>
          <cell r="C506">
            <v>2013</v>
          </cell>
          <cell r="D506">
            <v>14</v>
          </cell>
          <cell r="E506">
            <v>51</v>
          </cell>
          <cell r="F506">
            <v>1.091812341</v>
          </cell>
          <cell r="G506">
            <v>7.0100687938000004</v>
          </cell>
          <cell r="H506">
            <v>0.25001806910000002</v>
          </cell>
          <cell r="I506" t="str">
            <v>Motorcyclist</v>
          </cell>
          <cell r="J506" t="str">
            <v>2012/13</v>
          </cell>
        </row>
        <row r="507">
          <cell r="A507" t="str">
            <v>07 TARANAKI</v>
          </cell>
          <cell r="B507">
            <v>5</v>
          </cell>
          <cell r="C507">
            <v>2018</v>
          </cell>
          <cell r="D507">
            <v>14</v>
          </cell>
          <cell r="E507">
            <v>51</v>
          </cell>
          <cell r="F507">
            <v>1.1649192491</v>
          </cell>
          <cell r="G507">
            <v>7.4807696833000001</v>
          </cell>
          <cell r="H507">
            <v>0.26559049680000002</v>
          </cell>
          <cell r="I507" t="str">
            <v>Motorcyclist</v>
          </cell>
          <cell r="J507" t="str">
            <v>2017/18</v>
          </cell>
        </row>
        <row r="508">
          <cell r="A508" t="str">
            <v>07 TARANAKI</v>
          </cell>
          <cell r="B508">
            <v>5</v>
          </cell>
          <cell r="C508">
            <v>2023</v>
          </cell>
          <cell r="D508">
            <v>14</v>
          </cell>
          <cell r="E508">
            <v>51</v>
          </cell>
          <cell r="F508">
            <v>1.1704893181</v>
          </cell>
          <cell r="G508">
            <v>7.6268182706000003</v>
          </cell>
          <cell r="H508">
            <v>0.27133442209999997</v>
          </cell>
          <cell r="I508" t="str">
            <v>Motorcyclist</v>
          </cell>
          <cell r="J508" t="str">
            <v>2022/23</v>
          </cell>
        </row>
        <row r="509">
          <cell r="A509" t="str">
            <v>07 TARANAKI</v>
          </cell>
          <cell r="B509">
            <v>5</v>
          </cell>
          <cell r="C509">
            <v>2028</v>
          </cell>
          <cell r="D509">
            <v>14</v>
          </cell>
          <cell r="E509">
            <v>51</v>
          </cell>
          <cell r="F509">
            <v>1.1127779010000001</v>
          </cell>
          <cell r="G509">
            <v>7.6921804641999998</v>
          </cell>
          <cell r="H509">
            <v>0.27123147819999999</v>
          </cell>
          <cell r="I509" t="str">
            <v>Motorcyclist</v>
          </cell>
          <cell r="J509" t="str">
            <v>2027/28</v>
          </cell>
        </row>
        <row r="510">
          <cell r="A510" t="str">
            <v>07 TARANAKI</v>
          </cell>
          <cell r="B510">
            <v>5</v>
          </cell>
          <cell r="C510">
            <v>2033</v>
          </cell>
          <cell r="D510">
            <v>14</v>
          </cell>
          <cell r="E510">
            <v>51</v>
          </cell>
          <cell r="F510">
            <v>1.0614523755</v>
          </cell>
          <cell r="G510">
            <v>7.4629217925000004</v>
          </cell>
          <cell r="H510">
            <v>0.26637803729999998</v>
          </cell>
          <cell r="I510" t="str">
            <v>Motorcyclist</v>
          </cell>
          <cell r="J510" t="str">
            <v>2032/33</v>
          </cell>
        </row>
        <row r="511">
          <cell r="A511" t="str">
            <v>07 TARANAKI</v>
          </cell>
          <cell r="B511">
            <v>5</v>
          </cell>
          <cell r="C511">
            <v>2038</v>
          </cell>
          <cell r="D511">
            <v>14</v>
          </cell>
          <cell r="E511">
            <v>51</v>
          </cell>
          <cell r="F511">
            <v>1.0454770438000001</v>
          </cell>
          <cell r="G511">
            <v>7.1663810935000001</v>
          </cell>
          <cell r="H511">
            <v>0.26206302879999999</v>
          </cell>
          <cell r="I511" t="str">
            <v>Motorcyclist</v>
          </cell>
          <cell r="J511" t="str">
            <v>2037/38</v>
          </cell>
        </row>
        <row r="512">
          <cell r="A512" t="str">
            <v>07 TARANAKI</v>
          </cell>
          <cell r="B512">
            <v>5</v>
          </cell>
          <cell r="C512">
            <v>2043</v>
          </cell>
          <cell r="D512">
            <v>14</v>
          </cell>
          <cell r="E512">
            <v>51</v>
          </cell>
          <cell r="F512">
            <v>1.0220426956999999</v>
          </cell>
          <cell r="G512">
            <v>6.8511943505000001</v>
          </cell>
          <cell r="H512">
            <v>0.2572607354</v>
          </cell>
          <cell r="I512" t="str">
            <v>Motorcyclist</v>
          </cell>
          <cell r="J512" t="str">
            <v>2042/43</v>
          </cell>
        </row>
        <row r="513">
          <cell r="A513" t="str">
            <v>07 TARANAKI</v>
          </cell>
          <cell r="B513">
            <v>6</v>
          </cell>
          <cell r="C513">
            <v>2013</v>
          </cell>
          <cell r="D513">
            <v>1</v>
          </cell>
          <cell r="E513">
            <v>2</v>
          </cell>
          <cell r="F513">
            <v>5.3266318100000001E-2</v>
          </cell>
          <cell r="G513">
            <v>0.36455468079999997</v>
          </cell>
          <cell r="H513">
            <v>8.8777196999999999E-3</v>
          </cell>
          <cell r="I513" t="str">
            <v>Local Train</v>
          </cell>
          <cell r="J513" t="str">
            <v>2012/13</v>
          </cell>
        </row>
        <row r="514">
          <cell r="A514" t="str">
            <v>07 TARANAKI</v>
          </cell>
          <cell r="B514">
            <v>6</v>
          </cell>
          <cell r="C514">
            <v>2018</v>
          </cell>
          <cell r="D514">
            <v>1</v>
          </cell>
          <cell r="E514">
            <v>2</v>
          </cell>
          <cell r="F514">
            <v>5.2612521799999999E-2</v>
          </cell>
          <cell r="G514">
            <v>0.3600800992</v>
          </cell>
          <cell r="H514">
            <v>8.7687536E-3</v>
          </cell>
          <cell r="I514" t="str">
            <v>Local Train</v>
          </cell>
          <cell r="J514" t="str">
            <v>2017/18</v>
          </cell>
        </row>
        <row r="515">
          <cell r="A515" t="str">
            <v>07 TARANAKI</v>
          </cell>
          <cell r="B515">
            <v>6</v>
          </cell>
          <cell r="C515">
            <v>2023</v>
          </cell>
          <cell r="D515">
            <v>1</v>
          </cell>
          <cell r="E515">
            <v>2</v>
          </cell>
          <cell r="F515">
            <v>4.9369590400000003E-2</v>
          </cell>
          <cell r="G515">
            <v>0.33788547660000001</v>
          </cell>
          <cell r="H515">
            <v>8.2282650999999998E-3</v>
          </cell>
          <cell r="I515" t="str">
            <v>Local Train</v>
          </cell>
          <cell r="J515" t="str">
            <v>2022/23</v>
          </cell>
        </row>
        <row r="516">
          <cell r="A516" t="str">
            <v>07 TARANAKI</v>
          </cell>
          <cell r="B516">
            <v>6</v>
          </cell>
          <cell r="C516">
            <v>2028</v>
          </cell>
          <cell r="D516">
            <v>1</v>
          </cell>
          <cell r="E516">
            <v>2</v>
          </cell>
          <cell r="F516">
            <v>4.9791018499999999E-2</v>
          </cell>
          <cell r="G516">
            <v>0.34076973049999998</v>
          </cell>
          <cell r="H516">
            <v>8.2985031000000001E-3</v>
          </cell>
          <cell r="I516" t="str">
            <v>Local Train</v>
          </cell>
          <cell r="J516" t="str">
            <v>2027/28</v>
          </cell>
        </row>
        <row r="517">
          <cell r="A517" t="str">
            <v>07 TARANAKI</v>
          </cell>
          <cell r="B517">
            <v>6</v>
          </cell>
          <cell r="C517">
            <v>2033</v>
          </cell>
          <cell r="D517">
            <v>1</v>
          </cell>
          <cell r="E517">
            <v>2</v>
          </cell>
          <cell r="F517">
            <v>5.6227820599999999E-2</v>
          </cell>
          <cell r="G517">
            <v>0.38482320399999997</v>
          </cell>
          <cell r="H517">
            <v>9.3713033999999994E-3</v>
          </cell>
          <cell r="I517" t="str">
            <v>Local Train</v>
          </cell>
          <cell r="J517" t="str">
            <v>2032/33</v>
          </cell>
        </row>
        <row r="518">
          <cell r="A518" t="str">
            <v>07 TARANAKI</v>
          </cell>
          <cell r="B518">
            <v>6</v>
          </cell>
          <cell r="C518">
            <v>2038</v>
          </cell>
          <cell r="D518">
            <v>1</v>
          </cell>
          <cell r="E518">
            <v>2</v>
          </cell>
          <cell r="F518">
            <v>6.7456151800000003E-2</v>
          </cell>
          <cell r="G518">
            <v>0.46166990299999999</v>
          </cell>
          <cell r="H518">
            <v>1.1242692E-2</v>
          </cell>
          <cell r="I518" t="str">
            <v>Local Train</v>
          </cell>
          <cell r="J518" t="str">
            <v>2037/38</v>
          </cell>
        </row>
        <row r="519">
          <cell r="A519" t="str">
            <v>07 TARANAKI</v>
          </cell>
          <cell r="B519">
            <v>6</v>
          </cell>
          <cell r="C519">
            <v>2043</v>
          </cell>
          <cell r="D519">
            <v>1</v>
          </cell>
          <cell r="E519">
            <v>2</v>
          </cell>
          <cell r="F519">
            <v>7.8870074999999998E-2</v>
          </cell>
          <cell r="G519">
            <v>0.53978679330000001</v>
          </cell>
          <cell r="H519">
            <v>1.3145012500000001E-2</v>
          </cell>
          <cell r="I519" t="str">
            <v>Local Train</v>
          </cell>
          <cell r="J519" t="str">
            <v>2042/43</v>
          </cell>
        </row>
        <row r="520">
          <cell r="A520" t="str">
            <v>07 TARANAKI</v>
          </cell>
          <cell r="B520">
            <v>7</v>
          </cell>
          <cell r="C520">
            <v>2013</v>
          </cell>
          <cell r="D520">
            <v>22</v>
          </cell>
          <cell r="E520">
            <v>54</v>
          </cell>
          <cell r="F520">
            <v>1.2787514622</v>
          </cell>
          <cell r="G520">
            <v>14.084735078</v>
          </cell>
          <cell r="H520">
            <v>0.4632962336</v>
          </cell>
          <cell r="I520" t="str">
            <v>Local Bus</v>
          </cell>
          <cell r="J520" t="str">
            <v>2012/13</v>
          </cell>
        </row>
        <row r="521">
          <cell r="A521" t="str">
            <v>07 TARANAKI</v>
          </cell>
          <cell r="B521">
            <v>7</v>
          </cell>
          <cell r="C521">
            <v>2018</v>
          </cell>
          <cell r="D521">
            <v>22</v>
          </cell>
          <cell r="E521">
            <v>54</v>
          </cell>
          <cell r="F521">
            <v>1.3400964418000001</v>
          </cell>
          <cell r="G521">
            <v>15.572626061999999</v>
          </cell>
          <cell r="H521">
            <v>0.48418283130000001</v>
          </cell>
          <cell r="I521" t="str">
            <v>Local Bus</v>
          </cell>
          <cell r="J521" t="str">
            <v>2017/18</v>
          </cell>
        </row>
        <row r="522">
          <cell r="A522" t="str">
            <v>07 TARANAKI</v>
          </cell>
          <cell r="B522">
            <v>7</v>
          </cell>
          <cell r="C522">
            <v>2023</v>
          </cell>
          <cell r="D522">
            <v>22</v>
          </cell>
          <cell r="E522">
            <v>54</v>
          </cell>
          <cell r="F522">
            <v>1.3867494829</v>
          </cell>
          <cell r="G522">
            <v>16.507949225000001</v>
          </cell>
          <cell r="H522">
            <v>0.4981098015</v>
          </cell>
          <cell r="I522" t="str">
            <v>Local Bus</v>
          </cell>
          <cell r="J522" t="str">
            <v>2022/23</v>
          </cell>
        </row>
        <row r="523">
          <cell r="A523" t="str">
            <v>07 TARANAKI</v>
          </cell>
          <cell r="B523">
            <v>7</v>
          </cell>
          <cell r="C523">
            <v>2028</v>
          </cell>
          <cell r="D523">
            <v>22</v>
          </cell>
          <cell r="E523">
            <v>54</v>
          </cell>
          <cell r="F523">
            <v>1.3918253411999999</v>
          </cell>
          <cell r="G523">
            <v>16.684962707</v>
          </cell>
          <cell r="H523">
            <v>0.49856022459999999</v>
          </cell>
          <cell r="I523" t="str">
            <v>Local Bus</v>
          </cell>
          <cell r="J523" t="str">
            <v>2027/28</v>
          </cell>
        </row>
        <row r="524">
          <cell r="A524" t="str">
            <v>07 TARANAKI</v>
          </cell>
          <cell r="B524">
            <v>7</v>
          </cell>
          <cell r="C524">
            <v>2033</v>
          </cell>
          <cell r="D524">
            <v>22</v>
          </cell>
          <cell r="E524">
            <v>54</v>
          </cell>
          <cell r="F524">
            <v>1.3744191311</v>
          </cell>
          <cell r="G524">
            <v>16.600354116999998</v>
          </cell>
          <cell r="H524">
            <v>0.49225892469999999</v>
          </cell>
          <cell r="I524" t="str">
            <v>Local Bus</v>
          </cell>
          <cell r="J524" t="str">
            <v>2032/33</v>
          </cell>
        </row>
        <row r="525">
          <cell r="A525" t="str">
            <v>07 TARANAKI</v>
          </cell>
          <cell r="B525">
            <v>7</v>
          </cell>
          <cell r="C525">
            <v>2038</v>
          </cell>
          <cell r="D525">
            <v>22</v>
          </cell>
          <cell r="E525">
            <v>54</v>
          </cell>
          <cell r="F525">
            <v>1.4049559479</v>
          </cell>
          <cell r="G525">
            <v>17.625484579999998</v>
          </cell>
          <cell r="H525">
            <v>0.50752752769999998</v>
          </cell>
          <cell r="I525" t="str">
            <v>Local Bus</v>
          </cell>
          <cell r="J525" t="str">
            <v>2037/38</v>
          </cell>
        </row>
        <row r="526">
          <cell r="A526" t="str">
            <v>07 TARANAKI</v>
          </cell>
          <cell r="B526">
            <v>7</v>
          </cell>
          <cell r="C526">
            <v>2043</v>
          </cell>
          <cell r="D526">
            <v>22</v>
          </cell>
          <cell r="E526">
            <v>54</v>
          </cell>
          <cell r="F526">
            <v>1.4307181484</v>
          </cell>
          <cell r="G526">
            <v>18.629388036999998</v>
          </cell>
          <cell r="H526">
            <v>0.52129328939999997</v>
          </cell>
          <cell r="I526" t="str">
            <v>Local Bus</v>
          </cell>
          <cell r="J526" t="str">
            <v>2042/43</v>
          </cell>
        </row>
        <row r="527">
          <cell r="A527" t="str">
            <v>07 TARANAKI</v>
          </cell>
          <cell r="B527">
            <v>9</v>
          </cell>
          <cell r="C527">
            <v>2013</v>
          </cell>
          <cell r="D527">
            <v>4</v>
          </cell>
          <cell r="E527">
            <v>11</v>
          </cell>
          <cell r="F527">
            <v>0.17475937220000001</v>
          </cell>
          <cell r="G527">
            <v>0</v>
          </cell>
          <cell r="H527">
            <v>5.6354069499999999E-2</v>
          </cell>
          <cell r="I527" t="str">
            <v>Other Household Travel</v>
          </cell>
          <cell r="J527" t="str">
            <v>2012/13</v>
          </cell>
        </row>
        <row r="528">
          <cell r="A528" t="str">
            <v>07 TARANAKI</v>
          </cell>
          <cell r="B528">
            <v>9</v>
          </cell>
          <cell r="C528">
            <v>2018</v>
          </cell>
          <cell r="D528">
            <v>4</v>
          </cell>
          <cell r="E528">
            <v>11</v>
          </cell>
          <cell r="F528">
            <v>0.18768948460000001</v>
          </cell>
          <cell r="G528">
            <v>0</v>
          </cell>
          <cell r="H528">
            <v>6.0078277800000003E-2</v>
          </cell>
          <cell r="I528" t="str">
            <v>Other Household Travel</v>
          </cell>
          <cell r="J528" t="str">
            <v>2017/18</v>
          </cell>
        </row>
        <row r="529">
          <cell r="A529" t="str">
            <v>07 TARANAKI</v>
          </cell>
          <cell r="B529">
            <v>9</v>
          </cell>
          <cell r="C529">
            <v>2023</v>
          </cell>
          <cell r="D529">
            <v>4</v>
          </cell>
          <cell r="E529">
            <v>11</v>
          </cell>
          <cell r="F529">
            <v>0.19767539840000001</v>
          </cell>
          <cell r="G529">
            <v>0</v>
          </cell>
          <cell r="H529">
            <v>6.3362251499999994E-2</v>
          </cell>
          <cell r="I529" t="str">
            <v>Other Household Travel</v>
          </cell>
          <cell r="J529" t="str">
            <v>2022/23</v>
          </cell>
        </row>
        <row r="530">
          <cell r="A530" t="str">
            <v>07 TARANAKI</v>
          </cell>
          <cell r="B530">
            <v>9</v>
          </cell>
          <cell r="C530">
            <v>2028</v>
          </cell>
          <cell r="D530">
            <v>4</v>
          </cell>
          <cell r="E530">
            <v>11</v>
          </cell>
          <cell r="F530">
            <v>0.20647612400000001</v>
          </cell>
          <cell r="G530">
            <v>0</v>
          </cell>
          <cell r="H530">
            <v>7.0292968299999994E-2</v>
          </cell>
          <cell r="I530" t="str">
            <v>Other Household Travel</v>
          </cell>
          <cell r="J530" t="str">
            <v>2027/28</v>
          </cell>
        </row>
        <row r="531">
          <cell r="A531" t="str">
            <v>07 TARANAKI</v>
          </cell>
          <cell r="B531">
            <v>9</v>
          </cell>
          <cell r="C531">
            <v>2033</v>
          </cell>
          <cell r="D531">
            <v>4</v>
          </cell>
          <cell r="E531">
            <v>11</v>
          </cell>
          <cell r="F531">
            <v>0.2271659358</v>
          </cell>
          <cell r="G531">
            <v>0</v>
          </cell>
          <cell r="H531">
            <v>8.2816069300000003E-2</v>
          </cell>
          <cell r="I531" t="str">
            <v>Other Household Travel</v>
          </cell>
          <cell r="J531" t="str">
            <v>2032/33</v>
          </cell>
        </row>
        <row r="532">
          <cell r="A532" t="str">
            <v>07 TARANAKI</v>
          </cell>
          <cell r="B532">
            <v>9</v>
          </cell>
          <cell r="C532">
            <v>2038</v>
          </cell>
          <cell r="D532">
            <v>4</v>
          </cell>
          <cell r="E532">
            <v>11</v>
          </cell>
          <cell r="F532">
            <v>0.24124982950000001</v>
          </cell>
          <cell r="G532">
            <v>0</v>
          </cell>
          <cell r="H532">
            <v>9.1173000099999998E-2</v>
          </cell>
          <cell r="I532" t="str">
            <v>Other Household Travel</v>
          </cell>
          <cell r="J532" t="str">
            <v>2037/38</v>
          </cell>
        </row>
        <row r="533">
          <cell r="A533" t="str">
            <v>07 TARANAKI</v>
          </cell>
          <cell r="B533">
            <v>9</v>
          </cell>
          <cell r="C533">
            <v>2043</v>
          </cell>
          <cell r="D533">
            <v>4</v>
          </cell>
          <cell r="E533">
            <v>11</v>
          </cell>
          <cell r="F533">
            <v>0.24826847990000001</v>
          </cell>
          <cell r="G533">
            <v>0</v>
          </cell>
          <cell r="H533">
            <v>9.5659178499999997E-2</v>
          </cell>
          <cell r="I533" t="str">
            <v>Other Household Travel</v>
          </cell>
          <cell r="J533" t="str">
            <v>2042/43</v>
          </cell>
        </row>
        <row r="534">
          <cell r="A534" t="str">
            <v>07 TARANAKI</v>
          </cell>
          <cell r="B534">
            <v>10</v>
          </cell>
          <cell r="C534">
            <v>2013</v>
          </cell>
          <cell r="D534">
            <v>7</v>
          </cell>
          <cell r="E534">
            <v>9</v>
          </cell>
          <cell r="F534">
            <v>0.31946750800000001</v>
          </cell>
          <cell r="G534">
            <v>11.123016451</v>
          </cell>
          <cell r="H534">
            <v>0.97687121219999995</v>
          </cell>
          <cell r="I534" t="str">
            <v>Air/Non-Local PT</v>
          </cell>
          <cell r="J534" t="str">
            <v>2012/13</v>
          </cell>
        </row>
        <row r="535">
          <cell r="A535" t="str">
            <v>07 TARANAKI</v>
          </cell>
          <cell r="B535">
            <v>10</v>
          </cell>
          <cell r="C535">
            <v>2018</v>
          </cell>
          <cell r="D535">
            <v>7</v>
          </cell>
          <cell r="E535">
            <v>9</v>
          </cell>
          <cell r="F535">
            <v>0.28338111840000002</v>
          </cell>
          <cell r="G535">
            <v>12.170993531000001</v>
          </cell>
          <cell r="H535">
            <v>0.86906801440000003</v>
          </cell>
          <cell r="I535" t="str">
            <v>Air/Non-Local PT</v>
          </cell>
          <cell r="J535" t="str">
            <v>2017/18</v>
          </cell>
        </row>
        <row r="536">
          <cell r="A536" t="str">
            <v>07 TARANAKI</v>
          </cell>
          <cell r="B536">
            <v>10</v>
          </cell>
          <cell r="C536">
            <v>2023</v>
          </cell>
          <cell r="D536">
            <v>7</v>
          </cell>
          <cell r="E536">
            <v>9</v>
          </cell>
          <cell r="F536">
            <v>0.26520832119999999</v>
          </cell>
          <cell r="G536">
            <v>14.416035902000001</v>
          </cell>
          <cell r="H536">
            <v>0.82019585920000004</v>
          </cell>
          <cell r="I536" t="str">
            <v>Air/Non-Local PT</v>
          </cell>
          <cell r="J536" t="str">
            <v>2022/23</v>
          </cell>
        </row>
        <row r="537">
          <cell r="A537" t="str">
            <v>07 TARANAKI</v>
          </cell>
          <cell r="B537">
            <v>10</v>
          </cell>
          <cell r="C537">
            <v>2028</v>
          </cell>
          <cell r="D537">
            <v>7</v>
          </cell>
          <cell r="E537">
            <v>9</v>
          </cell>
          <cell r="F537">
            <v>0.26565989569999998</v>
          </cell>
          <cell r="G537">
            <v>17.554227151999999</v>
          </cell>
          <cell r="H537">
            <v>0.82977491439999995</v>
          </cell>
          <cell r="I537" t="str">
            <v>Air/Non-Local PT</v>
          </cell>
          <cell r="J537" t="str">
            <v>2027/28</v>
          </cell>
        </row>
        <row r="538">
          <cell r="A538" t="str">
            <v>07 TARANAKI</v>
          </cell>
          <cell r="B538">
            <v>10</v>
          </cell>
          <cell r="C538">
            <v>2033</v>
          </cell>
          <cell r="D538">
            <v>7</v>
          </cell>
          <cell r="E538">
            <v>9</v>
          </cell>
          <cell r="F538">
            <v>0.26929494669999998</v>
          </cell>
          <cell r="G538">
            <v>20.027282416999999</v>
          </cell>
          <cell r="H538">
            <v>0.83900811050000002</v>
          </cell>
          <cell r="I538" t="str">
            <v>Air/Non-Local PT</v>
          </cell>
          <cell r="J538" t="str">
            <v>2032/33</v>
          </cell>
        </row>
        <row r="539">
          <cell r="A539" t="str">
            <v>07 TARANAKI</v>
          </cell>
          <cell r="B539">
            <v>10</v>
          </cell>
          <cell r="C539">
            <v>2038</v>
          </cell>
          <cell r="D539">
            <v>7</v>
          </cell>
          <cell r="E539">
            <v>9</v>
          </cell>
          <cell r="F539">
            <v>0.27338680780000002</v>
          </cell>
          <cell r="G539">
            <v>22.745818786000001</v>
          </cell>
          <cell r="H539">
            <v>0.84323710460000001</v>
          </cell>
          <cell r="I539" t="str">
            <v>Air/Non-Local PT</v>
          </cell>
          <cell r="J539" t="str">
            <v>2037/38</v>
          </cell>
        </row>
        <row r="540">
          <cell r="A540" t="str">
            <v>07 TARANAKI</v>
          </cell>
          <cell r="B540">
            <v>10</v>
          </cell>
          <cell r="C540">
            <v>2043</v>
          </cell>
          <cell r="D540">
            <v>7</v>
          </cell>
          <cell r="E540">
            <v>9</v>
          </cell>
          <cell r="F540">
            <v>0.27434432240000001</v>
          </cell>
          <cell r="G540">
            <v>25.373302433999999</v>
          </cell>
          <cell r="H540">
            <v>0.83934105820000005</v>
          </cell>
          <cell r="I540" t="str">
            <v>Air/Non-Local PT</v>
          </cell>
          <cell r="J540" t="str">
            <v>2042/43</v>
          </cell>
        </row>
        <row r="541">
          <cell r="A541" t="str">
            <v>07 TARANAKI</v>
          </cell>
          <cell r="B541">
            <v>11</v>
          </cell>
          <cell r="C541">
            <v>2013</v>
          </cell>
          <cell r="D541">
            <v>28</v>
          </cell>
          <cell r="E541">
            <v>118</v>
          </cell>
          <cell r="F541">
            <v>3.0516698092999999</v>
          </cell>
          <cell r="G541">
            <v>51.301529111999997</v>
          </cell>
          <cell r="H541">
            <v>1.1153896443</v>
          </cell>
          <cell r="I541" t="str">
            <v>Non-Household Travel</v>
          </cell>
          <cell r="J541" t="str">
            <v>2012/13</v>
          </cell>
        </row>
        <row r="542">
          <cell r="A542" t="str">
            <v>07 TARANAKI</v>
          </cell>
          <cell r="B542">
            <v>11</v>
          </cell>
          <cell r="C542">
            <v>2018</v>
          </cell>
          <cell r="D542">
            <v>28</v>
          </cell>
          <cell r="E542">
            <v>118</v>
          </cell>
          <cell r="F542">
            <v>3.4559365399000002</v>
          </cell>
          <cell r="G542">
            <v>57.562658221</v>
          </cell>
          <cell r="H542">
            <v>1.2745156098999999</v>
          </cell>
          <cell r="I542" t="str">
            <v>Non-Household Travel</v>
          </cell>
          <cell r="J542" t="str">
            <v>2017/18</v>
          </cell>
        </row>
        <row r="543">
          <cell r="A543" t="str">
            <v>07 TARANAKI</v>
          </cell>
          <cell r="B543">
            <v>11</v>
          </cell>
          <cell r="C543">
            <v>2023</v>
          </cell>
          <cell r="D543">
            <v>28</v>
          </cell>
          <cell r="E543">
            <v>118</v>
          </cell>
          <cell r="F543">
            <v>3.7738785840000002</v>
          </cell>
          <cell r="G543">
            <v>62.016907021999998</v>
          </cell>
          <cell r="H543">
            <v>1.3966196653</v>
          </cell>
          <cell r="I543" t="str">
            <v>Non-Household Travel</v>
          </cell>
          <cell r="J543" t="str">
            <v>2022/23</v>
          </cell>
        </row>
        <row r="544">
          <cell r="A544" t="str">
            <v>07 TARANAKI</v>
          </cell>
          <cell r="B544">
            <v>11</v>
          </cell>
          <cell r="C544">
            <v>2028</v>
          </cell>
          <cell r="D544">
            <v>28</v>
          </cell>
          <cell r="E544">
            <v>118</v>
          </cell>
          <cell r="F544">
            <v>4.0027459057000003</v>
          </cell>
          <cell r="G544">
            <v>63.930157483000002</v>
          </cell>
          <cell r="H544">
            <v>1.4687199469000001</v>
          </cell>
          <cell r="I544" t="str">
            <v>Non-Household Travel</v>
          </cell>
          <cell r="J544" t="str">
            <v>2027/28</v>
          </cell>
        </row>
        <row r="545">
          <cell r="A545" t="str">
            <v>07 TARANAKI</v>
          </cell>
          <cell r="B545">
            <v>11</v>
          </cell>
          <cell r="C545">
            <v>2033</v>
          </cell>
          <cell r="D545">
            <v>28</v>
          </cell>
          <cell r="E545">
            <v>118</v>
          </cell>
          <cell r="F545">
            <v>4.1522334661000002</v>
          </cell>
          <cell r="G545">
            <v>64.845388287999995</v>
          </cell>
          <cell r="H545">
            <v>1.5037652992999999</v>
          </cell>
          <cell r="I545" t="str">
            <v>Non-Household Travel</v>
          </cell>
          <cell r="J545" t="str">
            <v>2032/33</v>
          </cell>
        </row>
        <row r="546">
          <cell r="A546" t="str">
            <v>07 TARANAKI</v>
          </cell>
          <cell r="B546">
            <v>11</v>
          </cell>
          <cell r="C546">
            <v>2038</v>
          </cell>
          <cell r="D546">
            <v>28</v>
          </cell>
          <cell r="E546">
            <v>118</v>
          </cell>
          <cell r="F546">
            <v>4.2604315131000003</v>
          </cell>
          <cell r="G546">
            <v>65.246468590000006</v>
          </cell>
          <cell r="H546">
            <v>1.5145743147999999</v>
          </cell>
          <cell r="I546" t="str">
            <v>Non-Household Travel</v>
          </cell>
          <cell r="J546" t="str">
            <v>2037/38</v>
          </cell>
        </row>
        <row r="547">
          <cell r="A547" t="str">
            <v>07 TARANAKI</v>
          </cell>
          <cell r="B547">
            <v>11</v>
          </cell>
          <cell r="C547">
            <v>2043</v>
          </cell>
          <cell r="D547">
            <v>28</v>
          </cell>
          <cell r="E547">
            <v>118</v>
          </cell>
          <cell r="F547">
            <v>4.3559730637999996</v>
          </cell>
          <cell r="G547">
            <v>65.380802020999994</v>
          </cell>
          <cell r="H547">
            <v>1.5186849748</v>
          </cell>
          <cell r="I547" t="str">
            <v>Non-Household Travel</v>
          </cell>
          <cell r="J547" t="str">
            <v>2042/43</v>
          </cell>
        </row>
        <row r="548">
          <cell r="A548" t="str">
            <v>08 MANAWATU-WANGANUI</v>
          </cell>
          <cell r="B548">
            <v>0</v>
          </cell>
          <cell r="C548">
            <v>2013</v>
          </cell>
          <cell r="D548">
            <v>214</v>
          </cell>
          <cell r="E548">
            <v>797</v>
          </cell>
          <cell r="F548">
            <v>39.544031846000003</v>
          </cell>
          <cell r="G548">
            <v>32.265609755</v>
          </cell>
          <cell r="H548">
            <v>8.3408449691000008</v>
          </cell>
          <cell r="I548" t="str">
            <v>Pedestrian</v>
          </cell>
          <cell r="J548" t="str">
            <v>2012/13</v>
          </cell>
        </row>
        <row r="549">
          <cell r="A549" t="str">
            <v>08 MANAWATU-WANGANUI</v>
          </cell>
          <cell r="B549">
            <v>0</v>
          </cell>
          <cell r="C549">
            <v>2018</v>
          </cell>
          <cell r="D549">
            <v>214</v>
          </cell>
          <cell r="E549">
            <v>797</v>
          </cell>
          <cell r="F549">
            <v>38.987712449999997</v>
          </cell>
          <cell r="G549">
            <v>32.472223206999999</v>
          </cell>
          <cell r="H549">
            <v>8.2510815033</v>
          </cell>
          <cell r="I549" t="str">
            <v>Pedestrian</v>
          </cell>
          <cell r="J549" t="str">
            <v>2017/18</v>
          </cell>
        </row>
        <row r="550">
          <cell r="A550" t="str">
            <v>08 MANAWATU-WANGANUI</v>
          </cell>
          <cell r="B550">
            <v>0</v>
          </cell>
          <cell r="C550">
            <v>2023</v>
          </cell>
          <cell r="D550">
            <v>214</v>
          </cell>
          <cell r="E550">
            <v>797</v>
          </cell>
          <cell r="F550">
            <v>37.888700374999999</v>
          </cell>
          <cell r="G550">
            <v>31.9342158</v>
          </cell>
          <cell r="H550">
            <v>7.9996800588000001</v>
          </cell>
          <cell r="I550" t="str">
            <v>Pedestrian</v>
          </cell>
          <cell r="J550" t="str">
            <v>2022/23</v>
          </cell>
        </row>
        <row r="551">
          <cell r="A551" t="str">
            <v>08 MANAWATU-WANGANUI</v>
          </cell>
          <cell r="B551">
            <v>0</v>
          </cell>
          <cell r="C551">
            <v>2028</v>
          </cell>
          <cell r="D551">
            <v>214</v>
          </cell>
          <cell r="E551">
            <v>797</v>
          </cell>
          <cell r="F551">
            <v>35.671980556000001</v>
          </cell>
          <cell r="G551">
            <v>30.370979938000001</v>
          </cell>
          <cell r="H551">
            <v>7.5246297603999999</v>
          </cell>
          <cell r="I551" t="str">
            <v>Pedestrian</v>
          </cell>
          <cell r="J551" t="str">
            <v>2027/28</v>
          </cell>
        </row>
        <row r="552">
          <cell r="A552" t="str">
            <v>08 MANAWATU-WANGANUI</v>
          </cell>
          <cell r="B552">
            <v>0</v>
          </cell>
          <cell r="C552">
            <v>2033</v>
          </cell>
          <cell r="D552">
            <v>214</v>
          </cell>
          <cell r="E552">
            <v>797</v>
          </cell>
          <cell r="F552">
            <v>33.782198725999997</v>
          </cell>
          <cell r="G552">
            <v>28.795993660000001</v>
          </cell>
          <cell r="H552">
            <v>7.0513708211999999</v>
          </cell>
          <cell r="I552" t="str">
            <v>Pedestrian</v>
          </cell>
          <cell r="J552" t="str">
            <v>2032/33</v>
          </cell>
        </row>
        <row r="553">
          <cell r="A553" t="str">
            <v>08 MANAWATU-WANGANUI</v>
          </cell>
          <cell r="B553">
            <v>0</v>
          </cell>
          <cell r="C553">
            <v>2038</v>
          </cell>
          <cell r="D553">
            <v>214</v>
          </cell>
          <cell r="E553">
            <v>797</v>
          </cell>
          <cell r="F553">
            <v>32.201159738000001</v>
          </cell>
          <cell r="G553">
            <v>27.397459894000001</v>
          </cell>
          <cell r="H553">
            <v>6.5938896463000001</v>
          </cell>
          <cell r="I553" t="str">
            <v>Pedestrian</v>
          </cell>
          <cell r="J553" t="str">
            <v>2037/38</v>
          </cell>
        </row>
        <row r="554">
          <cell r="A554" t="str">
            <v>08 MANAWATU-WANGANUI</v>
          </cell>
          <cell r="B554">
            <v>0</v>
          </cell>
          <cell r="C554">
            <v>2043</v>
          </cell>
          <cell r="D554">
            <v>214</v>
          </cell>
          <cell r="E554">
            <v>797</v>
          </cell>
          <cell r="F554">
            <v>30.751253462000001</v>
          </cell>
          <cell r="G554">
            <v>26.146995049000001</v>
          </cell>
          <cell r="H554">
            <v>6.1752002228</v>
          </cell>
          <cell r="I554" t="str">
            <v>Pedestrian</v>
          </cell>
          <cell r="J554" t="str">
            <v>2042/43</v>
          </cell>
        </row>
        <row r="555">
          <cell r="A555" t="str">
            <v>08 MANAWATU-WANGANUI</v>
          </cell>
          <cell r="B555">
            <v>1</v>
          </cell>
          <cell r="C555">
            <v>2013</v>
          </cell>
          <cell r="D555">
            <v>33</v>
          </cell>
          <cell r="E555">
            <v>96</v>
          </cell>
          <cell r="F555">
            <v>4.6745036201000003</v>
          </cell>
          <cell r="G555">
            <v>20.722330986999999</v>
          </cell>
          <cell r="H555">
            <v>1.7566260256999999</v>
          </cell>
          <cell r="I555" t="str">
            <v>Cyclist</v>
          </cell>
          <cell r="J555" t="str">
            <v>2012/13</v>
          </cell>
        </row>
        <row r="556">
          <cell r="A556" t="str">
            <v>08 MANAWATU-WANGANUI</v>
          </cell>
          <cell r="B556">
            <v>1</v>
          </cell>
          <cell r="C556">
            <v>2018</v>
          </cell>
          <cell r="D556">
            <v>33</v>
          </cell>
          <cell r="E556">
            <v>96</v>
          </cell>
          <cell r="F556">
            <v>4.9244934784999996</v>
          </cell>
          <cell r="G556">
            <v>23.232432227</v>
          </cell>
          <cell r="H556">
            <v>1.9305336439</v>
          </cell>
          <cell r="I556" t="str">
            <v>Cyclist</v>
          </cell>
          <cell r="J556" t="str">
            <v>2017/18</v>
          </cell>
        </row>
        <row r="557">
          <cell r="A557" t="str">
            <v>08 MANAWATU-WANGANUI</v>
          </cell>
          <cell r="B557">
            <v>1</v>
          </cell>
          <cell r="C557">
            <v>2023</v>
          </cell>
          <cell r="D557">
            <v>33</v>
          </cell>
          <cell r="E557">
            <v>96</v>
          </cell>
          <cell r="F557">
            <v>5.1421878522000002</v>
          </cell>
          <cell r="G557">
            <v>24.825460721999999</v>
          </cell>
          <cell r="H557">
            <v>2.0551213770999999</v>
          </cell>
          <cell r="I557" t="str">
            <v>Cyclist</v>
          </cell>
          <cell r="J557" t="str">
            <v>2022/23</v>
          </cell>
        </row>
        <row r="558">
          <cell r="A558" t="str">
            <v>08 MANAWATU-WANGANUI</v>
          </cell>
          <cell r="B558">
            <v>1</v>
          </cell>
          <cell r="C558">
            <v>2028</v>
          </cell>
          <cell r="D558">
            <v>33</v>
          </cell>
          <cell r="E558">
            <v>96</v>
          </cell>
          <cell r="F558">
            <v>5.3269579510999998</v>
          </cell>
          <cell r="G558">
            <v>25.330350829</v>
          </cell>
          <cell r="H558">
            <v>2.1241784716000001</v>
          </cell>
          <cell r="I558" t="str">
            <v>Cyclist</v>
          </cell>
          <cell r="J558" t="str">
            <v>2027/28</v>
          </cell>
        </row>
        <row r="559">
          <cell r="A559" t="str">
            <v>08 MANAWATU-WANGANUI</v>
          </cell>
          <cell r="B559">
            <v>1</v>
          </cell>
          <cell r="C559">
            <v>2033</v>
          </cell>
          <cell r="D559">
            <v>33</v>
          </cell>
          <cell r="E559">
            <v>96</v>
          </cell>
          <cell r="F559">
            <v>5.5309736680999997</v>
          </cell>
          <cell r="G559">
            <v>25.676322209999999</v>
          </cell>
          <cell r="H559">
            <v>2.1769150525000001</v>
          </cell>
          <cell r="I559" t="str">
            <v>Cyclist</v>
          </cell>
          <cell r="J559" t="str">
            <v>2032/33</v>
          </cell>
        </row>
        <row r="560">
          <cell r="A560" t="str">
            <v>08 MANAWATU-WANGANUI</v>
          </cell>
          <cell r="B560">
            <v>1</v>
          </cell>
          <cell r="C560">
            <v>2038</v>
          </cell>
          <cell r="D560">
            <v>33</v>
          </cell>
          <cell r="E560">
            <v>96</v>
          </cell>
          <cell r="F560">
            <v>5.5381007380999998</v>
          </cell>
          <cell r="G560">
            <v>25.955105951</v>
          </cell>
          <cell r="H560">
            <v>2.1825882433000001</v>
          </cell>
          <cell r="I560" t="str">
            <v>Cyclist</v>
          </cell>
          <cell r="J560" t="str">
            <v>2037/38</v>
          </cell>
        </row>
        <row r="561">
          <cell r="A561" t="str">
            <v>08 MANAWATU-WANGANUI</v>
          </cell>
          <cell r="B561">
            <v>1</v>
          </cell>
          <cell r="C561">
            <v>2043</v>
          </cell>
          <cell r="D561">
            <v>33</v>
          </cell>
          <cell r="E561">
            <v>96</v>
          </cell>
          <cell r="F561">
            <v>5.5103469655000001</v>
          </cell>
          <cell r="G561">
            <v>26.151864316000001</v>
          </cell>
          <cell r="H561">
            <v>2.1744827309999999</v>
          </cell>
          <cell r="I561" t="str">
            <v>Cyclist</v>
          </cell>
          <cell r="J561" t="str">
            <v>2042/43</v>
          </cell>
        </row>
        <row r="562">
          <cell r="A562" t="str">
            <v>08 MANAWATU-WANGANUI</v>
          </cell>
          <cell r="B562">
            <v>2</v>
          </cell>
          <cell r="C562">
            <v>2013</v>
          </cell>
          <cell r="D562">
            <v>588</v>
          </cell>
          <cell r="E562">
            <v>4259</v>
          </cell>
          <cell r="F562">
            <v>178.69640117</v>
          </cell>
          <cell r="G562">
            <v>1782.4745101999999</v>
          </cell>
          <cell r="H562">
            <v>42.09204356</v>
          </cell>
          <cell r="I562" t="str">
            <v>Light Vehicle Driver</v>
          </cell>
          <cell r="J562" t="str">
            <v>2012/13</v>
          </cell>
        </row>
        <row r="563">
          <cell r="A563" t="str">
            <v>08 MANAWATU-WANGANUI</v>
          </cell>
          <cell r="B563">
            <v>2</v>
          </cell>
          <cell r="C563">
            <v>2018</v>
          </cell>
          <cell r="D563">
            <v>588</v>
          </cell>
          <cell r="E563">
            <v>4259</v>
          </cell>
          <cell r="F563">
            <v>191.4185573</v>
          </cell>
          <cell r="G563">
            <v>1929.1908393000001</v>
          </cell>
          <cell r="H563">
            <v>45.494087706000002</v>
          </cell>
          <cell r="I563" t="str">
            <v>Light Vehicle Driver</v>
          </cell>
          <cell r="J563" t="str">
            <v>2017/18</v>
          </cell>
        </row>
        <row r="564">
          <cell r="A564" t="str">
            <v>08 MANAWATU-WANGANUI</v>
          </cell>
          <cell r="B564">
            <v>2</v>
          </cell>
          <cell r="C564">
            <v>2023</v>
          </cell>
          <cell r="D564">
            <v>588</v>
          </cell>
          <cell r="E564">
            <v>4259</v>
          </cell>
          <cell r="F564">
            <v>197.84965091000001</v>
          </cell>
          <cell r="G564">
            <v>2016.6095092999999</v>
          </cell>
          <cell r="H564">
            <v>47.364095306000003</v>
          </cell>
          <cell r="I564" t="str">
            <v>Light Vehicle Driver</v>
          </cell>
          <cell r="J564" t="str">
            <v>2022/23</v>
          </cell>
        </row>
        <row r="565">
          <cell r="A565" t="str">
            <v>08 MANAWATU-WANGANUI</v>
          </cell>
          <cell r="B565">
            <v>2</v>
          </cell>
          <cell r="C565">
            <v>2028</v>
          </cell>
          <cell r="D565">
            <v>588</v>
          </cell>
          <cell r="E565">
            <v>4259</v>
          </cell>
          <cell r="F565">
            <v>201.08049444</v>
          </cell>
          <cell r="G565">
            <v>2083.5801848999999</v>
          </cell>
          <cell r="H565">
            <v>48.518362148000001</v>
          </cell>
          <cell r="I565" t="str">
            <v>Light Vehicle Driver</v>
          </cell>
          <cell r="J565" t="str">
            <v>2027/28</v>
          </cell>
        </row>
        <row r="566">
          <cell r="A566" t="str">
            <v>08 MANAWATU-WANGANUI</v>
          </cell>
          <cell r="B566">
            <v>2</v>
          </cell>
          <cell r="C566">
            <v>2033</v>
          </cell>
          <cell r="D566">
            <v>588</v>
          </cell>
          <cell r="E566">
            <v>4259</v>
          </cell>
          <cell r="F566">
            <v>204.30798813999999</v>
          </cell>
          <cell r="G566">
            <v>2133.9133953999999</v>
          </cell>
          <cell r="H566">
            <v>49.459379597999998</v>
          </cell>
          <cell r="I566" t="str">
            <v>Light Vehicle Driver</v>
          </cell>
          <cell r="J566" t="str">
            <v>2032/33</v>
          </cell>
        </row>
        <row r="567">
          <cell r="A567" t="str">
            <v>08 MANAWATU-WANGANUI</v>
          </cell>
          <cell r="B567">
            <v>2</v>
          </cell>
          <cell r="C567">
            <v>2038</v>
          </cell>
          <cell r="D567">
            <v>588</v>
          </cell>
          <cell r="E567">
            <v>4259</v>
          </cell>
          <cell r="F567">
            <v>204.55844685</v>
          </cell>
          <cell r="G567">
            <v>2151.8758292000002</v>
          </cell>
          <cell r="H567">
            <v>49.635071173999997</v>
          </cell>
          <cell r="I567" t="str">
            <v>Light Vehicle Driver</v>
          </cell>
          <cell r="J567" t="str">
            <v>2037/38</v>
          </cell>
        </row>
        <row r="568">
          <cell r="A568" t="str">
            <v>08 MANAWATU-WANGANUI</v>
          </cell>
          <cell r="B568">
            <v>2</v>
          </cell>
          <cell r="C568">
            <v>2043</v>
          </cell>
          <cell r="D568">
            <v>588</v>
          </cell>
          <cell r="E568">
            <v>4259</v>
          </cell>
          <cell r="F568">
            <v>203.62099287999999</v>
          </cell>
          <cell r="G568">
            <v>2157.6105106</v>
          </cell>
          <cell r="H568">
            <v>49.509530228999999</v>
          </cell>
          <cell r="I568" t="str">
            <v>Light Vehicle Driver</v>
          </cell>
          <cell r="J568" t="str">
            <v>2042/43</v>
          </cell>
        </row>
        <row r="569">
          <cell r="A569" t="str">
            <v>08 MANAWATU-WANGANUI</v>
          </cell>
          <cell r="B569">
            <v>3</v>
          </cell>
          <cell r="C569">
            <v>2013</v>
          </cell>
          <cell r="D569">
            <v>425</v>
          </cell>
          <cell r="E569">
            <v>2071</v>
          </cell>
          <cell r="F569">
            <v>84.046137802999993</v>
          </cell>
          <cell r="G569">
            <v>885.65568203999999</v>
          </cell>
          <cell r="H569">
            <v>20.286542670999999</v>
          </cell>
          <cell r="I569" t="str">
            <v>Light Vehicle Passenger</v>
          </cell>
          <cell r="J569" t="str">
            <v>2012/13</v>
          </cell>
        </row>
        <row r="570">
          <cell r="A570" t="str">
            <v>08 MANAWATU-WANGANUI</v>
          </cell>
          <cell r="B570">
            <v>3</v>
          </cell>
          <cell r="C570">
            <v>2018</v>
          </cell>
          <cell r="D570">
            <v>425</v>
          </cell>
          <cell r="E570">
            <v>2071</v>
          </cell>
          <cell r="F570">
            <v>84.205850071</v>
          </cell>
          <cell r="G570">
            <v>911.73408013000005</v>
          </cell>
          <cell r="H570">
            <v>20.679045131999999</v>
          </cell>
          <cell r="I570" t="str">
            <v>Light Vehicle Passenger</v>
          </cell>
          <cell r="J570" t="str">
            <v>2017/18</v>
          </cell>
        </row>
        <row r="571">
          <cell r="A571" t="str">
            <v>08 MANAWATU-WANGANUI</v>
          </cell>
          <cell r="B571">
            <v>3</v>
          </cell>
          <cell r="C571">
            <v>2023</v>
          </cell>
          <cell r="D571">
            <v>425</v>
          </cell>
          <cell r="E571">
            <v>2071</v>
          </cell>
          <cell r="F571">
            <v>83.724366356999994</v>
          </cell>
          <cell r="G571">
            <v>920.50579416999994</v>
          </cell>
          <cell r="H571">
            <v>20.769843345999998</v>
          </cell>
          <cell r="I571" t="str">
            <v>Light Vehicle Passenger</v>
          </cell>
          <cell r="J571" t="str">
            <v>2022/23</v>
          </cell>
        </row>
        <row r="572">
          <cell r="A572" t="str">
            <v>08 MANAWATU-WANGANUI</v>
          </cell>
          <cell r="B572">
            <v>3</v>
          </cell>
          <cell r="C572">
            <v>2028</v>
          </cell>
          <cell r="D572">
            <v>425</v>
          </cell>
          <cell r="E572">
            <v>2071</v>
          </cell>
          <cell r="F572">
            <v>82.277715204000003</v>
          </cell>
          <cell r="G572">
            <v>925.69040325000003</v>
          </cell>
          <cell r="H572">
            <v>20.684412644999998</v>
          </cell>
          <cell r="I572" t="str">
            <v>Light Vehicle Passenger</v>
          </cell>
          <cell r="J572" t="str">
            <v>2027/28</v>
          </cell>
        </row>
        <row r="573">
          <cell r="A573" t="str">
            <v>08 MANAWATU-WANGANUI</v>
          </cell>
          <cell r="B573">
            <v>3</v>
          </cell>
          <cell r="C573">
            <v>2033</v>
          </cell>
          <cell r="D573">
            <v>425</v>
          </cell>
          <cell r="E573">
            <v>2071</v>
          </cell>
          <cell r="F573">
            <v>81.302944530000005</v>
          </cell>
          <cell r="G573">
            <v>938.19745219000004</v>
          </cell>
          <cell r="H573">
            <v>20.768273444999998</v>
          </cell>
          <cell r="I573" t="str">
            <v>Light Vehicle Passenger</v>
          </cell>
          <cell r="J573" t="str">
            <v>2032/33</v>
          </cell>
        </row>
        <row r="574">
          <cell r="A574" t="str">
            <v>08 MANAWATU-WANGANUI</v>
          </cell>
          <cell r="B574">
            <v>3</v>
          </cell>
          <cell r="C574">
            <v>2038</v>
          </cell>
          <cell r="D574">
            <v>425</v>
          </cell>
          <cell r="E574">
            <v>2071</v>
          </cell>
          <cell r="F574">
            <v>79.646301219999998</v>
          </cell>
          <cell r="G574">
            <v>944.42787668999995</v>
          </cell>
          <cell r="H574">
            <v>20.742935113000001</v>
          </cell>
          <cell r="I574" t="str">
            <v>Light Vehicle Passenger</v>
          </cell>
          <cell r="J574" t="str">
            <v>2037/38</v>
          </cell>
        </row>
        <row r="575">
          <cell r="A575" t="str">
            <v>08 MANAWATU-WANGANUI</v>
          </cell>
          <cell r="B575">
            <v>3</v>
          </cell>
          <cell r="C575">
            <v>2043</v>
          </cell>
          <cell r="D575">
            <v>425</v>
          </cell>
          <cell r="E575">
            <v>2071</v>
          </cell>
          <cell r="F575">
            <v>77.662367571000004</v>
          </cell>
          <cell r="G575">
            <v>947.52497196000002</v>
          </cell>
          <cell r="H575">
            <v>20.63650646</v>
          </cell>
          <cell r="I575" t="str">
            <v>Light Vehicle Passenger</v>
          </cell>
          <cell r="J575" t="str">
            <v>2042/43</v>
          </cell>
        </row>
        <row r="576">
          <cell r="A576" t="str">
            <v>08 MANAWATU-WANGANUI</v>
          </cell>
          <cell r="B576">
            <v>4</v>
          </cell>
          <cell r="C576">
            <v>2013</v>
          </cell>
          <cell r="D576">
            <v>16</v>
          </cell>
          <cell r="E576">
            <v>32</v>
          </cell>
          <cell r="F576">
            <v>0.99874441920000001</v>
          </cell>
          <cell r="G576">
            <v>5.6344181790999999</v>
          </cell>
          <cell r="H576">
            <v>0.26821620219999998</v>
          </cell>
          <cell r="J576" t="str">
            <v>2012/13</v>
          </cell>
        </row>
        <row r="577">
          <cell r="A577" t="str">
            <v>08 MANAWATU-WANGANUI</v>
          </cell>
          <cell r="B577">
            <v>4</v>
          </cell>
          <cell r="C577">
            <v>2018</v>
          </cell>
          <cell r="D577">
            <v>16</v>
          </cell>
          <cell r="E577">
            <v>32</v>
          </cell>
          <cell r="F577">
            <v>1.1052850506</v>
          </cell>
          <cell r="G577">
            <v>6.8174429943000003</v>
          </cell>
          <cell r="H577">
            <v>0.31967833109999999</v>
          </cell>
          <cell r="J577" t="str">
            <v>2017/18</v>
          </cell>
        </row>
        <row r="578">
          <cell r="A578" t="str">
            <v>08 MANAWATU-WANGANUI</v>
          </cell>
          <cell r="B578">
            <v>4</v>
          </cell>
          <cell r="C578">
            <v>2023</v>
          </cell>
          <cell r="D578">
            <v>16</v>
          </cell>
          <cell r="E578">
            <v>32</v>
          </cell>
          <cell r="F578">
            <v>1.1393188274999999</v>
          </cell>
          <cell r="G578">
            <v>7.5063117402000001</v>
          </cell>
          <cell r="H578">
            <v>0.3470837088</v>
          </cell>
          <cell r="J578" t="str">
            <v>2022/23</v>
          </cell>
        </row>
        <row r="579">
          <cell r="A579" t="str">
            <v>08 MANAWATU-WANGANUI</v>
          </cell>
          <cell r="B579">
            <v>4</v>
          </cell>
          <cell r="C579">
            <v>2028</v>
          </cell>
          <cell r="D579">
            <v>16</v>
          </cell>
          <cell r="E579">
            <v>32</v>
          </cell>
          <cell r="F579">
            <v>1.1104241131000001</v>
          </cell>
          <cell r="G579">
            <v>7.7062494359000002</v>
          </cell>
          <cell r="H579">
            <v>0.35159369559999998</v>
          </cell>
          <cell r="J579" t="str">
            <v>2027/28</v>
          </cell>
        </row>
        <row r="580">
          <cell r="A580" t="str">
            <v>08 MANAWATU-WANGANUI</v>
          </cell>
          <cell r="B580">
            <v>4</v>
          </cell>
          <cell r="C580">
            <v>2033</v>
          </cell>
          <cell r="D580">
            <v>16</v>
          </cell>
          <cell r="E580">
            <v>32</v>
          </cell>
          <cell r="F580">
            <v>1.0740239639</v>
          </cell>
          <cell r="G580">
            <v>7.8481765190999999</v>
          </cell>
          <cell r="H580">
            <v>0.35443381619999997</v>
          </cell>
          <cell r="J580" t="str">
            <v>2032/33</v>
          </cell>
        </row>
        <row r="581">
          <cell r="A581" t="str">
            <v>08 MANAWATU-WANGANUI</v>
          </cell>
          <cell r="B581">
            <v>4</v>
          </cell>
          <cell r="C581">
            <v>2038</v>
          </cell>
          <cell r="D581">
            <v>16</v>
          </cell>
          <cell r="E581">
            <v>32</v>
          </cell>
          <cell r="F581">
            <v>1.0908599788</v>
          </cell>
          <cell r="G581">
            <v>8.4384813474999998</v>
          </cell>
          <cell r="H581">
            <v>0.37746347130000002</v>
          </cell>
          <cell r="J581" t="str">
            <v>2037/38</v>
          </cell>
        </row>
        <row r="582">
          <cell r="A582" t="str">
            <v>08 MANAWATU-WANGANUI</v>
          </cell>
          <cell r="B582">
            <v>4</v>
          </cell>
          <cell r="C582">
            <v>2043</v>
          </cell>
          <cell r="D582">
            <v>16</v>
          </cell>
          <cell r="E582">
            <v>32</v>
          </cell>
          <cell r="F582">
            <v>1.1105439798000001</v>
          </cell>
          <cell r="G582">
            <v>9.0666923347000008</v>
          </cell>
          <cell r="H582">
            <v>0.40209950630000002</v>
          </cell>
          <cell r="J582" t="str">
            <v>2042/43</v>
          </cell>
        </row>
        <row r="583">
          <cell r="A583" t="str">
            <v>08 MANAWATU-WANGANUI</v>
          </cell>
          <cell r="B583">
            <v>5</v>
          </cell>
          <cell r="C583">
            <v>2013</v>
          </cell>
          <cell r="D583">
            <v>5</v>
          </cell>
          <cell r="E583">
            <v>19</v>
          </cell>
          <cell r="F583">
            <v>0.79000583589999995</v>
          </cell>
          <cell r="G583">
            <v>3.8744282972000001</v>
          </cell>
          <cell r="H583">
            <v>0.1643149203</v>
          </cell>
          <cell r="I583" t="str">
            <v>Motorcyclist</v>
          </cell>
          <cell r="J583" t="str">
            <v>2012/13</v>
          </cell>
        </row>
        <row r="584">
          <cell r="A584" t="str">
            <v>08 MANAWATU-WANGANUI</v>
          </cell>
          <cell r="B584">
            <v>5</v>
          </cell>
          <cell r="C584">
            <v>2018</v>
          </cell>
          <cell r="D584">
            <v>5</v>
          </cell>
          <cell r="E584">
            <v>19</v>
          </cell>
          <cell r="F584">
            <v>0.73075697289999997</v>
          </cell>
          <cell r="G584">
            <v>4.2424287413000004</v>
          </cell>
          <cell r="H584">
            <v>0.1586296264</v>
          </cell>
          <cell r="I584" t="str">
            <v>Motorcyclist</v>
          </cell>
          <cell r="J584" t="str">
            <v>2017/18</v>
          </cell>
        </row>
        <row r="585">
          <cell r="A585" t="str">
            <v>08 MANAWATU-WANGANUI</v>
          </cell>
          <cell r="B585">
            <v>5</v>
          </cell>
          <cell r="C585">
            <v>2023</v>
          </cell>
          <cell r="D585">
            <v>5</v>
          </cell>
          <cell r="E585">
            <v>19</v>
          </cell>
          <cell r="F585">
            <v>0.6554155411</v>
          </cell>
          <cell r="G585">
            <v>4.3634941353999999</v>
          </cell>
          <cell r="H585">
            <v>0.1479103464</v>
          </cell>
          <cell r="I585" t="str">
            <v>Motorcyclist</v>
          </cell>
          <cell r="J585" t="str">
            <v>2022/23</v>
          </cell>
        </row>
        <row r="586">
          <cell r="A586" t="str">
            <v>08 MANAWATU-WANGANUI</v>
          </cell>
          <cell r="B586">
            <v>5</v>
          </cell>
          <cell r="C586">
            <v>2028</v>
          </cell>
          <cell r="D586">
            <v>5</v>
          </cell>
          <cell r="E586">
            <v>19</v>
          </cell>
          <cell r="F586">
            <v>0.56565076120000002</v>
          </cell>
          <cell r="G586">
            <v>4.2154012295000003</v>
          </cell>
          <cell r="H586">
            <v>0.1322136283</v>
          </cell>
          <cell r="I586" t="str">
            <v>Motorcyclist</v>
          </cell>
          <cell r="J586" t="str">
            <v>2027/28</v>
          </cell>
        </row>
        <row r="587">
          <cell r="A587" t="str">
            <v>08 MANAWATU-WANGANUI</v>
          </cell>
          <cell r="B587">
            <v>5</v>
          </cell>
          <cell r="C587">
            <v>2033</v>
          </cell>
          <cell r="D587">
            <v>5</v>
          </cell>
          <cell r="E587">
            <v>19</v>
          </cell>
          <cell r="F587">
            <v>0.51590178379999996</v>
          </cell>
          <cell r="G587">
            <v>4.0530033268999999</v>
          </cell>
          <cell r="H587">
            <v>0.1228928438</v>
          </cell>
          <cell r="I587" t="str">
            <v>Motorcyclist</v>
          </cell>
          <cell r="J587" t="str">
            <v>2032/33</v>
          </cell>
        </row>
        <row r="588">
          <cell r="A588" t="str">
            <v>08 MANAWATU-WANGANUI</v>
          </cell>
          <cell r="B588">
            <v>5</v>
          </cell>
          <cell r="C588">
            <v>2038</v>
          </cell>
          <cell r="D588">
            <v>5</v>
          </cell>
          <cell r="E588">
            <v>19</v>
          </cell>
          <cell r="F588">
            <v>0.49502073730000001</v>
          </cell>
          <cell r="G588">
            <v>3.9717111073</v>
          </cell>
          <cell r="H588">
            <v>0.1190552377</v>
          </cell>
          <cell r="I588" t="str">
            <v>Motorcyclist</v>
          </cell>
          <cell r="J588" t="str">
            <v>2037/38</v>
          </cell>
        </row>
        <row r="589">
          <cell r="A589" t="str">
            <v>08 MANAWATU-WANGANUI</v>
          </cell>
          <cell r="B589">
            <v>5</v>
          </cell>
          <cell r="C589">
            <v>2043</v>
          </cell>
          <cell r="D589">
            <v>5</v>
          </cell>
          <cell r="E589">
            <v>19</v>
          </cell>
          <cell r="F589">
            <v>0.4673448791</v>
          </cell>
          <cell r="G589">
            <v>3.8647357322000002</v>
          </cell>
          <cell r="H589">
            <v>0.1138483235</v>
          </cell>
          <cell r="I589" t="str">
            <v>Motorcyclist</v>
          </cell>
          <cell r="J589" t="str">
            <v>2042/43</v>
          </cell>
        </row>
        <row r="590">
          <cell r="A590" t="str">
            <v>08 MANAWATU-WANGANUI</v>
          </cell>
          <cell r="B590">
            <v>7</v>
          </cell>
          <cell r="C590">
            <v>2013</v>
          </cell>
          <cell r="D590">
            <v>41</v>
          </cell>
          <cell r="E590">
            <v>90</v>
          </cell>
          <cell r="F590">
            <v>5.2110099151</v>
          </cell>
          <cell r="G590">
            <v>39.768452936000003</v>
          </cell>
          <cell r="H590">
            <v>1.7349616699999999</v>
          </cell>
          <cell r="I590" t="str">
            <v>Local Bus</v>
          </cell>
          <cell r="J590" t="str">
            <v>2012/13</v>
          </cell>
        </row>
        <row r="591">
          <cell r="A591" t="str">
            <v>08 MANAWATU-WANGANUI</v>
          </cell>
          <cell r="B591">
            <v>7</v>
          </cell>
          <cell r="C591">
            <v>2018</v>
          </cell>
          <cell r="D591">
            <v>41</v>
          </cell>
          <cell r="E591">
            <v>90</v>
          </cell>
          <cell r="F591">
            <v>4.7992741297999997</v>
          </cell>
          <cell r="G591">
            <v>35.463637843000001</v>
          </cell>
          <cell r="H591">
            <v>1.5928493693000001</v>
          </cell>
          <cell r="I591" t="str">
            <v>Local Bus</v>
          </cell>
          <cell r="J591" t="str">
            <v>2017/18</v>
          </cell>
        </row>
        <row r="592">
          <cell r="A592" t="str">
            <v>08 MANAWATU-WANGANUI</v>
          </cell>
          <cell r="B592">
            <v>7</v>
          </cell>
          <cell r="C592">
            <v>2023</v>
          </cell>
          <cell r="D592">
            <v>41</v>
          </cell>
          <cell r="E592">
            <v>90</v>
          </cell>
          <cell r="F592">
            <v>4.4664523108000003</v>
          </cell>
          <cell r="G592">
            <v>32.262616164000001</v>
          </cell>
          <cell r="H592">
            <v>1.4711924487000001</v>
          </cell>
          <cell r="I592" t="str">
            <v>Local Bus</v>
          </cell>
          <cell r="J592" t="str">
            <v>2022/23</v>
          </cell>
        </row>
        <row r="593">
          <cell r="A593" t="str">
            <v>08 MANAWATU-WANGANUI</v>
          </cell>
          <cell r="B593">
            <v>7</v>
          </cell>
          <cell r="C593">
            <v>2028</v>
          </cell>
          <cell r="D593">
            <v>41</v>
          </cell>
          <cell r="E593">
            <v>90</v>
          </cell>
          <cell r="F593">
            <v>4.22900104</v>
          </cell>
          <cell r="G593">
            <v>29.967091243999999</v>
          </cell>
          <cell r="H593">
            <v>1.3726948413</v>
          </cell>
          <cell r="I593" t="str">
            <v>Local Bus</v>
          </cell>
          <cell r="J593" t="str">
            <v>2027/28</v>
          </cell>
        </row>
        <row r="594">
          <cell r="A594" t="str">
            <v>08 MANAWATU-WANGANUI</v>
          </cell>
          <cell r="B594">
            <v>7</v>
          </cell>
          <cell r="C594">
            <v>2033</v>
          </cell>
          <cell r="D594">
            <v>41</v>
          </cell>
          <cell r="E594">
            <v>90</v>
          </cell>
          <cell r="F594">
            <v>3.9816103929</v>
          </cell>
          <cell r="G594">
            <v>27.641163957</v>
          </cell>
          <cell r="H594">
            <v>1.2829070495999999</v>
          </cell>
          <cell r="I594" t="str">
            <v>Local Bus</v>
          </cell>
          <cell r="J594" t="str">
            <v>2032/33</v>
          </cell>
        </row>
        <row r="595">
          <cell r="A595" t="str">
            <v>08 MANAWATU-WANGANUI</v>
          </cell>
          <cell r="B595">
            <v>7</v>
          </cell>
          <cell r="C595">
            <v>2038</v>
          </cell>
          <cell r="D595">
            <v>41</v>
          </cell>
          <cell r="E595">
            <v>90</v>
          </cell>
          <cell r="F595">
            <v>3.7525360292999999</v>
          </cell>
          <cell r="G595">
            <v>25.645375153</v>
          </cell>
          <cell r="H595">
            <v>1.1896391038</v>
          </cell>
          <cell r="I595" t="str">
            <v>Local Bus</v>
          </cell>
          <cell r="J595" t="str">
            <v>2037/38</v>
          </cell>
        </row>
        <row r="596">
          <cell r="A596" t="str">
            <v>08 MANAWATU-WANGANUI</v>
          </cell>
          <cell r="B596">
            <v>7</v>
          </cell>
          <cell r="C596">
            <v>2043</v>
          </cell>
          <cell r="D596">
            <v>41</v>
          </cell>
          <cell r="E596">
            <v>90</v>
          </cell>
          <cell r="F596">
            <v>3.4863763688999998</v>
          </cell>
          <cell r="G596">
            <v>23.567949271</v>
          </cell>
          <cell r="H596">
            <v>1.0887806358000001</v>
          </cell>
          <cell r="I596" t="str">
            <v>Local Bus</v>
          </cell>
          <cell r="J596" t="str">
            <v>2042/43</v>
          </cell>
        </row>
        <row r="597">
          <cell r="A597" t="str">
            <v>08 MANAWATU-WANGANUI</v>
          </cell>
          <cell r="B597">
            <v>8</v>
          </cell>
          <cell r="C597">
            <v>2013</v>
          </cell>
          <cell r="D597">
            <v>2</v>
          </cell>
          <cell r="E597">
            <v>4</v>
          </cell>
          <cell r="F597">
            <v>0.1068619116</v>
          </cell>
          <cell r="G597">
            <v>0</v>
          </cell>
          <cell r="H597">
            <v>1.3357739E-2</v>
          </cell>
          <cell r="I597" t="str">
            <v>Local Ferry</v>
          </cell>
          <cell r="J597" t="str">
            <v>2012/13</v>
          </cell>
        </row>
        <row r="598">
          <cell r="A598" t="str">
            <v>08 MANAWATU-WANGANUI</v>
          </cell>
          <cell r="B598">
            <v>8</v>
          </cell>
          <cell r="C598">
            <v>2018</v>
          </cell>
          <cell r="D598">
            <v>2</v>
          </cell>
          <cell r="E598">
            <v>4</v>
          </cell>
          <cell r="F598">
            <v>0.11976830550000001</v>
          </cell>
          <cell r="G598">
            <v>0</v>
          </cell>
          <cell r="H598">
            <v>1.49710382E-2</v>
          </cell>
          <cell r="I598" t="str">
            <v>Local Ferry</v>
          </cell>
          <cell r="J598" t="str">
            <v>2017/18</v>
          </cell>
        </row>
        <row r="599">
          <cell r="A599" t="str">
            <v>08 MANAWATU-WANGANUI</v>
          </cell>
          <cell r="B599">
            <v>8</v>
          </cell>
          <cell r="C599">
            <v>2023</v>
          </cell>
          <cell r="D599">
            <v>2</v>
          </cell>
          <cell r="E599">
            <v>4</v>
          </cell>
          <cell r="F599">
            <v>0.1275353591</v>
          </cell>
          <cell r="G599">
            <v>0</v>
          </cell>
          <cell r="H599">
            <v>1.59419199E-2</v>
          </cell>
          <cell r="I599" t="str">
            <v>Local Ferry</v>
          </cell>
          <cell r="J599" t="str">
            <v>2022/23</v>
          </cell>
        </row>
        <row r="600">
          <cell r="A600" t="str">
            <v>08 MANAWATU-WANGANUI</v>
          </cell>
          <cell r="B600">
            <v>8</v>
          </cell>
          <cell r="C600">
            <v>2028</v>
          </cell>
          <cell r="D600">
            <v>2</v>
          </cell>
          <cell r="E600">
            <v>4</v>
          </cell>
          <cell r="F600">
            <v>0.14090991310000001</v>
          </cell>
          <cell r="G600">
            <v>0</v>
          </cell>
          <cell r="H600">
            <v>1.7613739100000001E-2</v>
          </cell>
          <cell r="I600" t="str">
            <v>Local Ferry</v>
          </cell>
          <cell r="J600" t="str">
            <v>2027/28</v>
          </cell>
        </row>
        <row r="601">
          <cell r="A601" t="str">
            <v>08 MANAWATU-WANGANUI</v>
          </cell>
          <cell r="B601">
            <v>8</v>
          </cell>
          <cell r="C601">
            <v>2033</v>
          </cell>
          <cell r="D601">
            <v>2</v>
          </cell>
          <cell r="E601">
            <v>4</v>
          </cell>
          <cell r="F601">
            <v>0.14431783519999999</v>
          </cell>
          <cell r="G601">
            <v>0</v>
          </cell>
          <cell r="H601">
            <v>1.8039729399999999E-2</v>
          </cell>
          <cell r="I601" t="str">
            <v>Local Ferry</v>
          </cell>
          <cell r="J601" t="str">
            <v>2032/33</v>
          </cell>
        </row>
        <row r="602">
          <cell r="A602" t="str">
            <v>08 MANAWATU-WANGANUI</v>
          </cell>
          <cell r="B602">
            <v>8</v>
          </cell>
          <cell r="C602">
            <v>2038</v>
          </cell>
          <cell r="D602">
            <v>2</v>
          </cell>
          <cell r="E602">
            <v>4</v>
          </cell>
          <cell r="F602">
            <v>0.14027711900000001</v>
          </cell>
          <cell r="G602">
            <v>0</v>
          </cell>
          <cell r="H602">
            <v>1.7534639899999999E-2</v>
          </cell>
          <cell r="I602" t="str">
            <v>Local Ferry</v>
          </cell>
          <cell r="J602" t="str">
            <v>2037/38</v>
          </cell>
        </row>
        <row r="603">
          <cell r="A603" t="str">
            <v>08 MANAWATU-WANGANUI</v>
          </cell>
          <cell r="B603">
            <v>8</v>
          </cell>
          <cell r="C603">
            <v>2043</v>
          </cell>
          <cell r="D603">
            <v>2</v>
          </cell>
          <cell r="E603">
            <v>4</v>
          </cell>
          <cell r="F603">
            <v>0.13521903069999999</v>
          </cell>
          <cell r="G603">
            <v>0</v>
          </cell>
          <cell r="H603">
            <v>1.6902378799999999E-2</v>
          </cell>
          <cell r="I603" t="str">
            <v>Local Ferry</v>
          </cell>
          <cell r="J603" t="str">
            <v>2042/43</v>
          </cell>
        </row>
        <row r="604">
          <cell r="A604" t="str">
            <v>08 MANAWATU-WANGANUI</v>
          </cell>
          <cell r="B604">
            <v>9</v>
          </cell>
          <cell r="C604">
            <v>2013</v>
          </cell>
          <cell r="D604">
            <v>2</v>
          </cell>
          <cell r="E604">
            <v>5</v>
          </cell>
          <cell r="F604">
            <v>0.24513607779999999</v>
          </cell>
          <cell r="G604">
            <v>0</v>
          </cell>
          <cell r="H604">
            <v>3.9735238899999997E-2</v>
          </cell>
          <cell r="I604" t="str">
            <v>Other Household Travel</v>
          </cell>
          <cell r="J604" t="str">
            <v>2012/13</v>
          </cell>
        </row>
        <row r="605">
          <cell r="A605" t="str">
            <v>08 MANAWATU-WANGANUI</v>
          </cell>
          <cell r="B605">
            <v>9</v>
          </cell>
          <cell r="C605">
            <v>2018</v>
          </cell>
          <cell r="D605">
            <v>2</v>
          </cell>
          <cell r="E605">
            <v>5</v>
          </cell>
          <cell r="F605">
            <v>0.2327765504</v>
          </cell>
          <cell r="G605">
            <v>0</v>
          </cell>
          <cell r="H605">
            <v>3.7969601800000002E-2</v>
          </cell>
          <cell r="I605" t="str">
            <v>Other Household Travel</v>
          </cell>
          <cell r="J605" t="str">
            <v>2017/18</v>
          </cell>
        </row>
        <row r="606">
          <cell r="A606" t="str">
            <v>08 MANAWATU-WANGANUI</v>
          </cell>
          <cell r="B606">
            <v>9</v>
          </cell>
          <cell r="C606">
            <v>2023</v>
          </cell>
          <cell r="D606">
            <v>2</v>
          </cell>
          <cell r="E606">
            <v>5</v>
          </cell>
          <cell r="F606">
            <v>0.21315470389999999</v>
          </cell>
          <cell r="G606">
            <v>0</v>
          </cell>
          <cell r="H606">
            <v>3.4600539899999998E-2</v>
          </cell>
          <cell r="I606" t="str">
            <v>Other Household Travel</v>
          </cell>
          <cell r="J606" t="str">
            <v>2022/23</v>
          </cell>
        </row>
        <row r="607">
          <cell r="A607" t="str">
            <v>08 MANAWATU-WANGANUI</v>
          </cell>
          <cell r="B607">
            <v>9</v>
          </cell>
          <cell r="C607">
            <v>2028</v>
          </cell>
          <cell r="D607">
            <v>2</v>
          </cell>
          <cell r="E607">
            <v>5</v>
          </cell>
          <cell r="F607">
            <v>0.18530111320000001</v>
          </cell>
          <cell r="G607">
            <v>0</v>
          </cell>
          <cell r="H607">
            <v>3.0384627599999998E-2</v>
          </cell>
          <cell r="I607" t="str">
            <v>Other Household Travel</v>
          </cell>
          <cell r="J607" t="str">
            <v>2027/28</v>
          </cell>
        </row>
        <row r="608">
          <cell r="A608" t="str">
            <v>08 MANAWATU-WANGANUI</v>
          </cell>
          <cell r="B608">
            <v>9</v>
          </cell>
          <cell r="C608">
            <v>2033</v>
          </cell>
          <cell r="D608">
            <v>2</v>
          </cell>
          <cell r="E608">
            <v>5</v>
          </cell>
          <cell r="F608">
            <v>0.16652488570000001</v>
          </cell>
          <cell r="G608">
            <v>0</v>
          </cell>
          <cell r="H608">
            <v>2.7585458100000002E-2</v>
          </cell>
          <cell r="I608" t="str">
            <v>Other Household Travel</v>
          </cell>
          <cell r="J608" t="str">
            <v>2032/33</v>
          </cell>
        </row>
        <row r="609">
          <cell r="A609" t="str">
            <v>08 MANAWATU-WANGANUI</v>
          </cell>
          <cell r="B609">
            <v>9</v>
          </cell>
          <cell r="C609">
            <v>2038</v>
          </cell>
          <cell r="D609">
            <v>2</v>
          </cell>
          <cell r="E609">
            <v>5</v>
          </cell>
          <cell r="F609">
            <v>0.14889280620000001</v>
          </cell>
          <cell r="G609">
            <v>0</v>
          </cell>
          <cell r="H609">
            <v>2.5204759199999999E-2</v>
          </cell>
          <cell r="I609" t="str">
            <v>Other Household Travel</v>
          </cell>
          <cell r="J609" t="str">
            <v>2037/38</v>
          </cell>
        </row>
        <row r="610">
          <cell r="A610" t="str">
            <v>08 MANAWATU-WANGANUI</v>
          </cell>
          <cell r="B610">
            <v>9</v>
          </cell>
          <cell r="C610">
            <v>2043</v>
          </cell>
          <cell r="D610">
            <v>2</v>
          </cell>
          <cell r="E610">
            <v>5</v>
          </cell>
          <cell r="F610">
            <v>0.1302357136</v>
          </cell>
          <cell r="G610">
            <v>0</v>
          </cell>
          <cell r="H610">
            <v>2.2511562499999999E-2</v>
          </cell>
          <cell r="I610" t="str">
            <v>Other Household Travel</v>
          </cell>
          <cell r="J610" t="str">
            <v>2042/43</v>
          </cell>
        </row>
        <row r="611">
          <cell r="A611" t="str">
            <v>08 MANAWATU-WANGANUI</v>
          </cell>
          <cell r="B611">
            <v>10</v>
          </cell>
          <cell r="C611">
            <v>2013</v>
          </cell>
          <cell r="D611">
            <v>7</v>
          </cell>
          <cell r="E611">
            <v>9</v>
          </cell>
          <cell r="F611">
            <v>0.39226351739999998</v>
          </cell>
          <cell r="G611">
            <v>21.972430028000002</v>
          </cell>
          <cell r="H611">
            <v>0.73590853769999998</v>
          </cell>
          <cell r="I611" t="str">
            <v>Air/Non-Local PT</v>
          </cell>
          <cell r="J611" t="str">
            <v>2012/13</v>
          </cell>
        </row>
        <row r="612">
          <cell r="A612" t="str">
            <v>08 MANAWATU-WANGANUI</v>
          </cell>
          <cell r="B612">
            <v>10</v>
          </cell>
          <cell r="C612">
            <v>2018</v>
          </cell>
          <cell r="D612">
            <v>7</v>
          </cell>
          <cell r="E612">
            <v>9</v>
          </cell>
          <cell r="F612">
            <v>0.475095975</v>
          </cell>
          <cell r="G612">
            <v>24.136963859000002</v>
          </cell>
          <cell r="H612">
            <v>0.85405637199999995</v>
          </cell>
          <cell r="I612" t="str">
            <v>Air/Non-Local PT</v>
          </cell>
          <cell r="J612" t="str">
            <v>2017/18</v>
          </cell>
        </row>
        <row r="613">
          <cell r="A613" t="str">
            <v>08 MANAWATU-WANGANUI</v>
          </cell>
          <cell r="B613">
            <v>10</v>
          </cell>
          <cell r="C613">
            <v>2023</v>
          </cell>
          <cell r="D613">
            <v>7</v>
          </cell>
          <cell r="E613">
            <v>9</v>
          </cell>
          <cell r="F613">
            <v>0.54861016559999998</v>
          </cell>
          <cell r="G613">
            <v>26.530540343999998</v>
          </cell>
          <cell r="H613">
            <v>0.97529474650000003</v>
          </cell>
          <cell r="I613" t="str">
            <v>Air/Non-Local PT</v>
          </cell>
          <cell r="J613" t="str">
            <v>2022/23</v>
          </cell>
        </row>
        <row r="614">
          <cell r="A614" t="str">
            <v>08 MANAWATU-WANGANUI</v>
          </cell>
          <cell r="B614">
            <v>10</v>
          </cell>
          <cell r="C614">
            <v>2028</v>
          </cell>
          <cell r="D614">
            <v>7</v>
          </cell>
          <cell r="E614">
            <v>9</v>
          </cell>
          <cell r="F614">
            <v>0.62068960849999999</v>
          </cell>
          <cell r="G614">
            <v>30.078330421</v>
          </cell>
          <cell r="H614">
            <v>1.1223978608</v>
          </cell>
          <cell r="I614" t="str">
            <v>Air/Non-Local PT</v>
          </cell>
          <cell r="J614" t="str">
            <v>2027/28</v>
          </cell>
        </row>
        <row r="615">
          <cell r="A615" t="str">
            <v>08 MANAWATU-WANGANUI</v>
          </cell>
          <cell r="B615">
            <v>10</v>
          </cell>
          <cell r="C615">
            <v>2033</v>
          </cell>
          <cell r="D615">
            <v>7</v>
          </cell>
          <cell r="E615">
            <v>9</v>
          </cell>
          <cell r="F615">
            <v>0.68124318319999999</v>
          </cell>
          <cell r="G615">
            <v>31.894626069000001</v>
          </cell>
          <cell r="H615">
            <v>1.2362531486999999</v>
          </cell>
          <cell r="I615" t="str">
            <v>Air/Non-Local PT</v>
          </cell>
          <cell r="J615" t="str">
            <v>2032/33</v>
          </cell>
        </row>
        <row r="616">
          <cell r="A616" t="str">
            <v>08 MANAWATU-WANGANUI</v>
          </cell>
          <cell r="B616">
            <v>10</v>
          </cell>
          <cell r="C616">
            <v>2038</v>
          </cell>
          <cell r="D616">
            <v>7</v>
          </cell>
          <cell r="E616">
            <v>9</v>
          </cell>
          <cell r="F616">
            <v>0.72370683449999995</v>
          </cell>
          <cell r="G616">
            <v>30.865594077000001</v>
          </cell>
          <cell r="H616">
            <v>1.2792573837000001</v>
          </cell>
          <cell r="I616" t="str">
            <v>Air/Non-Local PT</v>
          </cell>
          <cell r="J616" t="str">
            <v>2037/38</v>
          </cell>
        </row>
        <row r="617">
          <cell r="A617" t="str">
            <v>08 MANAWATU-WANGANUI</v>
          </cell>
          <cell r="B617">
            <v>10</v>
          </cell>
          <cell r="C617">
            <v>2043</v>
          </cell>
          <cell r="D617">
            <v>7</v>
          </cell>
          <cell r="E617">
            <v>9</v>
          </cell>
          <cell r="F617">
            <v>0.76613102109999998</v>
          </cell>
          <cell r="G617">
            <v>29.56399858</v>
          </cell>
          <cell r="H617">
            <v>1.3168224413</v>
          </cell>
          <cell r="I617" t="str">
            <v>Air/Non-Local PT</v>
          </cell>
          <cell r="J617" t="str">
            <v>2042/43</v>
          </cell>
        </row>
        <row r="618">
          <cell r="A618" t="str">
            <v>08 MANAWATU-WANGANUI</v>
          </cell>
          <cell r="B618">
            <v>11</v>
          </cell>
          <cell r="C618">
            <v>2013</v>
          </cell>
          <cell r="D618">
            <v>12</v>
          </cell>
          <cell r="E618">
            <v>37</v>
          </cell>
          <cell r="F618">
            <v>1.6982787315000001</v>
          </cell>
          <cell r="G618">
            <v>38.826541556000002</v>
          </cell>
          <cell r="H618">
            <v>0.76899050189999996</v>
          </cell>
          <cell r="I618" t="str">
            <v>Non-Household Travel</v>
          </cell>
          <cell r="J618" t="str">
            <v>2012/13</v>
          </cell>
        </row>
        <row r="619">
          <cell r="A619" t="str">
            <v>08 MANAWATU-WANGANUI</v>
          </cell>
          <cell r="B619">
            <v>11</v>
          </cell>
          <cell r="C619">
            <v>2018</v>
          </cell>
          <cell r="D619">
            <v>12</v>
          </cell>
          <cell r="E619">
            <v>37</v>
          </cell>
          <cell r="F619">
            <v>1.7344107607999999</v>
          </cell>
          <cell r="G619">
            <v>38.914123939</v>
          </cell>
          <cell r="H619">
            <v>0.78580530569999996</v>
          </cell>
          <cell r="I619" t="str">
            <v>Non-Household Travel</v>
          </cell>
          <cell r="J619" t="str">
            <v>2017/18</v>
          </cell>
        </row>
        <row r="620">
          <cell r="A620" t="str">
            <v>08 MANAWATU-WANGANUI</v>
          </cell>
          <cell r="B620">
            <v>11</v>
          </cell>
          <cell r="C620">
            <v>2023</v>
          </cell>
          <cell r="D620">
            <v>12</v>
          </cell>
          <cell r="E620">
            <v>37</v>
          </cell>
          <cell r="F620">
            <v>1.7859000431000001</v>
          </cell>
          <cell r="G620">
            <v>40.031645490999999</v>
          </cell>
          <cell r="H620">
            <v>0.81469435909999999</v>
          </cell>
          <cell r="I620" t="str">
            <v>Non-Household Travel</v>
          </cell>
          <cell r="J620" t="str">
            <v>2022/23</v>
          </cell>
        </row>
        <row r="621">
          <cell r="A621" t="str">
            <v>08 MANAWATU-WANGANUI</v>
          </cell>
          <cell r="B621">
            <v>11</v>
          </cell>
          <cell r="C621">
            <v>2028</v>
          </cell>
          <cell r="D621">
            <v>12</v>
          </cell>
          <cell r="E621">
            <v>37</v>
          </cell>
          <cell r="F621">
            <v>1.8628661629000001</v>
          </cell>
          <cell r="G621">
            <v>42.284798403000003</v>
          </cell>
          <cell r="H621">
            <v>0.85743060260000004</v>
          </cell>
          <cell r="I621" t="str">
            <v>Non-Household Travel</v>
          </cell>
          <cell r="J621" t="str">
            <v>2027/28</v>
          </cell>
        </row>
        <row r="622">
          <cell r="A622" t="str">
            <v>08 MANAWATU-WANGANUI</v>
          </cell>
          <cell r="B622">
            <v>11</v>
          </cell>
          <cell r="C622">
            <v>2033</v>
          </cell>
          <cell r="D622">
            <v>12</v>
          </cell>
          <cell r="E622">
            <v>37</v>
          </cell>
          <cell r="F622">
            <v>1.8868938638999999</v>
          </cell>
          <cell r="G622">
            <v>44.390455101000001</v>
          </cell>
          <cell r="H622">
            <v>0.88847103829999996</v>
          </cell>
          <cell r="I622" t="str">
            <v>Non-Household Travel</v>
          </cell>
          <cell r="J622" t="str">
            <v>2032/33</v>
          </cell>
        </row>
        <row r="623">
          <cell r="A623" t="str">
            <v>08 MANAWATU-WANGANUI</v>
          </cell>
          <cell r="B623">
            <v>11</v>
          </cell>
          <cell r="C623">
            <v>2038</v>
          </cell>
          <cell r="D623">
            <v>12</v>
          </cell>
          <cell r="E623">
            <v>37</v>
          </cell>
          <cell r="F623">
            <v>1.8646595249</v>
          </cell>
          <cell r="G623">
            <v>44.878203646000003</v>
          </cell>
          <cell r="H623">
            <v>0.89057526440000001</v>
          </cell>
          <cell r="I623" t="str">
            <v>Non-Household Travel</v>
          </cell>
          <cell r="J623" t="str">
            <v>2037/38</v>
          </cell>
        </row>
        <row r="624">
          <cell r="A624" t="str">
            <v>08 MANAWATU-WANGANUI</v>
          </cell>
          <cell r="B624">
            <v>11</v>
          </cell>
          <cell r="C624">
            <v>2043</v>
          </cell>
          <cell r="D624">
            <v>12</v>
          </cell>
          <cell r="E624">
            <v>37</v>
          </cell>
          <cell r="F624">
            <v>1.8234838419999999</v>
          </cell>
          <cell r="G624">
            <v>45.026903941999997</v>
          </cell>
          <cell r="H624">
            <v>0.88566785569999995</v>
          </cell>
          <cell r="I624" t="str">
            <v>Non-Household Travel</v>
          </cell>
          <cell r="J624" t="str">
            <v>2042/43</v>
          </cell>
        </row>
        <row r="625">
          <cell r="A625" t="str">
            <v>09 WELLINGTON</v>
          </cell>
          <cell r="B625">
            <v>0</v>
          </cell>
          <cell r="C625">
            <v>2013</v>
          </cell>
          <cell r="D625">
            <v>941</v>
          </cell>
          <cell r="E625">
            <v>4221</v>
          </cell>
          <cell r="F625">
            <v>182.29561206</v>
          </cell>
          <cell r="G625">
            <v>126.13499251</v>
          </cell>
          <cell r="H625">
            <v>32.985647405999998</v>
          </cell>
          <cell r="I625" t="str">
            <v>Pedestrian</v>
          </cell>
          <cell r="J625" t="str">
            <v>2012/13</v>
          </cell>
        </row>
        <row r="626">
          <cell r="A626" t="str">
            <v>09 WELLINGTON</v>
          </cell>
          <cell r="B626">
            <v>0</v>
          </cell>
          <cell r="C626">
            <v>2018</v>
          </cell>
          <cell r="D626">
            <v>941</v>
          </cell>
          <cell r="E626">
            <v>4221</v>
          </cell>
          <cell r="F626">
            <v>195.41046102999999</v>
          </cell>
          <cell r="G626">
            <v>135.98196798000001</v>
          </cell>
          <cell r="H626">
            <v>35.535702491999999</v>
          </cell>
          <cell r="I626" t="str">
            <v>Pedestrian</v>
          </cell>
          <cell r="J626" t="str">
            <v>2017/18</v>
          </cell>
        </row>
        <row r="627">
          <cell r="A627" t="str">
            <v>09 WELLINGTON</v>
          </cell>
          <cell r="B627">
            <v>0</v>
          </cell>
          <cell r="C627">
            <v>2023</v>
          </cell>
          <cell r="D627">
            <v>941</v>
          </cell>
          <cell r="E627">
            <v>4221</v>
          </cell>
          <cell r="F627">
            <v>202.44457084000001</v>
          </cell>
          <cell r="G627">
            <v>141.19355490000001</v>
          </cell>
          <cell r="H627">
            <v>36.843545433999999</v>
          </cell>
          <cell r="I627" t="str">
            <v>Pedestrian</v>
          </cell>
          <cell r="J627" t="str">
            <v>2022/23</v>
          </cell>
        </row>
        <row r="628">
          <cell r="A628" t="str">
            <v>09 WELLINGTON</v>
          </cell>
          <cell r="B628">
            <v>0</v>
          </cell>
          <cell r="C628">
            <v>2028</v>
          </cell>
          <cell r="D628">
            <v>941</v>
          </cell>
          <cell r="E628">
            <v>4221</v>
          </cell>
          <cell r="F628">
            <v>209.19577819</v>
          </cell>
          <cell r="G628">
            <v>146.41929726000001</v>
          </cell>
          <cell r="H628">
            <v>38.311459913</v>
          </cell>
          <cell r="I628" t="str">
            <v>Pedestrian</v>
          </cell>
          <cell r="J628" t="str">
            <v>2027/28</v>
          </cell>
        </row>
        <row r="629">
          <cell r="A629" t="str">
            <v>09 WELLINGTON</v>
          </cell>
          <cell r="B629">
            <v>0</v>
          </cell>
          <cell r="C629">
            <v>2033</v>
          </cell>
          <cell r="D629">
            <v>941</v>
          </cell>
          <cell r="E629">
            <v>4221</v>
          </cell>
          <cell r="F629">
            <v>215.14329817000001</v>
          </cell>
          <cell r="G629">
            <v>151.29976058</v>
          </cell>
          <cell r="H629">
            <v>39.644547842999998</v>
          </cell>
          <cell r="I629" t="str">
            <v>Pedestrian</v>
          </cell>
          <cell r="J629" t="str">
            <v>2032/33</v>
          </cell>
        </row>
        <row r="630">
          <cell r="A630" t="str">
            <v>09 WELLINGTON</v>
          </cell>
          <cell r="B630">
            <v>0</v>
          </cell>
          <cell r="C630">
            <v>2038</v>
          </cell>
          <cell r="D630">
            <v>941</v>
          </cell>
          <cell r="E630">
            <v>4221</v>
          </cell>
          <cell r="F630">
            <v>220.86656511000001</v>
          </cell>
          <cell r="G630">
            <v>156.43219998000001</v>
          </cell>
          <cell r="H630">
            <v>40.888281010999997</v>
          </cell>
          <cell r="I630" t="str">
            <v>Pedestrian</v>
          </cell>
          <cell r="J630" t="str">
            <v>2037/38</v>
          </cell>
        </row>
        <row r="631">
          <cell r="A631" t="str">
            <v>09 WELLINGTON</v>
          </cell>
          <cell r="B631">
            <v>0</v>
          </cell>
          <cell r="C631">
            <v>2043</v>
          </cell>
          <cell r="D631">
            <v>941</v>
          </cell>
          <cell r="E631">
            <v>4221</v>
          </cell>
          <cell r="F631">
            <v>225.78151946</v>
          </cell>
          <cell r="G631">
            <v>161.16905208</v>
          </cell>
          <cell r="H631">
            <v>42.021579107999997</v>
          </cell>
          <cell r="I631" t="str">
            <v>Pedestrian</v>
          </cell>
          <cell r="J631" t="str">
            <v>2042/43</v>
          </cell>
        </row>
        <row r="632">
          <cell r="A632" t="str">
            <v>09 WELLINGTON</v>
          </cell>
          <cell r="B632">
            <v>1</v>
          </cell>
          <cell r="C632">
            <v>2013</v>
          </cell>
          <cell r="D632">
            <v>54</v>
          </cell>
          <cell r="E632">
            <v>164</v>
          </cell>
          <cell r="F632">
            <v>8.1327913301999999</v>
          </cell>
          <cell r="G632">
            <v>52.092312808000003</v>
          </cell>
          <cell r="H632">
            <v>3.6978261002999999</v>
          </cell>
          <cell r="I632" t="str">
            <v>Cyclist</v>
          </cell>
          <cell r="J632" t="str">
            <v>2012/13</v>
          </cell>
        </row>
        <row r="633">
          <cell r="A633" t="str">
            <v>09 WELLINGTON</v>
          </cell>
          <cell r="B633">
            <v>1</v>
          </cell>
          <cell r="C633">
            <v>2018</v>
          </cell>
          <cell r="D633">
            <v>54</v>
          </cell>
          <cell r="E633">
            <v>164</v>
          </cell>
          <cell r="F633">
            <v>8.4455327274999998</v>
          </cell>
          <cell r="G633">
            <v>56.208191462000002</v>
          </cell>
          <cell r="H633">
            <v>3.9817902190000001</v>
          </cell>
          <cell r="I633" t="str">
            <v>Cyclist</v>
          </cell>
          <cell r="J633" t="str">
            <v>2017/18</v>
          </cell>
        </row>
        <row r="634">
          <cell r="A634" t="str">
            <v>09 WELLINGTON</v>
          </cell>
          <cell r="B634">
            <v>1</v>
          </cell>
          <cell r="C634">
            <v>2023</v>
          </cell>
          <cell r="D634">
            <v>54</v>
          </cell>
          <cell r="E634">
            <v>164</v>
          </cell>
          <cell r="F634">
            <v>8.5378166344000004</v>
          </cell>
          <cell r="G634">
            <v>58.267945685999997</v>
          </cell>
          <cell r="H634">
            <v>4.1143884247000004</v>
          </cell>
          <cell r="I634" t="str">
            <v>Cyclist</v>
          </cell>
          <cell r="J634" t="str">
            <v>2022/23</v>
          </cell>
        </row>
        <row r="635">
          <cell r="A635" t="str">
            <v>09 WELLINGTON</v>
          </cell>
          <cell r="B635">
            <v>1</v>
          </cell>
          <cell r="C635">
            <v>2028</v>
          </cell>
          <cell r="D635">
            <v>54</v>
          </cell>
          <cell r="E635">
            <v>164</v>
          </cell>
          <cell r="F635">
            <v>8.3763557579000008</v>
          </cell>
          <cell r="G635">
            <v>60.828494468000002</v>
          </cell>
          <cell r="H635">
            <v>4.2509635308</v>
          </cell>
          <cell r="I635" t="str">
            <v>Cyclist</v>
          </cell>
          <cell r="J635" t="str">
            <v>2027/28</v>
          </cell>
        </row>
        <row r="636">
          <cell r="A636" t="str">
            <v>09 WELLINGTON</v>
          </cell>
          <cell r="B636">
            <v>1</v>
          </cell>
          <cell r="C636">
            <v>2033</v>
          </cell>
          <cell r="D636">
            <v>54</v>
          </cell>
          <cell r="E636">
            <v>164</v>
          </cell>
          <cell r="F636">
            <v>8.3302547782000005</v>
          </cell>
          <cell r="G636">
            <v>66.012993046000005</v>
          </cell>
          <cell r="H636">
            <v>4.5479570425000002</v>
          </cell>
          <cell r="I636" t="str">
            <v>Cyclist</v>
          </cell>
          <cell r="J636" t="str">
            <v>2032/33</v>
          </cell>
        </row>
        <row r="637">
          <cell r="A637" t="str">
            <v>09 WELLINGTON</v>
          </cell>
          <cell r="B637">
            <v>1</v>
          </cell>
          <cell r="C637">
            <v>2038</v>
          </cell>
          <cell r="D637">
            <v>54</v>
          </cell>
          <cell r="E637">
            <v>164</v>
          </cell>
          <cell r="F637">
            <v>8.4155079156999992</v>
          </cell>
          <cell r="G637">
            <v>73.308999201000006</v>
          </cell>
          <cell r="H637">
            <v>4.9832096256999998</v>
          </cell>
          <cell r="I637" t="str">
            <v>Cyclist</v>
          </cell>
          <cell r="J637" t="str">
            <v>2037/38</v>
          </cell>
        </row>
        <row r="638">
          <cell r="A638" t="str">
            <v>09 WELLINGTON</v>
          </cell>
          <cell r="B638">
            <v>1</v>
          </cell>
          <cell r="C638">
            <v>2043</v>
          </cell>
          <cell r="D638">
            <v>54</v>
          </cell>
          <cell r="E638">
            <v>164</v>
          </cell>
          <cell r="F638">
            <v>8.5020881517000007</v>
          </cell>
          <cell r="G638">
            <v>81.016922836000006</v>
          </cell>
          <cell r="H638">
            <v>5.4421418192999997</v>
          </cell>
          <cell r="I638" t="str">
            <v>Cyclist</v>
          </cell>
          <cell r="J638" t="str">
            <v>2042/43</v>
          </cell>
        </row>
        <row r="639">
          <cell r="A639" t="str">
            <v>09 WELLINGTON</v>
          </cell>
          <cell r="B639">
            <v>2</v>
          </cell>
          <cell r="C639">
            <v>2013</v>
          </cell>
          <cell r="D639">
            <v>1130</v>
          </cell>
          <cell r="E639">
            <v>8488</v>
          </cell>
          <cell r="F639">
            <v>377.93589692</v>
          </cell>
          <cell r="G639">
            <v>3481.4296611999998</v>
          </cell>
          <cell r="H639">
            <v>92.129697210000003</v>
          </cell>
          <cell r="I639" t="str">
            <v>Light Vehicle Driver</v>
          </cell>
          <cell r="J639" t="str">
            <v>2012/13</v>
          </cell>
        </row>
        <row r="640">
          <cell r="A640" t="str">
            <v>09 WELLINGTON</v>
          </cell>
          <cell r="B640">
            <v>2</v>
          </cell>
          <cell r="C640">
            <v>2018</v>
          </cell>
          <cell r="D640">
            <v>1130</v>
          </cell>
          <cell r="E640">
            <v>8488</v>
          </cell>
          <cell r="F640">
            <v>403.68901804000001</v>
          </cell>
          <cell r="G640">
            <v>3734.7458326999999</v>
          </cell>
          <cell r="H640">
            <v>98.888412060999997</v>
          </cell>
          <cell r="I640" t="str">
            <v>Light Vehicle Driver</v>
          </cell>
          <cell r="J640" t="str">
            <v>2017/18</v>
          </cell>
        </row>
        <row r="641">
          <cell r="A641" t="str">
            <v>09 WELLINGTON</v>
          </cell>
          <cell r="B641">
            <v>2</v>
          </cell>
          <cell r="C641">
            <v>2023</v>
          </cell>
          <cell r="D641">
            <v>1130</v>
          </cell>
          <cell r="E641">
            <v>8488</v>
          </cell>
          <cell r="F641">
            <v>420.26146378999999</v>
          </cell>
          <cell r="G641">
            <v>3893.8505936000001</v>
          </cell>
          <cell r="H641">
            <v>103.22082046</v>
          </cell>
          <cell r="I641" t="str">
            <v>Light Vehicle Driver</v>
          </cell>
          <cell r="J641" t="str">
            <v>2022/23</v>
          </cell>
        </row>
        <row r="642">
          <cell r="A642" t="str">
            <v>09 WELLINGTON</v>
          </cell>
          <cell r="B642">
            <v>2</v>
          </cell>
          <cell r="C642">
            <v>2028</v>
          </cell>
          <cell r="D642">
            <v>1130</v>
          </cell>
          <cell r="E642">
            <v>8488</v>
          </cell>
          <cell r="F642">
            <v>443.52970985000002</v>
          </cell>
          <cell r="G642">
            <v>4126.3290004999999</v>
          </cell>
          <cell r="H642">
            <v>109.17294712</v>
          </cell>
          <cell r="I642" t="str">
            <v>Light Vehicle Driver</v>
          </cell>
          <cell r="J642" t="str">
            <v>2027/28</v>
          </cell>
        </row>
        <row r="643">
          <cell r="A643" t="str">
            <v>09 WELLINGTON</v>
          </cell>
          <cell r="B643">
            <v>2</v>
          </cell>
          <cell r="C643">
            <v>2033</v>
          </cell>
          <cell r="D643">
            <v>1130</v>
          </cell>
          <cell r="E643">
            <v>8488</v>
          </cell>
          <cell r="F643">
            <v>465.26615237999999</v>
          </cell>
          <cell r="G643">
            <v>4361.1903928000002</v>
          </cell>
          <cell r="H643">
            <v>114.91557026</v>
          </cell>
          <cell r="I643" t="str">
            <v>Light Vehicle Driver</v>
          </cell>
          <cell r="J643" t="str">
            <v>2032/33</v>
          </cell>
        </row>
        <row r="644">
          <cell r="A644" t="str">
            <v>09 WELLINGTON</v>
          </cell>
          <cell r="B644">
            <v>2</v>
          </cell>
          <cell r="C644">
            <v>2038</v>
          </cell>
          <cell r="D644">
            <v>1130</v>
          </cell>
          <cell r="E644">
            <v>8488</v>
          </cell>
          <cell r="F644">
            <v>482.94373567000002</v>
          </cell>
          <cell r="G644">
            <v>4559.8959955</v>
          </cell>
          <cell r="H644">
            <v>119.80245468</v>
          </cell>
          <cell r="I644" t="str">
            <v>Light Vehicle Driver</v>
          </cell>
          <cell r="J644" t="str">
            <v>2037/38</v>
          </cell>
        </row>
        <row r="645">
          <cell r="A645" t="str">
            <v>09 WELLINGTON</v>
          </cell>
          <cell r="B645">
            <v>2</v>
          </cell>
          <cell r="C645">
            <v>2043</v>
          </cell>
          <cell r="D645">
            <v>1130</v>
          </cell>
          <cell r="E645">
            <v>8488</v>
          </cell>
          <cell r="F645">
            <v>498.55732760000001</v>
          </cell>
          <cell r="G645">
            <v>4739.7416266999999</v>
          </cell>
          <cell r="H645">
            <v>124.21460869000001</v>
          </cell>
          <cell r="I645" t="str">
            <v>Light Vehicle Driver</v>
          </cell>
          <cell r="J645" t="str">
            <v>2042/43</v>
          </cell>
        </row>
        <row r="646">
          <cell r="A646" t="str">
            <v>09 WELLINGTON</v>
          </cell>
          <cell r="B646">
            <v>3</v>
          </cell>
          <cell r="C646">
            <v>2013</v>
          </cell>
          <cell r="D646">
            <v>936</v>
          </cell>
          <cell r="E646">
            <v>4461</v>
          </cell>
          <cell r="F646">
            <v>183.55442563</v>
          </cell>
          <cell r="G646">
            <v>2005.8850408000001</v>
          </cell>
          <cell r="H646">
            <v>48.966354531</v>
          </cell>
          <cell r="I646" t="str">
            <v>Light Vehicle Passenger</v>
          </cell>
          <cell r="J646" t="str">
            <v>2012/13</v>
          </cell>
        </row>
        <row r="647">
          <cell r="A647" t="str">
            <v>09 WELLINGTON</v>
          </cell>
          <cell r="B647">
            <v>3</v>
          </cell>
          <cell r="C647">
            <v>2018</v>
          </cell>
          <cell r="D647">
            <v>936</v>
          </cell>
          <cell r="E647">
            <v>4461</v>
          </cell>
          <cell r="F647">
            <v>190.91427575</v>
          </cell>
          <cell r="G647">
            <v>2061.3885857</v>
          </cell>
          <cell r="H647">
            <v>50.681857047000001</v>
          </cell>
          <cell r="I647" t="str">
            <v>Light Vehicle Passenger</v>
          </cell>
          <cell r="J647" t="str">
            <v>2017/18</v>
          </cell>
        </row>
        <row r="648">
          <cell r="A648" t="str">
            <v>09 WELLINGTON</v>
          </cell>
          <cell r="B648">
            <v>3</v>
          </cell>
          <cell r="C648">
            <v>2023</v>
          </cell>
          <cell r="D648">
            <v>936</v>
          </cell>
          <cell r="E648">
            <v>4461</v>
          </cell>
          <cell r="F648">
            <v>195.13534315000001</v>
          </cell>
          <cell r="G648">
            <v>2081.6169740999999</v>
          </cell>
          <cell r="H648">
            <v>51.467476109000003</v>
          </cell>
          <cell r="I648" t="str">
            <v>Light Vehicle Passenger</v>
          </cell>
          <cell r="J648" t="str">
            <v>2022/23</v>
          </cell>
        </row>
        <row r="649">
          <cell r="A649" t="str">
            <v>09 WELLINGTON</v>
          </cell>
          <cell r="B649">
            <v>3</v>
          </cell>
          <cell r="C649">
            <v>2028</v>
          </cell>
          <cell r="D649">
            <v>936</v>
          </cell>
          <cell r="E649">
            <v>4461</v>
          </cell>
          <cell r="F649">
            <v>199.28770459</v>
          </cell>
          <cell r="G649">
            <v>2127.1259315000002</v>
          </cell>
          <cell r="H649">
            <v>52.574226039000003</v>
          </cell>
          <cell r="I649" t="str">
            <v>Light Vehicle Passenger</v>
          </cell>
          <cell r="J649" t="str">
            <v>2027/28</v>
          </cell>
        </row>
        <row r="650">
          <cell r="A650" t="str">
            <v>09 WELLINGTON</v>
          </cell>
          <cell r="B650">
            <v>3</v>
          </cell>
          <cell r="C650">
            <v>2033</v>
          </cell>
          <cell r="D650">
            <v>936</v>
          </cell>
          <cell r="E650">
            <v>4461</v>
          </cell>
          <cell r="F650">
            <v>203.33669255999999</v>
          </cell>
          <cell r="G650">
            <v>2173.2460959</v>
          </cell>
          <cell r="H650">
            <v>53.67067187</v>
          </cell>
          <cell r="I650" t="str">
            <v>Light Vehicle Passenger</v>
          </cell>
          <cell r="J650" t="str">
            <v>2032/33</v>
          </cell>
        </row>
        <row r="651">
          <cell r="A651" t="str">
            <v>09 WELLINGTON</v>
          </cell>
          <cell r="B651">
            <v>3</v>
          </cell>
          <cell r="C651">
            <v>2038</v>
          </cell>
          <cell r="D651">
            <v>936</v>
          </cell>
          <cell r="E651">
            <v>4461</v>
          </cell>
          <cell r="F651">
            <v>206.51740670999999</v>
          </cell>
          <cell r="G651">
            <v>2203.7873046999998</v>
          </cell>
          <cell r="H651">
            <v>54.400864646000002</v>
          </cell>
          <cell r="I651" t="str">
            <v>Light Vehicle Passenger</v>
          </cell>
          <cell r="J651" t="str">
            <v>2037/38</v>
          </cell>
        </row>
        <row r="652">
          <cell r="A652" t="str">
            <v>09 WELLINGTON</v>
          </cell>
          <cell r="B652">
            <v>3</v>
          </cell>
          <cell r="C652">
            <v>2043</v>
          </cell>
          <cell r="D652">
            <v>936</v>
          </cell>
          <cell r="E652">
            <v>4461</v>
          </cell>
          <cell r="F652">
            <v>208.41985266</v>
          </cell>
          <cell r="G652">
            <v>2221.8873815000002</v>
          </cell>
          <cell r="H652">
            <v>54.833946834000002</v>
          </cell>
          <cell r="I652" t="str">
            <v>Light Vehicle Passenger</v>
          </cell>
          <cell r="J652" t="str">
            <v>2042/43</v>
          </cell>
        </row>
        <row r="653">
          <cell r="A653" t="str">
            <v>09 WELLINGTON</v>
          </cell>
          <cell r="B653">
            <v>4</v>
          </cell>
          <cell r="C653">
            <v>2013</v>
          </cell>
          <cell r="D653">
            <v>31</v>
          </cell>
          <cell r="E653">
            <v>51</v>
          </cell>
          <cell r="F653">
            <v>2.3579512121000001</v>
          </cell>
          <cell r="G653">
            <v>19.359252680000001</v>
          </cell>
          <cell r="H653">
            <v>0.76229285280000003</v>
          </cell>
          <cell r="J653" t="str">
            <v>2012/13</v>
          </cell>
        </row>
        <row r="654">
          <cell r="A654" t="str">
            <v>09 WELLINGTON</v>
          </cell>
          <cell r="B654">
            <v>4</v>
          </cell>
          <cell r="C654">
            <v>2018</v>
          </cell>
          <cell r="D654">
            <v>31</v>
          </cell>
          <cell r="E654">
            <v>51</v>
          </cell>
          <cell r="F654">
            <v>2.6096777248</v>
          </cell>
          <cell r="G654">
            <v>20.870338469</v>
          </cell>
          <cell r="H654">
            <v>0.83114396690000003</v>
          </cell>
          <cell r="J654" t="str">
            <v>2017/18</v>
          </cell>
        </row>
        <row r="655">
          <cell r="A655" t="str">
            <v>09 WELLINGTON</v>
          </cell>
          <cell r="B655">
            <v>4</v>
          </cell>
          <cell r="C655">
            <v>2023</v>
          </cell>
          <cell r="D655">
            <v>31</v>
          </cell>
          <cell r="E655">
            <v>51</v>
          </cell>
          <cell r="F655">
            <v>2.7683039984</v>
          </cell>
          <cell r="G655">
            <v>22.262005342999998</v>
          </cell>
          <cell r="H655">
            <v>0.89051783979999999</v>
          </cell>
          <cell r="J655" t="str">
            <v>2022/23</v>
          </cell>
        </row>
        <row r="656">
          <cell r="A656" t="str">
            <v>09 WELLINGTON</v>
          </cell>
          <cell r="B656">
            <v>4</v>
          </cell>
          <cell r="C656">
            <v>2028</v>
          </cell>
          <cell r="D656">
            <v>31</v>
          </cell>
          <cell r="E656">
            <v>51</v>
          </cell>
          <cell r="F656">
            <v>2.9263181496000001</v>
          </cell>
          <cell r="G656">
            <v>24.309593308</v>
          </cell>
          <cell r="H656">
            <v>0.96930699379999996</v>
          </cell>
          <cell r="J656" t="str">
            <v>2027/28</v>
          </cell>
        </row>
        <row r="657">
          <cell r="A657" t="str">
            <v>09 WELLINGTON</v>
          </cell>
          <cell r="B657">
            <v>4</v>
          </cell>
          <cell r="C657">
            <v>2033</v>
          </cell>
          <cell r="D657">
            <v>31</v>
          </cell>
          <cell r="E657">
            <v>51</v>
          </cell>
          <cell r="F657">
            <v>3.0734515014000001</v>
          </cell>
          <cell r="G657">
            <v>26.326827371</v>
          </cell>
          <cell r="H657">
            <v>1.0378713101999999</v>
          </cell>
          <cell r="J657" t="str">
            <v>2032/33</v>
          </cell>
        </row>
        <row r="658">
          <cell r="A658" t="str">
            <v>09 WELLINGTON</v>
          </cell>
          <cell r="B658">
            <v>4</v>
          </cell>
          <cell r="C658">
            <v>2038</v>
          </cell>
          <cell r="D658">
            <v>31</v>
          </cell>
          <cell r="E658">
            <v>51</v>
          </cell>
          <cell r="F658">
            <v>3.2063250814000002</v>
          </cell>
          <cell r="G658">
            <v>27.969559895</v>
          </cell>
          <cell r="H658">
            <v>1.0880160775000001</v>
          </cell>
          <cell r="J658" t="str">
            <v>2037/38</v>
          </cell>
        </row>
        <row r="659">
          <cell r="A659" t="str">
            <v>09 WELLINGTON</v>
          </cell>
          <cell r="B659">
            <v>4</v>
          </cell>
          <cell r="C659">
            <v>2043</v>
          </cell>
          <cell r="D659">
            <v>31</v>
          </cell>
          <cell r="E659">
            <v>51</v>
          </cell>
          <cell r="F659">
            <v>3.3256707772</v>
          </cell>
          <cell r="G659">
            <v>29.409127783999999</v>
          </cell>
          <cell r="H659">
            <v>1.1320938256999999</v>
          </cell>
          <cell r="J659" t="str">
            <v>2042/43</v>
          </cell>
        </row>
        <row r="660">
          <cell r="A660" t="str">
            <v>09 WELLINGTON</v>
          </cell>
          <cell r="B660">
            <v>5</v>
          </cell>
          <cell r="C660">
            <v>2013</v>
          </cell>
          <cell r="D660">
            <v>16</v>
          </cell>
          <cell r="E660">
            <v>64</v>
          </cell>
          <cell r="F660">
            <v>2.4968267649999998</v>
          </cell>
          <cell r="G660">
            <v>24.444631151999999</v>
          </cell>
          <cell r="H660">
            <v>0.71073078609999996</v>
          </cell>
          <cell r="I660" t="str">
            <v>Motorcyclist</v>
          </cell>
          <cell r="J660" t="str">
            <v>2012/13</v>
          </cell>
        </row>
        <row r="661">
          <cell r="A661" t="str">
            <v>09 WELLINGTON</v>
          </cell>
          <cell r="B661">
            <v>5</v>
          </cell>
          <cell r="C661">
            <v>2018</v>
          </cell>
          <cell r="D661">
            <v>16</v>
          </cell>
          <cell r="E661">
            <v>64</v>
          </cell>
          <cell r="F661">
            <v>2.6697112401999998</v>
          </cell>
          <cell r="G661">
            <v>24.915436018000001</v>
          </cell>
          <cell r="H661">
            <v>0.73986955409999999</v>
          </cell>
          <cell r="I661" t="str">
            <v>Motorcyclist</v>
          </cell>
          <cell r="J661" t="str">
            <v>2017/18</v>
          </cell>
        </row>
        <row r="662">
          <cell r="A662" t="str">
            <v>09 WELLINGTON</v>
          </cell>
          <cell r="B662">
            <v>5</v>
          </cell>
          <cell r="C662">
            <v>2023</v>
          </cell>
          <cell r="D662">
            <v>16</v>
          </cell>
          <cell r="E662">
            <v>64</v>
          </cell>
          <cell r="F662">
            <v>2.7376842686999998</v>
          </cell>
          <cell r="G662">
            <v>24.889414937000002</v>
          </cell>
          <cell r="H662">
            <v>0.74320626089999997</v>
          </cell>
          <cell r="I662" t="str">
            <v>Motorcyclist</v>
          </cell>
          <cell r="J662" t="str">
            <v>2022/23</v>
          </cell>
        </row>
        <row r="663">
          <cell r="A663" t="str">
            <v>09 WELLINGTON</v>
          </cell>
          <cell r="B663">
            <v>5</v>
          </cell>
          <cell r="C663">
            <v>2028</v>
          </cell>
          <cell r="D663">
            <v>16</v>
          </cell>
          <cell r="E663">
            <v>64</v>
          </cell>
          <cell r="F663">
            <v>2.8298805211000002</v>
          </cell>
          <cell r="G663">
            <v>25.78215307</v>
          </cell>
          <cell r="H663">
            <v>0.76260897319999998</v>
          </cell>
          <cell r="I663" t="str">
            <v>Motorcyclist</v>
          </cell>
          <cell r="J663" t="str">
            <v>2027/28</v>
          </cell>
        </row>
        <row r="664">
          <cell r="A664" t="str">
            <v>09 WELLINGTON</v>
          </cell>
          <cell r="B664">
            <v>5</v>
          </cell>
          <cell r="C664">
            <v>2033</v>
          </cell>
          <cell r="D664">
            <v>16</v>
          </cell>
          <cell r="E664">
            <v>64</v>
          </cell>
          <cell r="F664">
            <v>2.9428362749999999</v>
          </cell>
          <cell r="G664">
            <v>27.432653900999998</v>
          </cell>
          <cell r="H664">
            <v>0.80182981499999995</v>
          </cell>
          <cell r="I664" t="str">
            <v>Motorcyclist</v>
          </cell>
          <cell r="J664" t="str">
            <v>2032/33</v>
          </cell>
        </row>
        <row r="665">
          <cell r="A665" t="str">
            <v>09 WELLINGTON</v>
          </cell>
          <cell r="B665">
            <v>5</v>
          </cell>
          <cell r="C665">
            <v>2038</v>
          </cell>
          <cell r="D665">
            <v>16</v>
          </cell>
          <cell r="E665">
            <v>64</v>
          </cell>
          <cell r="F665">
            <v>3.0203811453</v>
          </cell>
          <cell r="G665">
            <v>28.798171240999999</v>
          </cell>
          <cell r="H665">
            <v>0.83540665889999999</v>
          </cell>
          <cell r="I665" t="str">
            <v>Motorcyclist</v>
          </cell>
          <cell r="J665" t="str">
            <v>2037/38</v>
          </cell>
        </row>
        <row r="666">
          <cell r="A666" t="str">
            <v>09 WELLINGTON</v>
          </cell>
          <cell r="B666">
            <v>5</v>
          </cell>
          <cell r="C666">
            <v>2043</v>
          </cell>
          <cell r="D666">
            <v>16</v>
          </cell>
          <cell r="E666">
            <v>64</v>
          </cell>
          <cell r="F666">
            <v>3.0618537293000001</v>
          </cell>
          <cell r="G666">
            <v>29.808710197</v>
          </cell>
          <cell r="H666">
            <v>0.85781365980000002</v>
          </cell>
          <cell r="I666" t="str">
            <v>Motorcyclist</v>
          </cell>
          <cell r="J666" t="str">
            <v>2042/43</v>
          </cell>
        </row>
        <row r="667">
          <cell r="A667" t="str">
            <v>09 WELLINGTON</v>
          </cell>
          <cell r="B667">
            <v>6</v>
          </cell>
          <cell r="C667">
            <v>2013</v>
          </cell>
          <cell r="D667">
            <v>94</v>
          </cell>
          <cell r="E667">
            <v>228</v>
          </cell>
          <cell r="F667">
            <v>10.165258230999999</v>
          </cell>
          <cell r="G667">
            <v>251.12727889999999</v>
          </cell>
          <cell r="H667">
            <v>5.5268751299999996</v>
          </cell>
          <cell r="I667" t="str">
            <v>Local Train</v>
          </cell>
          <cell r="J667" t="str">
            <v>2012/13</v>
          </cell>
        </row>
        <row r="668">
          <cell r="A668" t="str">
            <v>09 WELLINGTON</v>
          </cell>
          <cell r="B668">
            <v>6</v>
          </cell>
          <cell r="C668">
            <v>2018</v>
          </cell>
          <cell r="D668">
            <v>94</v>
          </cell>
          <cell r="E668">
            <v>228</v>
          </cell>
          <cell r="F668">
            <v>11.09745863</v>
          </cell>
          <cell r="G668">
            <v>272.30099767000002</v>
          </cell>
          <cell r="H668">
            <v>5.9722013032000003</v>
          </cell>
          <cell r="I668" t="str">
            <v>Local Train</v>
          </cell>
          <cell r="J668" t="str">
            <v>2017/18</v>
          </cell>
        </row>
        <row r="669">
          <cell r="A669" t="str">
            <v>09 WELLINGTON</v>
          </cell>
          <cell r="B669">
            <v>6</v>
          </cell>
          <cell r="C669">
            <v>2023</v>
          </cell>
          <cell r="D669">
            <v>94</v>
          </cell>
          <cell r="E669">
            <v>228</v>
          </cell>
          <cell r="F669">
            <v>11.700891197000001</v>
          </cell>
          <cell r="G669">
            <v>287.57689847</v>
          </cell>
          <cell r="H669">
            <v>6.2906053629000001</v>
          </cell>
          <cell r="I669" t="str">
            <v>Local Train</v>
          </cell>
          <cell r="J669" t="str">
            <v>2022/23</v>
          </cell>
        </row>
        <row r="670">
          <cell r="A670" t="str">
            <v>09 WELLINGTON</v>
          </cell>
          <cell r="B670">
            <v>6</v>
          </cell>
          <cell r="C670">
            <v>2028</v>
          </cell>
          <cell r="D670">
            <v>94</v>
          </cell>
          <cell r="E670">
            <v>228</v>
          </cell>
          <cell r="F670">
            <v>12.041057675999999</v>
          </cell>
          <cell r="G670">
            <v>299.35808040000001</v>
          </cell>
          <cell r="H670">
            <v>6.5361995627000002</v>
          </cell>
          <cell r="I670" t="str">
            <v>Local Train</v>
          </cell>
          <cell r="J670" t="str">
            <v>2027/28</v>
          </cell>
        </row>
        <row r="671">
          <cell r="A671" t="str">
            <v>09 WELLINGTON</v>
          </cell>
          <cell r="B671">
            <v>6</v>
          </cell>
          <cell r="C671">
            <v>2033</v>
          </cell>
          <cell r="D671">
            <v>94</v>
          </cell>
          <cell r="E671">
            <v>228</v>
          </cell>
          <cell r="F671">
            <v>12.251059278</v>
          </cell>
          <cell r="G671">
            <v>304.57215048</v>
          </cell>
          <cell r="H671">
            <v>6.6633950145999998</v>
          </cell>
          <cell r="I671" t="str">
            <v>Local Train</v>
          </cell>
          <cell r="J671" t="str">
            <v>2032/33</v>
          </cell>
        </row>
        <row r="672">
          <cell r="A672" t="str">
            <v>09 WELLINGTON</v>
          </cell>
          <cell r="B672">
            <v>6</v>
          </cell>
          <cell r="C672">
            <v>2038</v>
          </cell>
          <cell r="D672">
            <v>94</v>
          </cell>
          <cell r="E672">
            <v>228</v>
          </cell>
          <cell r="F672">
            <v>12.545954514</v>
          </cell>
          <cell r="G672">
            <v>311.21015441999998</v>
          </cell>
          <cell r="H672">
            <v>6.8175096367999997</v>
          </cell>
          <cell r="I672" t="str">
            <v>Local Train</v>
          </cell>
          <cell r="J672" t="str">
            <v>2037/38</v>
          </cell>
        </row>
        <row r="673">
          <cell r="A673" t="str">
            <v>09 WELLINGTON</v>
          </cell>
          <cell r="B673">
            <v>6</v>
          </cell>
          <cell r="C673">
            <v>2043</v>
          </cell>
          <cell r="D673">
            <v>94</v>
          </cell>
          <cell r="E673">
            <v>228</v>
          </cell>
          <cell r="F673">
            <v>12.780011669</v>
          </cell>
          <cell r="G673">
            <v>315.94281543</v>
          </cell>
          <cell r="H673">
            <v>6.9350759681999996</v>
          </cell>
          <cell r="I673" t="str">
            <v>Local Train</v>
          </cell>
          <cell r="J673" t="str">
            <v>2042/43</v>
          </cell>
        </row>
        <row r="674">
          <cell r="A674" t="str">
            <v>09 WELLINGTON</v>
          </cell>
          <cell r="B674">
            <v>7</v>
          </cell>
          <cell r="C674">
            <v>2013</v>
          </cell>
          <cell r="D674">
            <v>211</v>
          </cell>
          <cell r="E674">
            <v>552</v>
          </cell>
          <cell r="F674">
            <v>24.821335829999999</v>
          </cell>
          <cell r="G674">
            <v>187.412398</v>
          </cell>
          <cell r="H674">
            <v>9.3956469076999998</v>
          </cell>
          <cell r="I674" t="str">
            <v>Local Bus</v>
          </cell>
          <cell r="J674" t="str">
            <v>2012/13</v>
          </cell>
        </row>
        <row r="675">
          <cell r="A675" t="str">
            <v>09 WELLINGTON</v>
          </cell>
          <cell r="B675">
            <v>7</v>
          </cell>
          <cell r="C675">
            <v>2018</v>
          </cell>
          <cell r="D675">
            <v>211</v>
          </cell>
          <cell r="E675">
            <v>552</v>
          </cell>
          <cell r="F675">
            <v>26.179189936</v>
          </cell>
          <cell r="G675">
            <v>199.36998972000001</v>
          </cell>
          <cell r="H675">
            <v>9.9524310807000003</v>
          </cell>
          <cell r="I675" t="str">
            <v>Local Bus</v>
          </cell>
          <cell r="J675" t="str">
            <v>2017/18</v>
          </cell>
        </row>
        <row r="676">
          <cell r="A676" t="str">
            <v>09 WELLINGTON</v>
          </cell>
          <cell r="B676">
            <v>7</v>
          </cell>
          <cell r="C676">
            <v>2023</v>
          </cell>
          <cell r="D676">
            <v>211</v>
          </cell>
          <cell r="E676">
            <v>552</v>
          </cell>
          <cell r="F676">
            <v>26.782264098999999</v>
          </cell>
          <cell r="G676">
            <v>204.78550231</v>
          </cell>
          <cell r="H676">
            <v>10.221614831</v>
          </cell>
          <cell r="I676" t="str">
            <v>Local Bus</v>
          </cell>
          <cell r="J676" t="str">
            <v>2022/23</v>
          </cell>
        </row>
        <row r="677">
          <cell r="A677" t="str">
            <v>09 WELLINGTON</v>
          </cell>
          <cell r="B677">
            <v>7</v>
          </cell>
          <cell r="C677">
            <v>2028</v>
          </cell>
          <cell r="D677">
            <v>211</v>
          </cell>
          <cell r="E677">
            <v>552</v>
          </cell>
          <cell r="F677">
            <v>26.876840296000001</v>
          </cell>
          <cell r="G677">
            <v>208.60145833000001</v>
          </cell>
          <cell r="H677">
            <v>10.277843769</v>
          </cell>
          <cell r="I677" t="str">
            <v>Local Bus</v>
          </cell>
          <cell r="J677" t="str">
            <v>2027/28</v>
          </cell>
        </row>
        <row r="678">
          <cell r="A678" t="str">
            <v>09 WELLINGTON</v>
          </cell>
          <cell r="B678">
            <v>7</v>
          </cell>
          <cell r="C678">
            <v>2033</v>
          </cell>
          <cell r="D678">
            <v>211</v>
          </cell>
          <cell r="E678">
            <v>552</v>
          </cell>
          <cell r="F678">
            <v>26.570308375</v>
          </cell>
          <cell r="G678">
            <v>210.43878918999999</v>
          </cell>
          <cell r="H678">
            <v>10.191776047999999</v>
          </cell>
          <cell r="I678" t="str">
            <v>Local Bus</v>
          </cell>
          <cell r="J678" t="str">
            <v>2032/33</v>
          </cell>
        </row>
        <row r="679">
          <cell r="A679" t="str">
            <v>09 WELLINGTON</v>
          </cell>
          <cell r="B679">
            <v>7</v>
          </cell>
          <cell r="C679">
            <v>2038</v>
          </cell>
          <cell r="D679">
            <v>211</v>
          </cell>
          <cell r="E679">
            <v>552</v>
          </cell>
          <cell r="F679">
            <v>26.094585173999999</v>
          </cell>
          <cell r="G679">
            <v>211.45580906999999</v>
          </cell>
          <cell r="H679">
            <v>10.057332625000001</v>
          </cell>
          <cell r="I679" t="str">
            <v>Local Bus</v>
          </cell>
          <cell r="J679" t="str">
            <v>2037/38</v>
          </cell>
        </row>
        <row r="680">
          <cell r="A680" t="str">
            <v>09 WELLINGTON</v>
          </cell>
          <cell r="B680">
            <v>7</v>
          </cell>
          <cell r="C680">
            <v>2043</v>
          </cell>
          <cell r="D680">
            <v>211</v>
          </cell>
          <cell r="E680">
            <v>552</v>
          </cell>
          <cell r="F680">
            <v>25.481608257000001</v>
          </cell>
          <cell r="G680">
            <v>211.28452615</v>
          </cell>
          <cell r="H680">
            <v>9.8641072621999992</v>
          </cell>
          <cell r="I680" t="str">
            <v>Local Bus</v>
          </cell>
          <cell r="J680" t="str">
            <v>2042/43</v>
          </cell>
        </row>
        <row r="681">
          <cell r="A681" t="str">
            <v>09 WELLINGTON</v>
          </cell>
          <cell r="B681">
            <v>8</v>
          </cell>
          <cell r="C681">
            <v>2013</v>
          </cell>
          <cell r="D681">
            <v>2</v>
          </cell>
          <cell r="E681">
            <v>4</v>
          </cell>
          <cell r="F681">
            <v>0.22615005399999999</v>
          </cell>
          <cell r="G681">
            <v>0</v>
          </cell>
          <cell r="H681">
            <v>5.6537513499999997E-2</v>
          </cell>
          <cell r="I681" t="str">
            <v>Local Ferry</v>
          </cell>
          <cell r="J681" t="str">
            <v>2012/13</v>
          </cell>
        </row>
        <row r="682">
          <cell r="A682" t="str">
            <v>09 WELLINGTON</v>
          </cell>
          <cell r="B682">
            <v>8</v>
          </cell>
          <cell r="C682">
            <v>2018</v>
          </cell>
          <cell r="D682">
            <v>2</v>
          </cell>
          <cell r="E682">
            <v>4</v>
          </cell>
          <cell r="F682">
            <v>0.2693852887</v>
          </cell>
          <cell r="G682">
            <v>0</v>
          </cell>
          <cell r="H682">
            <v>6.7346322200000003E-2</v>
          </cell>
          <cell r="I682" t="str">
            <v>Local Ferry</v>
          </cell>
          <cell r="J682" t="str">
            <v>2017/18</v>
          </cell>
        </row>
        <row r="683">
          <cell r="A683" t="str">
            <v>09 WELLINGTON</v>
          </cell>
          <cell r="B683">
            <v>8</v>
          </cell>
          <cell r="C683">
            <v>2023</v>
          </cell>
          <cell r="D683">
            <v>2</v>
          </cell>
          <cell r="E683">
            <v>4</v>
          </cell>
          <cell r="F683">
            <v>0.29641218809999997</v>
          </cell>
          <cell r="G683">
            <v>0</v>
          </cell>
          <cell r="H683">
            <v>7.4103047000000005E-2</v>
          </cell>
          <cell r="I683" t="str">
            <v>Local Ferry</v>
          </cell>
          <cell r="J683" t="str">
            <v>2022/23</v>
          </cell>
        </row>
        <row r="684">
          <cell r="A684" t="str">
            <v>09 WELLINGTON</v>
          </cell>
          <cell r="B684">
            <v>8</v>
          </cell>
          <cell r="C684">
            <v>2028</v>
          </cell>
          <cell r="D684">
            <v>2</v>
          </cell>
          <cell r="E684">
            <v>4</v>
          </cell>
          <cell r="F684">
            <v>0.32699941999999999</v>
          </cell>
          <cell r="G684">
            <v>0</v>
          </cell>
          <cell r="H684">
            <v>8.1749854999999996E-2</v>
          </cell>
          <cell r="I684" t="str">
            <v>Local Ferry</v>
          </cell>
          <cell r="J684" t="str">
            <v>2027/28</v>
          </cell>
        </row>
        <row r="685">
          <cell r="A685" t="str">
            <v>09 WELLINGTON</v>
          </cell>
          <cell r="B685">
            <v>8</v>
          </cell>
          <cell r="C685">
            <v>2033</v>
          </cell>
          <cell r="D685">
            <v>2</v>
          </cell>
          <cell r="E685">
            <v>4</v>
          </cell>
          <cell r="F685">
            <v>0.36098686619999998</v>
          </cell>
          <cell r="G685">
            <v>0</v>
          </cell>
          <cell r="H685">
            <v>9.0246716500000004E-2</v>
          </cell>
          <cell r="I685" t="str">
            <v>Local Ferry</v>
          </cell>
          <cell r="J685" t="str">
            <v>2032/33</v>
          </cell>
        </row>
        <row r="686">
          <cell r="A686" t="str">
            <v>09 WELLINGTON</v>
          </cell>
          <cell r="B686">
            <v>8</v>
          </cell>
          <cell r="C686">
            <v>2038</v>
          </cell>
          <cell r="D686">
            <v>2</v>
          </cell>
          <cell r="E686">
            <v>4</v>
          </cell>
          <cell r="F686">
            <v>0.40539583470000001</v>
          </cell>
          <cell r="G686">
            <v>0</v>
          </cell>
          <cell r="H686">
            <v>0.10134895870000001</v>
          </cell>
          <cell r="I686" t="str">
            <v>Local Ferry</v>
          </cell>
          <cell r="J686" t="str">
            <v>2037/38</v>
          </cell>
        </row>
        <row r="687">
          <cell r="A687" t="str">
            <v>09 WELLINGTON</v>
          </cell>
          <cell r="B687">
            <v>8</v>
          </cell>
          <cell r="C687">
            <v>2043</v>
          </cell>
          <cell r="D687">
            <v>2</v>
          </cell>
          <cell r="E687">
            <v>4</v>
          </cell>
          <cell r="F687">
            <v>0.45331101419999997</v>
          </cell>
          <cell r="G687">
            <v>0</v>
          </cell>
          <cell r="H687">
            <v>0.1133277536</v>
          </cell>
          <cell r="I687" t="str">
            <v>Local Ferry</v>
          </cell>
          <cell r="J687" t="str">
            <v>2042/43</v>
          </cell>
        </row>
        <row r="688">
          <cell r="A688" t="str">
            <v>09 WELLINGTON</v>
          </cell>
          <cell r="B688">
            <v>9</v>
          </cell>
          <cell r="C688">
            <v>2013</v>
          </cell>
          <cell r="D688">
            <v>7</v>
          </cell>
          <cell r="E688">
            <v>10</v>
          </cell>
          <cell r="F688">
            <v>0.33422365529999998</v>
          </cell>
          <cell r="G688">
            <v>0</v>
          </cell>
          <cell r="H688">
            <v>0.36538599710000003</v>
          </cell>
          <cell r="I688" t="str">
            <v>Other Household Travel</v>
          </cell>
          <cell r="J688" t="str">
            <v>2012/13</v>
          </cell>
        </row>
        <row r="689">
          <cell r="A689" t="str">
            <v>09 WELLINGTON</v>
          </cell>
          <cell r="B689">
            <v>9</v>
          </cell>
          <cell r="C689">
            <v>2018</v>
          </cell>
          <cell r="D689">
            <v>7</v>
          </cell>
          <cell r="E689">
            <v>10</v>
          </cell>
          <cell r="F689">
            <v>0.34319833830000002</v>
          </cell>
          <cell r="G689">
            <v>0</v>
          </cell>
          <cell r="H689">
            <v>0.34710272650000001</v>
          </cell>
          <cell r="I689" t="str">
            <v>Other Household Travel</v>
          </cell>
          <cell r="J689" t="str">
            <v>2017/18</v>
          </cell>
        </row>
        <row r="690">
          <cell r="A690" t="str">
            <v>09 WELLINGTON</v>
          </cell>
          <cell r="B690">
            <v>9</v>
          </cell>
          <cell r="C690">
            <v>2023</v>
          </cell>
          <cell r="D690">
            <v>7</v>
          </cell>
          <cell r="E690">
            <v>10</v>
          </cell>
          <cell r="F690">
            <v>0.35251805139999998</v>
          </cell>
          <cell r="G690">
            <v>0</v>
          </cell>
          <cell r="H690">
            <v>0.36285676319999999</v>
          </cell>
          <cell r="I690" t="str">
            <v>Other Household Travel</v>
          </cell>
          <cell r="J690" t="str">
            <v>2022/23</v>
          </cell>
        </row>
        <row r="691">
          <cell r="A691" t="str">
            <v>09 WELLINGTON</v>
          </cell>
          <cell r="B691">
            <v>9</v>
          </cell>
          <cell r="C691">
            <v>2028</v>
          </cell>
          <cell r="D691">
            <v>7</v>
          </cell>
          <cell r="E691">
            <v>10</v>
          </cell>
          <cell r="F691">
            <v>0.3550117928</v>
          </cell>
          <cell r="G691">
            <v>0</v>
          </cell>
          <cell r="H691">
            <v>0.41333741400000001</v>
          </cell>
          <cell r="I691" t="str">
            <v>Other Household Travel</v>
          </cell>
          <cell r="J691" t="str">
            <v>2027/28</v>
          </cell>
        </row>
        <row r="692">
          <cell r="A692" t="str">
            <v>09 WELLINGTON</v>
          </cell>
          <cell r="B692">
            <v>9</v>
          </cell>
          <cell r="C692">
            <v>2033</v>
          </cell>
          <cell r="D692">
            <v>7</v>
          </cell>
          <cell r="E692">
            <v>10</v>
          </cell>
          <cell r="F692">
            <v>0.34639727580000002</v>
          </cell>
          <cell r="G692">
            <v>0</v>
          </cell>
          <cell r="H692">
            <v>0.44816190700000003</v>
          </cell>
          <cell r="I692" t="str">
            <v>Other Household Travel</v>
          </cell>
          <cell r="J692" t="str">
            <v>2032/33</v>
          </cell>
        </row>
        <row r="693">
          <cell r="A693" t="str">
            <v>09 WELLINGTON</v>
          </cell>
          <cell r="B693">
            <v>9</v>
          </cell>
          <cell r="C693">
            <v>2038</v>
          </cell>
          <cell r="D693">
            <v>7</v>
          </cell>
          <cell r="E693">
            <v>10</v>
          </cell>
          <cell r="F693">
            <v>0.34124100730000001</v>
          </cell>
          <cell r="G693">
            <v>0</v>
          </cell>
          <cell r="H693">
            <v>0.44614213380000001</v>
          </cell>
          <cell r="I693" t="str">
            <v>Other Household Travel</v>
          </cell>
          <cell r="J693" t="str">
            <v>2037/38</v>
          </cell>
        </row>
        <row r="694">
          <cell r="A694" t="str">
            <v>09 WELLINGTON</v>
          </cell>
          <cell r="B694">
            <v>9</v>
          </cell>
          <cell r="C694">
            <v>2043</v>
          </cell>
          <cell r="D694">
            <v>7</v>
          </cell>
          <cell r="E694">
            <v>10</v>
          </cell>
          <cell r="F694">
            <v>0.332944721</v>
          </cell>
          <cell r="G694">
            <v>0</v>
          </cell>
          <cell r="H694">
            <v>0.43989059530000002</v>
          </cell>
          <cell r="I694" t="str">
            <v>Other Household Travel</v>
          </cell>
          <cell r="J694" t="str">
            <v>2042/43</v>
          </cell>
        </row>
        <row r="695">
          <cell r="A695" t="str">
            <v>09 WELLINGTON</v>
          </cell>
          <cell r="B695">
            <v>10</v>
          </cell>
          <cell r="C695">
            <v>2013</v>
          </cell>
          <cell r="D695">
            <v>44</v>
          </cell>
          <cell r="E695">
            <v>59</v>
          </cell>
          <cell r="F695">
            <v>2.6590020702000001</v>
          </cell>
          <cell r="G695">
            <v>67.715118274999995</v>
          </cell>
          <cell r="H695">
            <v>5.4178011538000002</v>
          </cell>
          <cell r="I695" t="str">
            <v>Air/Non-Local PT</v>
          </cell>
          <cell r="J695" t="str">
            <v>2012/13</v>
          </cell>
        </row>
        <row r="696">
          <cell r="A696" t="str">
            <v>09 WELLINGTON</v>
          </cell>
          <cell r="B696">
            <v>10</v>
          </cell>
          <cell r="C696">
            <v>2018</v>
          </cell>
          <cell r="D696">
            <v>44</v>
          </cell>
          <cell r="E696">
            <v>59</v>
          </cell>
          <cell r="F696">
            <v>2.9542157586000002</v>
          </cell>
          <cell r="G696">
            <v>81.012447488999996</v>
          </cell>
          <cell r="H696">
            <v>6.1094846866000001</v>
          </cell>
          <cell r="I696" t="str">
            <v>Air/Non-Local PT</v>
          </cell>
          <cell r="J696" t="str">
            <v>2017/18</v>
          </cell>
        </row>
        <row r="697">
          <cell r="A697" t="str">
            <v>09 WELLINGTON</v>
          </cell>
          <cell r="B697">
            <v>10</v>
          </cell>
          <cell r="C697">
            <v>2023</v>
          </cell>
          <cell r="D697">
            <v>44</v>
          </cell>
          <cell r="E697">
            <v>59</v>
          </cell>
          <cell r="F697">
            <v>3.2336290061000001</v>
          </cell>
          <cell r="G697">
            <v>91.400967867000006</v>
          </cell>
          <cell r="H697">
            <v>6.8239659501999999</v>
          </cell>
          <cell r="I697" t="str">
            <v>Air/Non-Local PT</v>
          </cell>
          <cell r="J697" t="str">
            <v>2022/23</v>
          </cell>
        </row>
        <row r="698">
          <cell r="A698" t="str">
            <v>09 WELLINGTON</v>
          </cell>
          <cell r="B698">
            <v>10</v>
          </cell>
          <cell r="C698">
            <v>2028</v>
          </cell>
          <cell r="D698">
            <v>44</v>
          </cell>
          <cell r="E698">
            <v>59</v>
          </cell>
          <cell r="F698">
            <v>3.5417901458999999</v>
          </cell>
          <cell r="G698">
            <v>95.239913705999996</v>
          </cell>
          <cell r="H698">
            <v>7.6393548725000002</v>
          </cell>
          <cell r="I698" t="str">
            <v>Air/Non-Local PT</v>
          </cell>
          <cell r="J698" t="str">
            <v>2027/28</v>
          </cell>
        </row>
        <row r="699">
          <cell r="A699" t="str">
            <v>09 WELLINGTON</v>
          </cell>
          <cell r="B699">
            <v>10</v>
          </cell>
          <cell r="C699">
            <v>2033</v>
          </cell>
          <cell r="D699">
            <v>44</v>
          </cell>
          <cell r="E699">
            <v>59</v>
          </cell>
          <cell r="F699">
            <v>3.7873565135999998</v>
          </cell>
          <cell r="G699">
            <v>96.132400657000005</v>
          </cell>
          <cell r="H699">
            <v>8.2685617483999998</v>
          </cell>
          <cell r="I699" t="str">
            <v>Air/Non-Local PT</v>
          </cell>
          <cell r="J699" t="str">
            <v>2032/33</v>
          </cell>
        </row>
        <row r="700">
          <cell r="A700" t="str">
            <v>09 WELLINGTON</v>
          </cell>
          <cell r="B700">
            <v>10</v>
          </cell>
          <cell r="C700">
            <v>2038</v>
          </cell>
          <cell r="D700">
            <v>44</v>
          </cell>
          <cell r="E700">
            <v>59</v>
          </cell>
          <cell r="F700">
            <v>3.9519749783</v>
          </cell>
          <cell r="G700">
            <v>94.800884729000003</v>
          </cell>
          <cell r="H700">
            <v>8.6195131686999993</v>
          </cell>
          <cell r="I700" t="str">
            <v>Air/Non-Local PT</v>
          </cell>
          <cell r="J700" t="str">
            <v>2037/38</v>
          </cell>
        </row>
        <row r="701">
          <cell r="A701" t="str">
            <v>09 WELLINGTON</v>
          </cell>
          <cell r="B701">
            <v>10</v>
          </cell>
          <cell r="C701">
            <v>2043</v>
          </cell>
          <cell r="D701">
            <v>44</v>
          </cell>
          <cell r="E701">
            <v>59</v>
          </cell>
          <cell r="F701">
            <v>4.0992399405000004</v>
          </cell>
          <cell r="G701">
            <v>92.569401909000007</v>
          </cell>
          <cell r="H701">
            <v>8.9167716327999997</v>
          </cell>
          <cell r="I701" t="str">
            <v>Air/Non-Local PT</v>
          </cell>
          <cell r="J701" t="str">
            <v>2042/43</v>
          </cell>
        </row>
        <row r="702">
          <cell r="A702" t="str">
            <v>09 WELLINGTON</v>
          </cell>
          <cell r="B702">
            <v>11</v>
          </cell>
          <cell r="C702">
            <v>2013</v>
          </cell>
          <cell r="D702">
            <v>22</v>
          </cell>
          <cell r="E702">
            <v>115</v>
          </cell>
          <cell r="F702">
            <v>5.4599503292999998</v>
          </cell>
          <cell r="G702">
            <v>100.96436647</v>
          </cell>
          <cell r="H702">
            <v>1.9758448391000001</v>
          </cell>
          <cell r="I702" t="str">
            <v>Non-Household Travel</v>
          </cell>
          <cell r="J702" t="str">
            <v>2012/13</v>
          </cell>
        </row>
        <row r="703">
          <cell r="A703" t="str">
            <v>09 WELLINGTON</v>
          </cell>
          <cell r="B703">
            <v>11</v>
          </cell>
          <cell r="C703">
            <v>2018</v>
          </cell>
          <cell r="D703">
            <v>22</v>
          </cell>
          <cell r="E703">
            <v>115</v>
          </cell>
          <cell r="F703">
            <v>5.7671372533999996</v>
          </cell>
          <cell r="G703">
            <v>116.78935635000001</v>
          </cell>
          <cell r="H703">
            <v>2.2332196406999998</v>
          </cell>
          <cell r="I703" t="str">
            <v>Non-Household Travel</v>
          </cell>
          <cell r="J703" t="str">
            <v>2017/18</v>
          </cell>
        </row>
        <row r="704">
          <cell r="A704" t="str">
            <v>09 WELLINGTON</v>
          </cell>
          <cell r="B704">
            <v>11</v>
          </cell>
          <cell r="C704">
            <v>2023</v>
          </cell>
          <cell r="D704">
            <v>22</v>
          </cell>
          <cell r="E704">
            <v>115</v>
          </cell>
          <cell r="F704">
            <v>5.8879472259999996</v>
          </cell>
          <cell r="G704">
            <v>125.38822621</v>
          </cell>
          <cell r="H704">
            <v>2.3677402706000001</v>
          </cell>
          <cell r="I704" t="str">
            <v>Non-Household Travel</v>
          </cell>
          <cell r="J704" t="str">
            <v>2022/23</v>
          </cell>
        </row>
        <row r="705">
          <cell r="A705" t="str">
            <v>09 WELLINGTON</v>
          </cell>
          <cell r="B705">
            <v>11</v>
          </cell>
          <cell r="C705">
            <v>2028</v>
          </cell>
          <cell r="D705">
            <v>22</v>
          </cell>
          <cell r="E705">
            <v>115</v>
          </cell>
          <cell r="F705">
            <v>6.0516291280000001</v>
          </cell>
          <cell r="G705">
            <v>128.13189874</v>
          </cell>
          <cell r="H705">
            <v>2.4166587253</v>
          </cell>
          <cell r="I705" t="str">
            <v>Non-Household Travel</v>
          </cell>
          <cell r="J705" t="str">
            <v>2027/28</v>
          </cell>
        </row>
        <row r="706">
          <cell r="A706" t="str">
            <v>09 WELLINGTON</v>
          </cell>
          <cell r="B706">
            <v>11</v>
          </cell>
          <cell r="C706">
            <v>2033</v>
          </cell>
          <cell r="D706">
            <v>22</v>
          </cell>
          <cell r="E706">
            <v>115</v>
          </cell>
          <cell r="F706">
            <v>6.3326004248999999</v>
          </cell>
          <cell r="G706">
            <v>129.75856182000001</v>
          </cell>
          <cell r="H706">
            <v>2.4766415582999999</v>
          </cell>
          <cell r="I706" t="str">
            <v>Non-Household Travel</v>
          </cell>
          <cell r="J706" t="str">
            <v>2032/33</v>
          </cell>
        </row>
        <row r="707">
          <cell r="A707" t="str">
            <v>09 WELLINGTON</v>
          </cell>
          <cell r="B707">
            <v>11</v>
          </cell>
          <cell r="C707">
            <v>2038</v>
          </cell>
          <cell r="D707">
            <v>22</v>
          </cell>
          <cell r="E707">
            <v>115</v>
          </cell>
          <cell r="F707">
            <v>6.7120895195000001</v>
          </cell>
          <cell r="G707">
            <v>133.43484276999999</v>
          </cell>
          <cell r="H707">
            <v>2.5925862259999999</v>
          </cell>
          <cell r="I707" t="str">
            <v>Non-Household Travel</v>
          </cell>
          <cell r="J707" t="str">
            <v>2037/38</v>
          </cell>
        </row>
        <row r="708">
          <cell r="A708" t="str">
            <v>09 WELLINGTON</v>
          </cell>
          <cell r="B708">
            <v>11</v>
          </cell>
          <cell r="C708">
            <v>2043</v>
          </cell>
          <cell r="D708">
            <v>22</v>
          </cell>
          <cell r="E708">
            <v>115</v>
          </cell>
          <cell r="F708">
            <v>7.1170027859999996</v>
          </cell>
          <cell r="G708">
            <v>137.11260496</v>
          </cell>
          <cell r="H708">
            <v>2.7128830374000001</v>
          </cell>
          <cell r="I708" t="str">
            <v>Non-Household Travel</v>
          </cell>
          <cell r="J708" t="str">
            <v>2042/43</v>
          </cell>
        </row>
        <row r="709">
          <cell r="A709" t="str">
            <v>10 NELS-MARLB-TAS</v>
          </cell>
          <cell r="B709">
            <v>0</v>
          </cell>
          <cell r="C709">
            <v>2013</v>
          </cell>
          <cell r="D709">
            <v>333</v>
          </cell>
          <cell r="E709">
            <v>1184</v>
          </cell>
          <cell r="F709">
            <v>34.609993433</v>
          </cell>
          <cell r="G709">
            <v>28.582749250999999</v>
          </cell>
          <cell r="H709">
            <v>7.2640217022</v>
          </cell>
          <cell r="I709" t="str">
            <v>Pedestrian</v>
          </cell>
          <cell r="J709" t="str">
            <v>2012/13</v>
          </cell>
        </row>
        <row r="710">
          <cell r="A710" t="str">
            <v>10 NELS-MARLB-TAS</v>
          </cell>
          <cell r="B710">
            <v>0</v>
          </cell>
          <cell r="C710">
            <v>2018</v>
          </cell>
          <cell r="D710">
            <v>333</v>
          </cell>
          <cell r="E710">
            <v>1184</v>
          </cell>
          <cell r="F710">
            <v>35.417205852000002</v>
          </cell>
          <cell r="G710">
            <v>29.223003223999999</v>
          </cell>
          <cell r="H710">
            <v>7.4203677990000001</v>
          </cell>
          <cell r="I710" t="str">
            <v>Pedestrian</v>
          </cell>
          <cell r="J710" t="str">
            <v>2017/18</v>
          </cell>
        </row>
        <row r="711">
          <cell r="A711" t="str">
            <v>10 NELS-MARLB-TAS</v>
          </cell>
          <cell r="B711">
            <v>0</v>
          </cell>
          <cell r="C711">
            <v>2023</v>
          </cell>
          <cell r="D711">
            <v>333</v>
          </cell>
          <cell r="E711">
            <v>1184</v>
          </cell>
          <cell r="F711">
            <v>36.125477848999999</v>
          </cell>
          <cell r="G711">
            <v>29.909322236000001</v>
          </cell>
          <cell r="H711">
            <v>7.5911260631999999</v>
          </cell>
          <cell r="I711" t="str">
            <v>Pedestrian</v>
          </cell>
          <cell r="J711" t="str">
            <v>2022/23</v>
          </cell>
        </row>
        <row r="712">
          <cell r="A712" t="str">
            <v>10 NELS-MARLB-TAS</v>
          </cell>
          <cell r="B712">
            <v>0</v>
          </cell>
          <cell r="C712">
            <v>2028</v>
          </cell>
          <cell r="D712">
            <v>333</v>
          </cell>
          <cell r="E712">
            <v>1184</v>
          </cell>
          <cell r="F712">
            <v>36.938436973000002</v>
          </cell>
          <cell r="G712">
            <v>30.705946702999999</v>
          </cell>
          <cell r="H712">
            <v>7.8309812380999997</v>
          </cell>
          <cell r="I712" t="str">
            <v>Pedestrian</v>
          </cell>
          <cell r="J712" t="str">
            <v>2027/28</v>
          </cell>
        </row>
        <row r="713">
          <cell r="A713" t="str">
            <v>10 NELS-MARLB-TAS</v>
          </cell>
          <cell r="B713">
            <v>0</v>
          </cell>
          <cell r="C713">
            <v>2033</v>
          </cell>
          <cell r="D713">
            <v>333</v>
          </cell>
          <cell r="E713">
            <v>1184</v>
          </cell>
          <cell r="F713">
            <v>36.855874675999999</v>
          </cell>
          <cell r="G713">
            <v>30.792554568</v>
          </cell>
          <cell r="H713">
            <v>7.8841497803999996</v>
          </cell>
          <cell r="I713" t="str">
            <v>Pedestrian</v>
          </cell>
          <cell r="J713" t="str">
            <v>2032/33</v>
          </cell>
        </row>
        <row r="714">
          <cell r="A714" t="str">
            <v>10 NELS-MARLB-TAS</v>
          </cell>
          <cell r="B714">
            <v>0</v>
          </cell>
          <cell r="C714">
            <v>2038</v>
          </cell>
          <cell r="D714">
            <v>333</v>
          </cell>
          <cell r="E714">
            <v>1184</v>
          </cell>
          <cell r="F714">
            <v>36.301007390999999</v>
          </cell>
          <cell r="G714">
            <v>30.26086823</v>
          </cell>
          <cell r="H714">
            <v>7.7824751199</v>
          </cell>
          <cell r="I714" t="str">
            <v>Pedestrian</v>
          </cell>
          <cell r="J714" t="str">
            <v>2037/38</v>
          </cell>
        </row>
        <row r="715">
          <cell r="A715" t="str">
            <v>10 NELS-MARLB-TAS</v>
          </cell>
          <cell r="B715">
            <v>0</v>
          </cell>
          <cell r="C715">
            <v>2043</v>
          </cell>
          <cell r="D715">
            <v>333</v>
          </cell>
          <cell r="E715">
            <v>1184</v>
          </cell>
          <cell r="F715">
            <v>35.566414233000003</v>
          </cell>
          <cell r="G715">
            <v>29.572586281</v>
          </cell>
          <cell r="H715">
            <v>7.6337694247999996</v>
          </cell>
          <cell r="I715" t="str">
            <v>Pedestrian</v>
          </cell>
          <cell r="J715" t="str">
            <v>2042/43</v>
          </cell>
        </row>
        <row r="716">
          <cell r="A716" t="str">
            <v>10 NELS-MARLB-TAS</v>
          </cell>
          <cell r="B716">
            <v>1</v>
          </cell>
          <cell r="C716">
            <v>2013</v>
          </cell>
          <cell r="D716">
            <v>42</v>
          </cell>
          <cell r="E716">
            <v>121</v>
          </cell>
          <cell r="F716">
            <v>2.9519642961999999</v>
          </cell>
          <cell r="G716">
            <v>10.809874027999999</v>
          </cell>
          <cell r="H716">
            <v>1.0417220854</v>
          </cell>
          <cell r="I716" t="str">
            <v>Cyclist</v>
          </cell>
          <cell r="J716" t="str">
            <v>2012/13</v>
          </cell>
        </row>
        <row r="717">
          <cell r="A717" t="str">
            <v>10 NELS-MARLB-TAS</v>
          </cell>
          <cell r="B717">
            <v>1</v>
          </cell>
          <cell r="C717">
            <v>2018</v>
          </cell>
          <cell r="D717">
            <v>42</v>
          </cell>
          <cell r="E717">
            <v>121</v>
          </cell>
          <cell r="F717">
            <v>2.899887842</v>
          </cell>
          <cell r="G717">
            <v>10.927844695999999</v>
          </cell>
          <cell r="H717">
            <v>1.0422374471</v>
          </cell>
          <cell r="I717" t="str">
            <v>Cyclist</v>
          </cell>
          <cell r="J717" t="str">
            <v>2017/18</v>
          </cell>
        </row>
        <row r="718">
          <cell r="A718" t="str">
            <v>10 NELS-MARLB-TAS</v>
          </cell>
          <cell r="B718">
            <v>1</v>
          </cell>
          <cell r="C718">
            <v>2023</v>
          </cell>
          <cell r="D718">
            <v>42</v>
          </cell>
          <cell r="E718">
            <v>121</v>
          </cell>
          <cell r="F718">
            <v>2.9017100856</v>
          </cell>
          <cell r="G718">
            <v>11.048346832</v>
          </cell>
          <cell r="H718">
            <v>1.0625443929</v>
          </cell>
          <cell r="I718" t="str">
            <v>Cyclist</v>
          </cell>
          <cell r="J718" t="str">
            <v>2022/23</v>
          </cell>
        </row>
        <row r="719">
          <cell r="A719" t="str">
            <v>10 NELS-MARLB-TAS</v>
          </cell>
          <cell r="B719">
            <v>1</v>
          </cell>
          <cell r="C719">
            <v>2028</v>
          </cell>
          <cell r="D719">
            <v>42</v>
          </cell>
          <cell r="E719">
            <v>121</v>
          </cell>
          <cell r="F719">
            <v>2.9721542998000001</v>
          </cell>
          <cell r="G719">
            <v>11.202897709</v>
          </cell>
          <cell r="H719">
            <v>1.1027322356</v>
          </cell>
          <cell r="I719" t="str">
            <v>Cyclist</v>
          </cell>
          <cell r="J719" t="str">
            <v>2027/28</v>
          </cell>
        </row>
        <row r="720">
          <cell r="A720" t="str">
            <v>10 NELS-MARLB-TAS</v>
          </cell>
          <cell r="B720">
            <v>1</v>
          </cell>
          <cell r="C720">
            <v>2033</v>
          </cell>
          <cell r="D720">
            <v>42</v>
          </cell>
          <cell r="E720">
            <v>121</v>
          </cell>
          <cell r="F720">
            <v>3.0230506895999998</v>
          </cell>
          <cell r="G720">
            <v>11.484674853</v>
          </cell>
          <cell r="H720">
            <v>1.1354628261999999</v>
          </cell>
          <cell r="I720" t="str">
            <v>Cyclist</v>
          </cell>
          <cell r="J720" t="str">
            <v>2032/33</v>
          </cell>
        </row>
        <row r="721">
          <cell r="A721" t="str">
            <v>10 NELS-MARLB-TAS</v>
          </cell>
          <cell r="B721">
            <v>1</v>
          </cell>
          <cell r="C721">
            <v>2038</v>
          </cell>
          <cell r="D721">
            <v>42</v>
          </cell>
          <cell r="E721">
            <v>121</v>
          </cell>
          <cell r="F721">
            <v>3.0543656516</v>
          </cell>
          <cell r="G721">
            <v>11.990854323000001</v>
          </cell>
          <cell r="H721">
            <v>1.1735142264</v>
          </cell>
          <cell r="I721" t="str">
            <v>Cyclist</v>
          </cell>
          <cell r="J721" t="str">
            <v>2037/38</v>
          </cell>
        </row>
        <row r="722">
          <cell r="A722" t="str">
            <v>10 NELS-MARLB-TAS</v>
          </cell>
          <cell r="B722">
            <v>1</v>
          </cell>
          <cell r="C722">
            <v>2043</v>
          </cell>
          <cell r="D722">
            <v>42</v>
          </cell>
          <cell r="E722">
            <v>121</v>
          </cell>
          <cell r="F722">
            <v>3.0687337319000001</v>
          </cell>
          <cell r="G722">
            <v>12.537835664999999</v>
          </cell>
          <cell r="H722">
            <v>1.2113408269999999</v>
          </cell>
          <cell r="I722" t="str">
            <v>Cyclist</v>
          </cell>
          <cell r="J722" t="str">
            <v>2042/43</v>
          </cell>
        </row>
        <row r="723">
          <cell r="A723" t="str">
            <v>10 NELS-MARLB-TAS</v>
          </cell>
          <cell r="B723">
            <v>2</v>
          </cell>
          <cell r="C723">
            <v>2013</v>
          </cell>
          <cell r="D723">
            <v>480</v>
          </cell>
          <cell r="E723">
            <v>3377</v>
          </cell>
          <cell r="F723">
            <v>98.206986838999995</v>
          </cell>
          <cell r="G723">
            <v>1012.1329009999999</v>
          </cell>
          <cell r="H723">
            <v>23.635435057999999</v>
          </cell>
          <cell r="I723" t="str">
            <v>Light Vehicle Driver</v>
          </cell>
          <cell r="J723" t="str">
            <v>2012/13</v>
          </cell>
        </row>
        <row r="724">
          <cell r="A724" t="str">
            <v>10 NELS-MARLB-TAS</v>
          </cell>
          <cell r="B724">
            <v>2</v>
          </cell>
          <cell r="C724">
            <v>2018</v>
          </cell>
          <cell r="D724">
            <v>480</v>
          </cell>
          <cell r="E724">
            <v>3377</v>
          </cell>
          <cell r="F724">
            <v>100.85199734</v>
          </cell>
          <cell r="G724">
            <v>1028.5948108</v>
          </cell>
          <cell r="H724">
            <v>24.185570049999999</v>
          </cell>
          <cell r="I724" t="str">
            <v>Light Vehicle Driver</v>
          </cell>
          <cell r="J724" t="str">
            <v>2017/18</v>
          </cell>
        </row>
        <row r="725">
          <cell r="A725" t="str">
            <v>10 NELS-MARLB-TAS</v>
          </cell>
          <cell r="B725">
            <v>2</v>
          </cell>
          <cell r="C725">
            <v>2023</v>
          </cell>
          <cell r="D725">
            <v>480</v>
          </cell>
          <cell r="E725">
            <v>3377</v>
          </cell>
          <cell r="F725">
            <v>101.80137316</v>
          </cell>
          <cell r="G725">
            <v>1024.2315793</v>
          </cell>
          <cell r="H725">
            <v>24.275456824999999</v>
          </cell>
          <cell r="I725" t="str">
            <v>Light Vehicle Driver</v>
          </cell>
          <cell r="J725" t="str">
            <v>2022/23</v>
          </cell>
        </row>
        <row r="726">
          <cell r="A726" t="str">
            <v>10 NELS-MARLB-TAS</v>
          </cell>
          <cell r="B726">
            <v>2</v>
          </cell>
          <cell r="C726">
            <v>2028</v>
          </cell>
          <cell r="D726">
            <v>480</v>
          </cell>
          <cell r="E726">
            <v>3377</v>
          </cell>
          <cell r="F726">
            <v>103.15834776</v>
          </cell>
          <cell r="G726">
            <v>1019.5234944</v>
          </cell>
          <cell r="H726">
            <v>24.398394851999999</v>
          </cell>
          <cell r="I726" t="str">
            <v>Light Vehicle Driver</v>
          </cell>
          <cell r="J726" t="str">
            <v>2027/28</v>
          </cell>
        </row>
        <row r="727">
          <cell r="A727" t="str">
            <v>10 NELS-MARLB-TAS</v>
          </cell>
          <cell r="B727">
            <v>2</v>
          </cell>
          <cell r="C727">
            <v>2033</v>
          </cell>
          <cell r="D727">
            <v>480</v>
          </cell>
          <cell r="E727">
            <v>3377</v>
          </cell>
          <cell r="F727">
            <v>104.20023347</v>
          </cell>
          <cell r="G727">
            <v>1012.1796174999999</v>
          </cell>
          <cell r="H727">
            <v>24.418411513999999</v>
          </cell>
          <cell r="I727" t="str">
            <v>Light Vehicle Driver</v>
          </cell>
          <cell r="J727" t="str">
            <v>2032/33</v>
          </cell>
        </row>
        <row r="728">
          <cell r="A728" t="str">
            <v>10 NELS-MARLB-TAS</v>
          </cell>
          <cell r="B728">
            <v>2</v>
          </cell>
          <cell r="C728">
            <v>2038</v>
          </cell>
          <cell r="D728">
            <v>480</v>
          </cell>
          <cell r="E728">
            <v>3377</v>
          </cell>
          <cell r="F728">
            <v>104.06778276999999</v>
          </cell>
          <cell r="G728">
            <v>995.71386820999999</v>
          </cell>
          <cell r="H728">
            <v>24.205204542000001</v>
          </cell>
          <cell r="I728" t="str">
            <v>Light Vehicle Driver</v>
          </cell>
          <cell r="J728" t="str">
            <v>2037/38</v>
          </cell>
        </row>
        <row r="729">
          <cell r="A729" t="str">
            <v>10 NELS-MARLB-TAS</v>
          </cell>
          <cell r="B729">
            <v>2</v>
          </cell>
          <cell r="C729">
            <v>2043</v>
          </cell>
          <cell r="D729">
            <v>480</v>
          </cell>
          <cell r="E729">
            <v>3377</v>
          </cell>
          <cell r="F729">
            <v>103.56117506</v>
          </cell>
          <cell r="G729">
            <v>976.86665338</v>
          </cell>
          <cell r="H729">
            <v>23.914254222</v>
          </cell>
          <cell r="I729" t="str">
            <v>Light Vehicle Driver</v>
          </cell>
          <cell r="J729" t="str">
            <v>2042/43</v>
          </cell>
        </row>
        <row r="730">
          <cell r="A730" t="str">
            <v>10 NELS-MARLB-TAS</v>
          </cell>
          <cell r="B730">
            <v>3</v>
          </cell>
          <cell r="C730">
            <v>2013</v>
          </cell>
          <cell r="D730">
            <v>346</v>
          </cell>
          <cell r="E730">
            <v>1569</v>
          </cell>
          <cell r="F730">
            <v>45.895773310999999</v>
          </cell>
          <cell r="G730">
            <v>528.66856442999995</v>
          </cell>
          <cell r="H730">
            <v>11.910351560000001</v>
          </cell>
          <cell r="I730" t="str">
            <v>Light Vehicle Passenger</v>
          </cell>
          <cell r="J730" t="str">
            <v>2012/13</v>
          </cell>
        </row>
        <row r="731">
          <cell r="A731" t="str">
            <v>10 NELS-MARLB-TAS</v>
          </cell>
          <cell r="B731">
            <v>3</v>
          </cell>
          <cell r="C731">
            <v>2018</v>
          </cell>
          <cell r="D731">
            <v>346</v>
          </cell>
          <cell r="E731">
            <v>1569</v>
          </cell>
          <cell r="F731">
            <v>44.975609468999998</v>
          </cell>
          <cell r="G731">
            <v>518.69765365000001</v>
          </cell>
          <cell r="H731">
            <v>11.755151273999999</v>
          </cell>
          <cell r="I731" t="str">
            <v>Light Vehicle Passenger</v>
          </cell>
          <cell r="J731" t="str">
            <v>2017/18</v>
          </cell>
        </row>
        <row r="732">
          <cell r="A732" t="str">
            <v>10 NELS-MARLB-TAS</v>
          </cell>
          <cell r="B732">
            <v>3</v>
          </cell>
          <cell r="C732">
            <v>2023</v>
          </cell>
          <cell r="D732">
            <v>346</v>
          </cell>
          <cell r="E732">
            <v>1569</v>
          </cell>
          <cell r="F732">
            <v>43.924492178000001</v>
          </cell>
          <cell r="G732">
            <v>505.09320416000003</v>
          </cell>
          <cell r="H732">
            <v>11.54083144</v>
          </cell>
          <cell r="I732" t="str">
            <v>Light Vehicle Passenger</v>
          </cell>
          <cell r="J732" t="str">
            <v>2022/23</v>
          </cell>
        </row>
        <row r="733">
          <cell r="A733" t="str">
            <v>10 NELS-MARLB-TAS</v>
          </cell>
          <cell r="B733">
            <v>3</v>
          </cell>
          <cell r="C733">
            <v>2028</v>
          </cell>
          <cell r="D733">
            <v>346</v>
          </cell>
          <cell r="E733">
            <v>1569</v>
          </cell>
          <cell r="F733">
            <v>43.217137411000003</v>
          </cell>
          <cell r="G733">
            <v>496.04773997000001</v>
          </cell>
          <cell r="H733">
            <v>11.405155666000001</v>
          </cell>
          <cell r="I733" t="str">
            <v>Light Vehicle Passenger</v>
          </cell>
          <cell r="J733" t="str">
            <v>2027/28</v>
          </cell>
        </row>
        <row r="734">
          <cell r="A734" t="str">
            <v>10 NELS-MARLB-TAS</v>
          </cell>
          <cell r="B734">
            <v>3</v>
          </cell>
          <cell r="C734">
            <v>2033</v>
          </cell>
          <cell r="D734">
            <v>346</v>
          </cell>
          <cell r="E734">
            <v>1569</v>
          </cell>
          <cell r="F734">
            <v>41.986550393000002</v>
          </cell>
          <cell r="G734">
            <v>482.45954670999998</v>
          </cell>
          <cell r="H734">
            <v>11.111590585</v>
          </cell>
          <cell r="I734" t="str">
            <v>Light Vehicle Passenger</v>
          </cell>
          <cell r="J734" t="str">
            <v>2032/33</v>
          </cell>
        </row>
        <row r="735">
          <cell r="A735" t="str">
            <v>10 NELS-MARLB-TAS</v>
          </cell>
          <cell r="B735">
            <v>3</v>
          </cell>
          <cell r="C735">
            <v>2038</v>
          </cell>
          <cell r="D735">
            <v>346</v>
          </cell>
          <cell r="E735">
            <v>1569</v>
          </cell>
          <cell r="F735">
            <v>40.622687116000002</v>
          </cell>
          <cell r="G735">
            <v>462.00135805999997</v>
          </cell>
          <cell r="H735">
            <v>10.704591055</v>
          </cell>
          <cell r="I735" t="str">
            <v>Light Vehicle Passenger</v>
          </cell>
          <cell r="J735" t="str">
            <v>2037/38</v>
          </cell>
        </row>
        <row r="736">
          <cell r="A736" t="str">
            <v>10 NELS-MARLB-TAS</v>
          </cell>
          <cell r="B736">
            <v>3</v>
          </cell>
          <cell r="C736">
            <v>2043</v>
          </cell>
          <cell r="D736">
            <v>346</v>
          </cell>
          <cell r="E736">
            <v>1569</v>
          </cell>
          <cell r="F736">
            <v>39.164240757000002</v>
          </cell>
          <cell r="G736">
            <v>441.12408691000002</v>
          </cell>
          <cell r="H736">
            <v>10.280822411999999</v>
          </cell>
          <cell r="I736" t="str">
            <v>Light Vehicle Passenger</v>
          </cell>
          <cell r="J736" t="str">
            <v>2042/43</v>
          </cell>
        </row>
        <row r="737">
          <cell r="A737" t="str">
            <v>10 NELS-MARLB-TAS</v>
          </cell>
          <cell r="B737">
            <v>4</v>
          </cell>
          <cell r="C737">
            <v>2013</v>
          </cell>
          <cell r="D737">
            <v>9</v>
          </cell>
          <cell r="E737">
            <v>16</v>
          </cell>
          <cell r="F737">
            <v>0.40359339709999997</v>
          </cell>
          <cell r="G737">
            <v>2.5483198348</v>
          </cell>
          <cell r="H737">
            <v>8.1526233300000001E-2</v>
          </cell>
          <cell r="J737" t="str">
            <v>2012/13</v>
          </cell>
        </row>
        <row r="738">
          <cell r="A738" t="str">
            <v>10 NELS-MARLB-TAS</v>
          </cell>
          <cell r="B738">
            <v>4</v>
          </cell>
          <cell r="C738">
            <v>2018</v>
          </cell>
          <cell r="D738">
            <v>9</v>
          </cell>
          <cell r="E738">
            <v>16</v>
          </cell>
          <cell r="F738">
            <v>0.47948403890000002</v>
          </cell>
          <cell r="G738">
            <v>2.8940678991</v>
          </cell>
          <cell r="H738">
            <v>9.4966874699999995E-2</v>
          </cell>
          <cell r="J738" t="str">
            <v>2017/18</v>
          </cell>
        </row>
        <row r="739">
          <cell r="A739" t="str">
            <v>10 NELS-MARLB-TAS</v>
          </cell>
          <cell r="B739">
            <v>4</v>
          </cell>
          <cell r="C739">
            <v>2023</v>
          </cell>
          <cell r="D739">
            <v>9</v>
          </cell>
          <cell r="E739">
            <v>16</v>
          </cell>
          <cell r="F739">
            <v>0.55006913390000001</v>
          </cell>
          <cell r="G739">
            <v>3.1140356643999998</v>
          </cell>
          <cell r="H739">
            <v>0.10677678559999999</v>
          </cell>
          <cell r="J739" t="str">
            <v>2022/23</v>
          </cell>
        </row>
        <row r="740">
          <cell r="A740" t="str">
            <v>10 NELS-MARLB-TAS</v>
          </cell>
          <cell r="B740">
            <v>4</v>
          </cell>
          <cell r="C740">
            <v>2028</v>
          </cell>
          <cell r="D740">
            <v>9</v>
          </cell>
          <cell r="E740">
            <v>16</v>
          </cell>
          <cell r="F740">
            <v>0.58926759319999999</v>
          </cell>
          <cell r="G740">
            <v>3.2140099964000002</v>
          </cell>
          <cell r="H740">
            <v>0.11304045779999999</v>
          </cell>
          <cell r="J740" t="str">
            <v>2027/28</v>
          </cell>
        </row>
        <row r="741">
          <cell r="A741" t="str">
            <v>10 NELS-MARLB-TAS</v>
          </cell>
          <cell r="B741">
            <v>4</v>
          </cell>
          <cell r="C741">
            <v>2033</v>
          </cell>
          <cell r="D741">
            <v>9</v>
          </cell>
          <cell r="E741">
            <v>16</v>
          </cell>
          <cell r="F741">
            <v>0.60919546950000003</v>
          </cell>
          <cell r="G741">
            <v>3.2916756289000002</v>
          </cell>
          <cell r="H741">
            <v>0.1164694267</v>
          </cell>
          <cell r="J741" t="str">
            <v>2032/33</v>
          </cell>
        </row>
        <row r="742">
          <cell r="A742" t="str">
            <v>10 NELS-MARLB-TAS</v>
          </cell>
          <cell r="B742">
            <v>4</v>
          </cell>
          <cell r="C742">
            <v>2038</v>
          </cell>
          <cell r="D742">
            <v>9</v>
          </cell>
          <cell r="E742">
            <v>16</v>
          </cell>
          <cell r="F742">
            <v>0.60860721439999999</v>
          </cell>
          <cell r="G742">
            <v>3.2651894737</v>
          </cell>
          <cell r="H742">
            <v>0.1157701194</v>
          </cell>
          <cell r="J742" t="str">
            <v>2037/38</v>
          </cell>
        </row>
        <row r="743">
          <cell r="A743" t="str">
            <v>10 NELS-MARLB-TAS</v>
          </cell>
          <cell r="B743">
            <v>4</v>
          </cell>
          <cell r="C743">
            <v>2043</v>
          </cell>
          <cell r="D743">
            <v>9</v>
          </cell>
          <cell r="E743">
            <v>16</v>
          </cell>
          <cell r="F743">
            <v>0.60587248680000005</v>
          </cell>
          <cell r="G743">
            <v>3.2335409019000001</v>
          </cell>
          <cell r="H743">
            <v>0.1146960569</v>
          </cell>
          <cell r="J743" t="str">
            <v>2042/43</v>
          </cell>
        </row>
        <row r="744">
          <cell r="A744" t="str">
            <v>10 NELS-MARLB-TAS</v>
          </cell>
          <cell r="B744">
            <v>5</v>
          </cell>
          <cell r="C744">
            <v>2013</v>
          </cell>
          <cell r="D744">
            <v>14</v>
          </cell>
          <cell r="E744">
            <v>52</v>
          </cell>
          <cell r="F744">
            <v>1.5095151791999999</v>
          </cell>
          <cell r="G744">
            <v>34.127286998000002</v>
          </cell>
          <cell r="H744">
            <v>0.60769230029999999</v>
          </cell>
          <cell r="I744" t="str">
            <v>Motorcyclist</v>
          </cell>
          <cell r="J744" t="str">
            <v>2012/13</v>
          </cell>
        </row>
        <row r="745">
          <cell r="A745" t="str">
            <v>10 NELS-MARLB-TAS</v>
          </cell>
          <cell r="B745">
            <v>5</v>
          </cell>
          <cell r="C745">
            <v>2018</v>
          </cell>
          <cell r="D745">
            <v>14</v>
          </cell>
          <cell r="E745">
            <v>52</v>
          </cell>
          <cell r="F745">
            <v>1.5308880861</v>
          </cell>
          <cell r="G745">
            <v>34.721545933000002</v>
          </cell>
          <cell r="H745">
            <v>0.61390887589999998</v>
          </cell>
          <cell r="I745" t="str">
            <v>Motorcyclist</v>
          </cell>
          <cell r="J745" t="str">
            <v>2017/18</v>
          </cell>
        </row>
        <row r="746">
          <cell r="A746" t="str">
            <v>10 NELS-MARLB-TAS</v>
          </cell>
          <cell r="B746">
            <v>5</v>
          </cell>
          <cell r="C746">
            <v>2023</v>
          </cell>
          <cell r="D746">
            <v>14</v>
          </cell>
          <cell r="E746">
            <v>52</v>
          </cell>
          <cell r="F746">
            <v>1.5529730632000001</v>
          </cell>
          <cell r="G746">
            <v>35.043246846999999</v>
          </cell>
          <cell r="H746">
            <v>0.61683895769999997</v>
          </cell>
          <cell r="I746" t="str">
            <v>Motorcyclist</v>
          </cell>
          <cell r="J746" t="str">
            <v>2022/23</v>
          </cell>
        </row>
        <row r="747">
          <cell r="A747" t="str">
            <v>10 NELS-MARLB-TAS</v>
          </cell>
          <cell r="B747">
            <v>5</v>
          </cell>
          <cell r="C747">
            <v>2028</v>
          </cell>
          <cell r="D747">
            <v>14</v>
          </cell>
          <cell r="E747">
            <v>52</v>
          </cell>
          <cell r="F747">
            <v>1.5774128507</v>
          </cell>
          <cell r="G747">
            <v>34.757693033999999</v>
          </cell>
          <cell r="H747">
            <v>0.61154569329999997</v>
          </cell>
          <cell r="I747" t="str">
            <v>Motorcyclist</v>
          </cell>
          <cell r="J747" t="str">
            <v>2027/28</v>
          </cell>
        </row>
        <row r="748">
          <cell r="A748" t="str">
            <v>10 NELS-MARLB-TAS</v>
          </cell>
          <cell r="B748">
            <v>5</v>
          </cell>
          <cell r="C748">
            <v>2033</v>
          </cell>
          <cell r="D748">
            <v>14</v>
          </cell>
          <cell r="E748">
            <v>52</v>
          </cell>
          <cell r="F748">
            <v>1.5802688671</v>
          </cell>
          <cell r="G748">
            <v>34.948549298000003</v>
          </cell>
          <cell r="H748">
            <v>0.61341930300000003</v>
          </cell>
          <cell r="I748" t="str">
            <v>Motorcyclist</v>
          </cell>
          <cell r="J748" t="str">
            <v>2032/33</v>
          </cell>
        </row>
        <row r="749">
          <cell r="A749" t="str">
            <v>10 NELS-MARLB-TAS</v>
          </cell>
          <cell r="B749">
            <v>5</v>
          </cell>
          <cell r="C749">
            <v>2038</v>
          </cell>
          <cell r="D749">
            <v>14</v>
          </cell>
          <cell r="E749">
            <v>52</v>
          </cell>
          <cell r="F749">
            <v>1.5438310108</v>
          </cell>
          <cell r="G749">
            <v>34.895553888999999</v>
          </cell>
          <cell r="H749">
            <v>0.61090498000000004</v>
          </cell>
          <cell r="I749" t="str">
            <v>Motorcyclist</v>
          </cell>
          <cell r="J749" t="str">
            <v>2037/38</v>
          </cell>
        </row>
        <row r="750">
          <cell r="A750" t="str">
            <v>10 NELS-MARLB-TAS</v>
          </cell>
          <cell r="B750">
            <v>5</v>
          </cell>
          <cell r="C750">
            <v>2043</v>
          </cell>
          <cell r="D750">
            <v>14</v>
          </cell>
          <cell r="E750">
            <v>52</v>
          </cell>
          <cell r="F750">
            <v>1.5019508497</v>
          </cell>
          <cell r="G750">
            <v>34.684591892</v>
          </cell>
          <cell r="H750">
            <v>0.60564025020000001</v>
          </cell>
          <cell r="I750" t="str">
            <v>Motorcyclist</v>
          </cell>
          <cell r="J750" t="str">
            <v>2042/43</v>
          </cell>
        </row>
        <row r="751">
          <cell r="A751" t="str">
            <v>10 NELS-MARLB-TAS</v>
          </cell>
          <cell r="B751">
            <v>6</v>
          </cell>
          <cell r="C751">
            <v>2013</v>
          </cell>
          <cell r="D751">
            <v>1</v>
          </cell>
          <cell r="E751">
            <v>4</v>
          </cell>
          <cell r="F751">
            <v>0.1284956481</v>
          </cell>
          <cell r="G751">
            <v>5.3733082988999996</v>
          </cell>
          <cell r="H751">
            <v>9.9048728700000005E-2</v>
          </cell>
          <cell r="I751" t="str">
            <v>Local Train</v>
          </cell>
          <cell r="J751" t="str">
            <v>2012/13</v>
          </cell>
        </row>
        <row r="752">
          <cell r="A752" t="str">
            <v>10 NELS-MARLB-TAS</v>
          </cell>
          <cell r="B752">
            <v>6</v>
          </cell>
          <cell r="C752">
            <v>2018</v>
          </cell>
          <cell r="D752">
            <v>1</v>
          </cell>
          <cell r="E752">
            <v>4</v>
          </cell>
          <cell r="F752">
            <v>0.1133521098</v>
          </cell>
          <cell r="G752">
            <v>4.7452869850999999</v>
          </cell>
          <cell r="H752">
            <v>8.7472436099999995E-2</v>
          </cell>
          <cell r="I752" t="str">
            <v>Local Train</v>
          </cell>
          <cell r="J752" t="str">
            <v>2017/18</v>
          </cell>
        </row>
        <row r="753">
          <cell r="A753" t="str">
            <v>10 NELS-MARLB-TAS</v>
          </cell>
          <cell r="B753">
            <v>6</v>
          </cell>
          <cell r="C753">
            <v>2023</v>
          </cell>
          <cell r="D753">
            <v>1</v>
          </cell>
          <cell r="E753">
            <v>4</v>
          </cell>
          <cell r="F753">
            <v>9.4041816E-2</v>
          </cell>
          <cell r="G753">
            <v>3.9403736078999998</v>
          </cell>
          <cell r="H753">
            <v>7.2635246200000003E-2</v>
          </cell>
          <cell r="I753" t="str">
            <v>Local Train</v>
          </cell>
          <cell r="J753" t="str">
            <v>2022/23</v>
          </cell>
        </row>
        <row r="754">
          <cell r="A754" t="str">
            <v>10 NELS-MARLB-TAS</v>
          </cell>
          <cell r="B754">
            <v>6</v>
          </cell>
          <cell r="C754">
            <v>2028</v>
          </cell>
          <cell r="D754">
            <v>1</v>
          </cell>
          <cell r="E754">
            <v>4</v>
          </cell>
          <cell r="F754">
            <v>7.0618227500000005E-2</v>
          </cell>
          <cell r="G754">
            <v>2.9623433819999998</v>
          </cell>
          <cell r="H754">
            <v>5.4606843699999998E-2</v>
          </cell>
          <cell r="I754" t="str">
            <v>Local Train</v>
          </cell>
          <cell r="J754" t="str">
            <v>2027/28</v>
          </cell>
        </row>
        <row r="755">
          <cell r="A755" t="str">
            <v>10 NELS-MARLB-TAS</v>
          </cell>
          <cell r="B755">
            <v>6</v>
          </cell>
          <cell r="C755">
            <v>2033</v>
          </cell>
          <cell r="D755">
            <v>1</v>
          </cell>
          <cell r="E755">
            <v>4</v>
          </cell>
          <cell r="F755">
            <v>5.7641887699999998E-2</v>
          </cell>
          <cell r="G755">
            <v>2.4208706455</v>
          </cell>
          <cell r="H755">
            <v>4.4625692100000003E-2</v>
          </cell>
          <cell r="I755" t="str">
            <v>Local Train</v>
          </cell>
          <cell r="J755" t="str">
            <v>2032/33</v>
          </cell>
        </row>
        <row r="756">
          <cell r="A756" t="str">
            <v>10 NELS-MARLB-TAS</v>
          </cell>
          <cell r="B756">
            <v>6</v>
          </cell>
          <cell r="C756">
            <v>2038</v>
          </cell>
          <cell r="D756">
            <v>1</v>
          </cell>
          <cell r="E756">
            <v>4</v>
          </cell>
          <cell r="F756">
            <v>5.1077075100000001E-2</v>
          </cell>
          <cell r="G756">
            <v>2.1472153604000002</v>
          </cell>
          <cell r="H756">
            <v>3.95813281E-2</v>
          </cell>
          <cell r="I756" t="str">
            <v>Local Train</v>
          </cell>
          <cell r="J756" t="str">
            <v>2037/38</v>
          </cell>
        </row>
        <row r="757">
          <cell r="A757" t="str">
            <v>10 NELS-MARLB-TAS</v>
          </cell>
          <cell r="B757">
            <v>6</v>
          </cell>
          <cell r="C757">
            <v>2043</v>
          </cell>
          <cell r="D757">
            <v>1</v>
          </cell>
          <cell r="E757">
            <v>4</v>
          </cell>
          <cell r="F757">
            <v>4.2661587799999998E-2</v>
          </cell>
          <cell r="G757">
            <v>1.7956708403999999</v>
          </cell>
          <cell r="H757">
            <v>3.3101164400000001E-2</v>
          </cell>
          <cell r="I757" t="str">
            <v>Local Train</v>
          </cell>
          <cell r="J757" t="str">
            <v>2042/43</v>
          </cell>
        </row>
        <row r="758">
          <cell r="A758" t="str">
            <v>10 NELS-MARLB-TAS</v>
          </cell>
          <cell r="B758">
            <v>7</v>
          </cell>
          <cell r="C758">
            <v>2013</v>
          </cell>
          <cell r="D758">
            <v>38</v>
          </cell>
          <cell r="E758">
            <v>79</v>
          </cell>
          <cell r="F758">
            <v>2.0764681202999999</v>
          </cell>
          <cell r="G758">
            <v>19.807462209000001</v>
          </cell>
          <cell r="H758">
            <v>0.94491203199999996</v>
          </cell>
          <cell r="I758" t="str">
            <v>Local Bus</v>
          </cell>
          <cell r="J758" t="str">
            <v>2012/13</v>
          </cell>
        </row>
        <row r="759">
          <cell r="A759" t="str">
            <v>10 NELS-MARLB-TAS</v>
          </cell>
          <cell r="B759">
            <v>7</v>
          </cell>
          <cell r="C759">
            <v>2018</v>
          </cell>
          <cell r="D759">
            <v>38</v>
          </cell>
          <cell r="E759">
            <v>79</v>
          </cell>
          <cell r="F759">
            <v>1.9491512949000001</v>
          </cell>
          <cell r="G759">
            <v>17.975237409999998</v>
          </cell>
          <cell r="H759">
            <v>0.85855094480000005</v>
          </cell>
          <cell r="I759" t="str">
            <v>Local Bus</v>
          </cell>
          <cell r="J759" t="str">
            <v>2017/18</v>
          </cell>
        </row>
        <row r="760">
          <cell r="A760" t="str">
            <v>10 NELS-MARLB-TAS</v>
          </cell>
          <cell r="B760">
            <v>7</v>
          </cell>
          <cell r="C760">
            <v>2023</v>
          </cell>
          <cell r="D760">
            <v>38</v>
          </cell>
          <cell r="E760">
            <v>79</v>
          </cell>
          <cell r="F760">
            <v>1.8651711896000001</v>
          </cell>
          <cell r="G760">
            <v>16.629701012000002</v>
          </cell>
          <cell r="H760">
            <v>0.79654666959999998</v>
          </cell>
          <cell r="I760" t="str">
            <v>Local Bus</v>
          </cell>
          <cell r="J760" t="str">
            <v>2022/23</v>
          </cell>
        </row>
        <row r="761">
          <cell r="A761" t="str">
            <v>10 NELS-MARLB-TAS</v>
          </cell>
          <cell r="B761">
            <v>7</v>
          </cell>
          <cell r="C761">
            <v>2028</v>
          </cell>
          <cell r="D761">
            <v>38</v>
          </cell>
          <cell r="E761">
            <v>79</v>
          </cell>
          <cell r="F761">
            <v>1.8692177774000001</v>
          </cell>
          <cell r="G761">
            <v>16.103004420000001</v>
          </cell>
          <cell r="H761">
            <v>0.77429403799999996</v>
          </cell>
          <cell r="I761" t="str">
            <v>Local Bus</v>
          </cell>
          <cell r="J761" t="str">
            <v>2027/28</v>
          </cell>
        </row>
        <row r="762">
          <cell r="A762" t="str">
            <v>10 NELS-MARLB-TAS</v>
          </cell>
          <cell r="B762">
            <v>7</v>
          </cell>
          <cell r="C762">
            <v>2033</v>
          </cell>
          <cell r="D762">
            <v>38</v>
          </cell>
          <cell r="E762">
            <v>79</v>
          </cell>
          <cell r="F762">
            <v>1.7683856563</v>
          </cell>
          <cell r="G762">
            <v>14.933646592000001</v>
          </cell>
          <cell r="H762">
            <v>0.72124026679999997</v>
          </cell>
          <cell r="I762" t="str">
            <v>Local Bus</v>
          </cell>
          <cell r="J762" t="str">
            <v>2032/33</v>
          </cell>
        </row>
        <row r="763">
          <cell r="A763" t="str">
            <v>10 NELS-MARLB-TAS</v>
          </cell>
          <cell r="B763">
            <v>7</v>
          </cell>
          <cell r="C763">
            <v>2038</v>
          </cell>
          <cell r="D763">
            <v>38</v>
          </cell>
          <cell r="E763">
            <v>79</v>
          </cell>
          <cell r="F763">
            <v>1.7784687819</v>
          </cell>
          <cell r="G763">
            <v>14.647993722000001</v>
          </cell>
          <cell r="H763">
            <v>0.70792295329999999</v>
          </cell>
          <cell r="I763" t="str">
            <v>Local Bus</v>
          </cell>
          <cell r="J763" t="str">
            <v>2037/38</v>
          </cell>
        </row>
        <row r="764">
          <cell r="A764" t="str">
            <v>10 NELS-MARLB-TAS</v>
          </cell>
          <cell r="B764">
            <v>7</v>
          </cell>
          <cell r="C764">
            <v>2043</v>
          </cell>
          <cell r="D764">
            <v>38</v>
          </cell>
          <cell r="E764">
            <v>79</v>
          </cell>
          <cell r="F764">
            <v>1.7853130344000001</v>
          </cell>
          <cell r="G764">
            <v>14.391691438000001</v>
          </cell>
          <cell r="H764">
            <v>0.69595938960000003</v>
          </cell>
          <cell r="I764" t="str">
            <v>Local Bus</v>
          </cell>
          <cell r="J764" t="str">
            <v>2042/43</v>
          </cell>
        </row>
        <row r="765">
          <cell r="A765" t="str">
            <v>10 NELS-MARLB-TAS</v>
          </cell>
          <cell r="B765">
            <v>9</v>
          </cell>
          <cell r="C765">
            <v>2013</v>
          </cell>
          <cell r="D765">
            <v>24</v>
          </cell>
          <cell r="E765">
            <v>56</v>
          </cell>
          <cell r="F765">
            <v>1.495105957</v>
          </cell>
          <cell r="G765">
            <v>0</v>
          </cell>
          <cell r="H765">
            <v>0.51346004550000002</v>
          </cell>
          <cell r="I765" t="str">
            <v>Other Household Travel</v>
          </cell>
          <cell r="J765" t="str">
            <v>2012/13</v>
          </cell>
        </row>
        <row r="766">
          <cell r="A766" t="str">
            <v>10 NELS-MARLB-TAS</v>
          </cell>
          <cell r="B766">
            <v>9</v>
          </cell>
          <cell r="C766">
            <v>2018</v>
          </cell>
          <cell r="D766">
            <v>24</v>
          </cell>
          <cell r="E766">
            <v>56</v>
          </cell>
          <cell r="F766">
            <v>1.4836446249999999</v>
          </cell>
          <cell r="G766">
            <v>0</v>
          </cell>
          <cell r="H766">
            <v>0.50518299099999997</v>
          </cell>
          <cell r="I766" t="str">
            <v>Other Household Travel</v>
          </cell>
          <cell r="J766" t="str">
            <v>2017/18</v>
          </cell>
        </row>
        <row r="767">
          <cell r="A767" t="str">
            <v>10 NELS-MARLB-TAS</v>
          </cell>
          <cell r="B767">
            <v>9</v>
          </cell>
          <cell r="C767">
            <v>2023</v>
          </cell>
          <cell r="D767">
            <v>24</v>
          </cell>
          <cell r="E767">
            <v>56</v>
          </cell>
          <cell r="F767">
            <v>1.4762339579999999</v>
          </cell>
          <cell r="G767">
            <v>0</v>
          </cell>
          <cell r="H767">
            <v>0.50159192180000001</v>
          </cell>
          <cell r="I767" t="str">
            <v>Other Household Travel</v>
          </cell>
          <cell r="J767" t="str">
            <v>2022/23</v>
          </cell>
        </row>
        <row r="768">
          <cell r="A768" t="str">
            <v>10 NELS-MARLB-TAS</v>
          </cell>
          <cell r="B768">
            <v>9</v>
          </cell>
          <cell r="C768">
            <v>2028</v>
          </cell>
          <cell r="D768">
            <v>24</v>
          </cell>
          <cell r="E768">
            <v>56</v>
          </cell>
          <cell r="F768">
            <v>1.5116137337</v>
          </cell>
          <cell r="G768">
            <v>0</v>
          </cell>
          <cell r="H768">
            <v>0.51554068799999997</v>
          </cell>
          <cell r="I768" t="str">
            <v>Other Household Travel</v>
          </cell>
          <cell r="J768" t="str">
            <v>2027/28</v>
          </cell>
        </row>
        <row r="769">
          <cell r="A769" t="str">
            <v>10 NELS-MARLB-TAS</v>
          </cell>
          <cell r="B769">
            <v>9</v>
          </cell>
          <cell r="C769">
            <v>2033</v>
          </cell>
          <cell r="D769">
            <v>24</v>
          </cell>
          <cell r="E769">
            <v>56</v>
          </cell>
          <cell r="F769">
            <v>1.5292284249999999</v>
          </cell>
          <cell r="G769">
            <v>0</v>
          </cell>
          <cell r="H769">
            <v>0.51946512869999995</v>
          </cell>
          <cell r="I769" t="str">
            <v>Other Household Travel</v>
          </cell>
          <cell r="J769" t="str">
            <v>2032/33</v>
          </cell>
        </row>
        <row r="770">
          <cell r="A770" t="str">
            <v>10 NELS-MARLB-TAS</v>
          </cell>
          <cell r="B770">
            <v>9</v>
          </cell>
          <cell r="C770">
            <v>2038</v>
          </cell>
          <cell r="D770">
            <v>24</v>
          </cell>
          <cell r="E770">
            <v>56</v>
          </cell>
          <cell r="F770">
            <v>1.5746490319999999</v>
          </cell>
          <cell r="G770">
            <v>0</v>
          </cell>
          <cell r="H770">
            <v>0.53577025359999997</v>
          </cell>
          <cell r="I770" t="str">
            <v>Other Household Travel</v>
          </cell>
          <cell r="J770" t="str">
            <v>2037/38</v>
          </cell>
        </row>
        <row r="771">
          <cell r="A771" t="str">
            <v>10 NELS-MARLB-TAS</v>
          </cell>
          <cell r="B771">
            <v>9</v>
          </cell>
          <cell r="C771">
            <v>2043</v>
          </cell>
          <cell r="D771">
            <v>24</v>
          </cell>
          <cell r="E771">
            <v>56</v>
          </cell>
          <cell r="F771">
            <v>1.6025694894</v>
          </cell>
          <cell r="G771">
            <v>0</v>
          </cell>
          <cell r="H771">
            <v>0.54667661580000004</v>
          </cell>
          <cell r="I771" t="str">
            <v>Other Household Travel</v>
          </cell>
          <cell r="J771" t="str">
            <v>2042/43</v>
          </cell>
        </row>
        <row r="772">
          <cell r="A772" t="str">
            <v>10 NELS-MARLB-TAS</v>
          </cell>
          <cell r="B772">
            <v>10</v>
          </cell>
          <cell r="C772">
            <v>2013</v>
          </cell>
          <cell r="D772">
            <v>11</v>
          </cell>
          <cell r="E772">
            <v>13</v>
          </cell>
          <cell r="F772">
            <v>0.38277994659999998</v>
          </cell>
          <cell r="G772">
            <v>0</v>
          </cell>
          <cell r="H772">
            <v>0.45211944030000001</v>
          </cell>
          <cell r="I772" t="str">
            <v>Air/Non-Local PT</v>
          </cell>
          <cell r="J772" t="str">
            <v>2012/13</v>
          </cell>
        </row>
        <row r="773">
          <cell r="A773" t="str">
            <v>10 NELS-MARLB-TAS</v>
          </cell>
          <cell r="B773">
            <v>10</v>
          </cell>
          <cell r="C773">
            <v>2018</v>
          </cell>
          <cell r="D773">
            <v>11</v>
          </cell>
          <cell r="E773">
            <v>13</v>
          </cell>
          <cell r="F773">
            <v>0.40267428820000001</v>
          </cell>
          <cell r="G773">
            <v>0</v>
          </cell>
          <cell r="H773">
            <v>0.46606347139999998</v>
          </cell>
          <cell r="I773" t="str">
            <v>Air/Non-Local PT</v>
          </cell>
          <cell r="J773" t="str">
            <v>2017/18</v>
          </cell>
        </row>
        <row r="774">
          <cell r="A774" t="str">
            <v>10 NELS-MARLB-TAS</v>
          </cell>
          <cell r="B774">
            <v>10</v>
          </cell>
          <cell r="C774">
            <v>2023</v>
          </cell>
          <cell r="D774">
            <v>11</v>
          </cell>
          <cell r="E774">
            <v>13</v>
          </cell>
          <cell r="F774">
            <v>0.41191487389999998</v>
          </cell>
          <cell r="G774">
            <v>0</v>
          </cell>
          <cell r="H774">
            <v>0.47214288110000002</v>
          </cell>
          <cell r="I774" t="str">
            <v>Air/Non-Local PT</v>
          </cell>
          <cell r="J774" t="str">
            <v>2022/23</v>
          </cell>
        </row>
        <row r="775">
          <cell r="A775" t="str">
            <v>10 NELS-MARLB-TAS</v>
          </cell>
          <cell r="B775">
            <v>10</v>
          </cell>
          <cell r="C775">
            <v>2028</v>
          </cell>
          <cell r="D775">
            <v>11</v>
          </cell>
          <cell r="E775">
            <v>13</v>
          </cell>
          <cell r="F775">
            <v>0.42000629049999999</v>
          </cell>
          <cell r="G775">
            <v>0</v>
          </cell>
          <cell r="H775">
            <v>0.46921731919999998</v>
          </cell>
          <cell r="I775" t="str">
            <v>Air/Non-Local PT</v>
          </cell>
          <cell r="J775" t="str">
            <v>2027/28</v>
          </cell>
        </row>
        <row r="776">
          <cell r="A776" t="str">
            <v>10 NELS-MARLB-TAS</v>
          </cell>
          <cell r="B776">
            <v>10</v>
          </cell>
          <cell r="C776">
            <v>2033</v>
          </cell>
          <cell r="D776">
            <v>11</v>
          </cell>
          <cell r="E776">
            <v>13</v>
          </cell>
          <cell r="F776">
            <v>0.42649973889999998</v>
          </cell>
          <cell r="G776">
            <v>0</v>
          </cell>
          <cell r="H776">
            <v>0.44792385359999998</v>
          </cell>
          <cell r="I776" t="str">
            <v>Air/Non-Local PT</v>
          </cell>
          <cell r="J776" t="str">
            <v>2032/33</v>
          </cell>
        </row>
        <row r="777">
          <cell r="A777" t="str">
            <v>10 NELS-MARLB-TAS</v>
          </cell>
          <cell r="B777">
            <v>10</v>
          </cell>
          <cell r="C777">
            <v>2038</v>
          </cell>
          <cell r="D777">
            <v>11</v>
          </cell>
          <cell r="E777">
            <v>13</v>
          </cell>
          <cell r="F777">
            <v>0.42664747409999998</v>
          </cell>
          <cell r="G777">
            <v>0</v>
          </cell>
          <cell r="H777">
            <v>0.41280261460000001</v>
          </cell>
          <cell r="I777" t="str">
            <v>Air/Non-Local PT</v>
          </cell>
          <cell r="J777" t="str">
            <v>2037/38</v>
          </cell>
        </row>
        <row r="778">
          <cell r="A778" t="str">
            <v>10 NELS-MARLB-TAS</v>
          </cell>
          <cell r="B778">
            <v>10</v>
          </cell>
          <cell r="C778">
            <v>2043</v>
          </cell>
          <cell r="D778">
            <v>11</v>
          </cell>
          <cell r="E778">
            <v>13</v>
          </cell>
          <cell r="F778">
            <v>0.42567269860000001</v>
          </cell>
          <cell r="G778">
            <v>0</v>
          </cell>
          <cell r="H778">
            <v>0.38088453620000001</v>
          </cell>
          <cell r="I778" t="str">
            <v>Air/Non-Local PT</v>
          </cell>
          <cell r="J778" t="str">
            <v>2042/43</v>
          </cell>
        </row>
        <row r="779">
          <cell r="A779" t="str">
            <v>10 NELS-MARLB-TAS</v>
          </cell>
          <cell r="B779">
            <v>11</v>
          </cell>
          <cell r="C779">
            <v>2013</v>
          </cell>
          <cell r="D779">
            <v>10</v>
          </cell>
          <cell r="E779">
            <v>59</v>
          </cell>
          <cell r="F779">
            <v>1.9294573958000001</v>
          </cell>
          <cell r="G779">
            <v>30.128221894999999</v>
          </cell>
          <cell r="H779">
            <v>0.79809006319999998</v>
          </cell>
          <cell r="I779" t="str">
            <v>Non-Household Travel</v>
          </cell>
          <cell r="J779" t="str">
            <v>2012/13</v>
          </cell>
        </row>
        <row r="780">
          <cell r="A780" t="str">
            <v>10 NELS-MARLB-TAS</v>
          </cell>
          <cell r="B780">
            <v>11</v>
          </cell>
          <cell r="C780">
            <v>2018</v>
          </cell>
          <cell r="D780">
            <v>10</v>
          </cell>
          <cell r="E780">
            <v>59</v>
          </cell>
          <cell r="F780">
            <v>1.7937393205000001</v>
          </cell>
          <cell r="G780">
            <v>30.78516655</v>
          </cell>
          <cell r="H780">
            <v>0.80569768630000005</v>
          </cell>
          <cell r="I780" t="str">
            <v>Non-Household Travel</v>
          </cell>
          <cell r="J780" t="str">
            <v>2017/18</v>
          </cell>
        </row>
        <row r="781">
          <cell r="A781" t="str">
            <v>10 NELS-MARLB-TAS</v>
          </cell>
          <cell r="B781">
            <v>11</v>
          </cell>
          <cell r="C781">
            <v>2023</v>
          </cell>
          <cell r="D781">
            <v>10</v>
          </cell>
          <cell r="E781">
            <v>59</v>
          </cell>
          <cell r="F781">
            <v>1.6243691592</v>
          </cell>
          <cell r="G781">
            <v>30.207176677</v>
          </cell>
          <cell r="H781">
            <v>0.77748711059999998</v>
          </cell>
          <cell r="I781" t="str">
            <v>Non-Household Travel</v>
          </cell>
          <cell r="J781" t="str">
            <v>2022/23</v>
          </cell>
        </row>
        <row r="782">
          <cell r="A782" t="str">
            <v>10 NELS-MARLB-TAS</v>
          </cell>
          <cell r="B782">
            <v>11</v>
          </cell>
          <cell r="C782">
            <v>2028</v>
          </cell>
          <cell r="D782">
            <v>10</v>
          </cell>
          <cell r="E782">
            <v>59</v>
          </cell>
          <cell r="F782">
            <v>1.5100580486999999</v>
          </cell>
          <cell r="G782">
            <v>28.424166261</v>
          </cell>
          <cell r="H782">
            <v>0.72630142310000001</v>
          </cell>
          <cell r="I782" t="str">
            <v>Non-Household Travel</v>
          </cell>
          <cell r="J782" t="str">
            <v>2027/28</v>
          </cell>
        </row>
        <row r="783">
          <cell r="A783" t="str">
            <v>10 NELS-MARLB-TAS</v>
          </cell>
          <cell r="B783">
            <v>11</v>
          </cell>
          <cell r="C783">
            <v>2033</v>
          </cell>
          <cell r="D783">
            <v>10</v>
          </cell>
          <cell r="E783">
            <v>59</v>
          </cell>
          <cell r="F783">
            <v>1.4700325165999999</v>
          </cell>
          <cell r="G783">
            <v>26.124422117999998</v>
          </cell>
          <cell r="H783">
            <v>0.6727983702</v>
          </cell>
          <cell r="I783" t="str">
            <v>Non-Household Travel</v>
          </cell>
          <cell r="J783" t="str">
            <v>2032/33</v>
          </cell>
        </row>
        <row r="784">
          <cell r="A784" t="str">
            <v>10 NELS-MARLB-TAS</v>
          </cell>
          <cell r="B784">
            <v>11</v>
          </cell>
          <cell r="C784">
            <v>2038</v>
          </cell>
          <cell r="D784">
            <v>10</v>
          </cell>
          <cell r="E784">
            <v>59</v>
          </cell>
          <cell r="F784">
            <v>1.5190953300000001</v>
          </cell>
          <cell r="G784">
            <v>23.802217628000001</v>
          </cell>
          <cell r="H784">
            <v>0.62748714370000003</v>
          </cell>
          <cell r="I784" t="str">
            <v>Non-Household Travel</v>
          </cell>
          <cell r="J784" t="str">
            <v>2037/38</v>
          </cell>
        </row>
        <row r="785">
          <cell r="A785" t="str">
            <v>10 NELS-MARLB-TAS</v>
          </cell>
          <cell r="B785">
            <v>11</v>
          </cell>
          <cell r="C785">
            <v>2043</v>
          </cell>
          <cell r="D785">
            <v>10</v>
          </cell>
          <cell r="E785">
            <v>59</v>
          </cell>
          <cell r="F785">
            <v>1.5469687185000001</v>
          </cell>
          <cell r="G785">
            <v>21.552747553</v>
          </cell>
          <cell r="H785">
            <v>0.58119890529999996</v>
          </cell>
          <cell r="I785" t="str">
            <v>Non-Household Travel</v>
          </cell>
          <cell r="J785" t="str">
            <v>2042/43</v>
          </cell>
        </row>
        <row r="786">
          <cell r="A786" t="str">
            <v>12 WEST COAST</v>
          </cell>
          <cell r="B786">
            <v>0</v>
          </cell>
          <cell r="C786">
            <v>2013</v>
          </cell>
          <cell r="D786">
            <v>145</v>
          </cell>
          <cell r="E786">
            <v>451</v>
          </cell>
          <cell r="F786">
            <v>5.2699511529</v>
          </cell>
          <cell r="G786">
            <v>4.6474841125999999</v>
          </cell>
          <cell r="H786">
            <v>1.1518220776999999</v>
          </cell>
          <cell r="I786" t="str">
            <v>Pedestrian</v>
          </cell>
          <cell r="J786" t="str">
            <v>2012/13</v>
          </cell>
        </row>
        <row r="787">
          <cell r="A787" t="str">
            <v>12 WEST COAST</v>
          </cell>
          <cell r="B787">
            <v>0</v>
          </cell>
          <cell r="C787">
            <v>2018</v>
          </cell>
          <cell r="D787">
            <v>145</v>
          </cell>
          <cell r="E787">
            <v>451</v>
          </cell>
          <cell r="F787">
            <v>4.8943282333000004</v>
          </cell>
          <cell r="G787">
            <v>4.4011420036000004</v>
          </cell>
          <cell r="H787">
            <v>1.1039570892999999</v>
          </cell>
          <cell r="I787" t="str">
            <v>Pedestrian</v>
          </cell>
          <cell r="J787" t="str">
            <v>2017/18</v>
          </cell>
        </row>
        <row r="788">
          <cell r="A788" t="str">
            <v>12 WEST COAST</v>
          </cell>
          <cell r="B788">
            <v>0</v>
          </cell>
          <cell r="C788">
            <v>2023</v>
          </cell>
          <cell r="D788">
            <v>145</v>
          </cell>
          <cell r="E788">
            <v>451</v>
          </cell>
          <cell r="F788">
            <v>4.4216647938999998</v>
          </cell>
          <cell r="G788">
            <v>4.0093442920999998</v>
          </cell>
          <cell r="H788">
            <v>1.0201521409000001</v>
          </cell>
          <cell r="I788" t="str">
            <v>Pedestrian</v>
          </cell>
          <cell r="J788" t="str">
            <v>2022/23</v>
          </cell>
        </row>
        <row r="789">
          <cell r="A789" t="str">
            <v>12 WEST COAST</v>
          </cell>
          <cell r="B789">
            <v>0</v>
          </cell>
          <cell r="C789">
            <v>2028</v>
          </cell>
          <cell r="D789">
            <v>145</v>
          </cell>
          <cell r="E789">
            <v>451</v>
          </cell>
          <cell r="F789">
            <v>4.0859453572</v>
          </cell>
          <cell r="G789">
            <v>3.7960263176</v>
          </cell>
          <cell r="H789">
            <v>0.9720715902</v>
          </cell>
          <cell r="I789" t="str">
            <v>Pedestrian</v>
          </cell>
          <cell r="J789" t="str">
            <v>2027/28</v>
          </cell>
        </row>
        <row r="790">
          <cell r="A790" t="str">
            <v>12 WEST COAST</v>
          </cell>
          <cell r="B790">
            <v>0</v>
          </cell>
          <cell r="C790">
            <v>2033</v>
          </cell>
          <cell r="D790">
            <v>145</v>
          </cell>
          <cell r="E790">
            <v>451</v>
          </cell>
          <cell r="F790">
            <v>3.7473082486</v>
          </cell>
          <cell r="G790">
            <v>3.5662759305999998</v>
          </cell>
          <cell r="H790">
            <v>0.91541507089999996</v>
          </cell>
          <cell r="I790" t="str">
            <v>Pedestrian</v>
          </cell>
          <cell r="J790" t="str">
            <v>2032/33</v>
          </cell>
        </row>
        <row r="791">
          <cell r="A791" t="str">
            <v>12 WEST COAST</v>
          </cell>
          <cell r="B791">
            <v>0</v>
          </cell>
          <cell r="C791">
            <v>2038</v>
          </cell>
          <cell r="D791">
            <v>145</v>
          </cell>
          <cell r="E791">
            <v>451</v>
          </cell>
          <cell r="F791">
            <v>3.4235998214999999</v>
          </cell>
          <cell r="G791">
            <v>3.3439557676999998</v>
          </cell>
          <cell r="H791">
            <v>0.85874898850000003</v>
          </cell>
          <cell r="I791" t="str">
            <v>Pedestrian</v>
          </cell>
          <cell r="J791" t="str">
            <v>2037/38</v>
          </cell>
        </row>
        <row r="792">
          <cell r="A792" t="str">
            <v>12 WEST COAST</v>
          </cell>
          <cell r="B792">
            <v>0</v>
          </cell>
          <cell r="C792">
            <v>2043</v>
          </cell>
          <cell r="D792">
            <v>145</v>
          </cell>
          <cell r="E792">
            <v>451</v>
          </cell>
          <cell r="F792">
            <v>3.1523518716000001</v>
          </cell>
          <cell r="G792">
            <v>3.1616946862000002</v>
          </cell>
          <cell r="H792">
            <v>0.81023995469999999</v>
          </cell>
          <cell r="I792" t="str">
            <v>Pedestrian</v>
          </cell>
          <cell r="J792" t="str">
            <v>2042/43</v>
          </cell>
        </row>
        <row r="793">
          <cell r="A793" t="str">
            <v>12 WEST COAST</v>
          </cell>
          <cell r="B793">
            <v>1</v>
          </cell>
          <cell r="C793">
            <v>2013</v>
          </cell>
          <cell r="D793">
            <v>23</v>
          </cell>
          <cell r="E793">
            <v>75</v>
          </cell>
          <cell r="F793">
            <v>0.73381292249999996</v>
          </cell>
          <cell r="G793">
            <v>1.9571055828999999</v>
          </cell>
          <cell r="H793">
            <v>0.17528853950000001</v>
          </cell>
          <cell r="I793" t="str">
            <v>Cyclist</v>
          </cell>
          <cell r="J793" t="str">
            <v>2012/13</v>
          </cell>
        </row>
        <row r="794">
          <cell r="A794" t="str">
            <v>12 WEST COAST</v>
          </cell>
          <cell r="B794">
            <v>1</v>
          </cell>
          <cell r="C794">
            <v>2018</v>
          </cell>
          <cell r="D794">
            <v>23</v>
          </cell>
          <cell r="E794">
            <v>75</v>
          </cell>
          <cell r="F794">
            <v>0.70428411810000002</v>
          </cell>
          <cell r="G794">
            <v>1.9612478901999999</v>
          </cell>
          <cell r="H794">
            <v>0.16907279280000001</v>
          </cell>
          <cell r="I794" t="str">
            <v>Cyclist</v>
          </cell>
          <cell r="J794" t="str">
            <v>2017/18</v>
          </cell>
        </row>
        <row r="795">
          <cell r="A795" t="str">
            <v>12 WEST COAST</v>
          </cell>
          <cell r="B795">
            <v>1</v>
          </cell>
          <cell r="C795">
            <v>2023</v>
          </cell>
          <cell r="D795">
            <v>23</v>
          </cell>
          <cell r="E795">
            <v>75</v>
          </cell>
          <cell r="F795">
            <v>0.65566444040000005</v>
          </cell>
          <cell r="G795">
            <v>1.8979731067000001</v>
          </cell>
          <cell r="H795">
            <v>0.15867816030000001</v>
          </cell>
          <cell r="I795" t="str">
            <v>Cyclist</v>
          </cell>
          <cell r="J795" t="str">
            <v>2022/23</v>
          </cell>
        </row>
        <row r="796">
          <cell r="A796" t="str">
            <v>12 WEST COAST</v>
          </cell>
          <cell r="B796">
            <v>1</v>
          </cell>
          <cell r="C796">
            <v>2028</v>
          </cell>
          <cell r="D796">
            <v>23</v>
          </cell>
          <cell r="E796">
            <v>75</v>
          </cell>
          <cell r="F796">
            <v>0.63023049590000002</v>
          </cell>
          <cell r="G796">
            <v>1.8095446798999999</v>
          </cell>
          <cell r="H796">
            <v>0.14987295019999999</v>
          </cell>
          <cell r="I796" t="str">
            <v>Cyclist</v>
          </cell>
          <cell r="J796" t="str">
            <v>2027/28</v>
          </cell>
        </row>
        <row r="797">
          <cell r="A797" t="str">
            <v>12 WEST COAST</v>
          </cell>
          <cell r="B797">
            <v>1</v>
          </cell>
          <cell r="C797">
            <v>2033</v>
          </cell>
          <cell r="D797">
            <v>23</v>
          </cell>
          <cell r="E797">
            <v>75</v>
          </cell>
          <cell r="F797">
            <v>0.58165887869999999</v>
          </cell>
          <cell r="G797">
            <v>1.7306281213000001</v>
          </cell>
          <cell r="H797">
            <v>0.13898351989999999</v>
          </cell>
          <cell r="I797" t="str">
            <v>Cyclist</v>
          </cell>
          <cell r="J797" t="str">
            <v>2032/33</v>
          </cell>
        </row>
        <row r="798">
          <cell r="A798" t="str">
            <v>12 WEST COAST</v>
          </cell>
          <cell r="B798">
            <v>1</v>
          </cell>
          <cell r="C798">
            <v>2038</v>
          </cell>
          <cell r="D798">
            <v>23</v>
          </cell>
          <cell r="E798">
            <v>75</v>
          </cell>
          <cell r="F798">
            <v>0.54209310730000004</v>
          </cell>
          <cell r="G798">
            <v>1.7590798623999999</v>
          </cell>
          <cell r="H798">
            <v>0.1324409091</v>
          </cell>
          <cell r="I798" t="str">
            <v>Cyclist</v>
          </cell>
          <cell r="J798" t="str">
            <v>2037/38</v>
          </cell>
        </row>
        <row r="799">
          <cell r="A799" t="str">
            <v>12 WEST COAST</v>
          </cell>
          <cell r="B799">
            <v>1</v>
          </cell>
          <cell r="C799">
            <v>2043</v>
          </cell>
          <cell r="D799">
            <v>23</v>
          </cell>
          <cell r="E799">
            <v>75</v>
          </cell>
          <cell r="F799">
            <v>0.50161144749999997</v>
          </cell>
          <cell r="G799">
            <v>1.7746995055000001</v>
          </cell>
          <cell r="H799">
            <v>0.12559657269999999</v>
          </cell>
          <cell r="I799" t="str">
            <v>Cyclist</v>
          </cell>
          <cell r="J799" t="str">
            <v>2042/43</v>
          </cell>
        </row>
        <row r="800">
          <cell r="A800" t="str">
            <v>12 WEST COAST</v>
          </cell>
          <cell r="B800">
            <v>2</v>
          </cell>
          <cell r="C800">
            <v>2013</v>
          </cell>
          <cell r="D800">
            <v>269</v>
          </cell>
          <cell r="E800">
            <v>1828</v>
          </cell>
          <cell r="F800">
            <v>21.329902885999999</v>
          </cell>
          <cell r="G800">
            <v>226.22434741999999</v>
          </cell>
          <cell r="H800">
            <v>5.0852916584000001</v>
          </cell>
          <cell r="I800" t="str">
            <v>Light Vehicle Driver</v>
          </cell>
          <cell r="J800" t="str">
            <v>2012/13</v>
          </cell>
        </row>
        <row r="801">
          <cell r="A801" t="str">
            <v>12 WEST COAST</v>
          </cell>
          <cell r="B801">
            <v>2</v>
          </cell>
          <cell r="C801">
            <v>2018</v>
          </cell>
          <cell r="D801">
            <v>269</v>
          </cell>
          <cell r="E801">
            <v>1828</v>
          </cell>
          <cell r="F801">
            <v>20.954539773</v>
          </cell>
          <cell r="G801">
            <v>226.80550656</v>
          </cell>
          <cell r="H801">
            <v>5.0612460423999996</v>
          </cell>
          <cell r="I801" t="str">
            <v>Light Vehicle Driver</v>
          </cell>
          <cell r="J801" t="str">
            <v>2017/18</v>
          </cell>
        </row>
        <row r="802">
          <cell r="A802" t="str">
            <v>12 WEST COAST</v>
          </cell>
          <cell r="B802">
            <v>2</v>
          </cell>
          <cell r="C802">
            <v>2023</v>
          </cell>
          <cell r="D802">
            <v>269</v>
          </cell>
          <cell r="E802">
            <v>1828</v>
          </cell>
          <cell r="F802">
            <v>19.753033838</v>
          </cell>
          <cell r="G802">
            <v>218.44282138</v>
          </cell>
          <cell r="H802">
            <v>4.8311436793000002</v>
          </cell>
          <cell r="I802" t="str">
            <v>Light Vehicle Driver</v>
          </cell>
          <cell r="J802" t="str">
            <v>2022/23</v>
          </cell>
        </row>
        <row r="803">
          <cell r="A803" t="str">
            <v>12 WEST COAST</v>
          </cell>
          <cell r="B803">
            <v>2</v>
          </cell>
          <cell r="C803">
            <v>2028</v>
          </cell>
          <cell r="D803">
            <v>269</v>
          </cell>
          <cell r="E803">
            <v>1828</v>
          </cell>
          <cell r="F803">
            <v>19.188888132999999</v>
          </cell>
          <cell r="G803">
            <v>214.78774594000001</v>
          </cell>
          <cell r="H803">
            <v>4.7287739841</v>
          </cell>
          <cell r="I803" t="str">
            <v>Light Vehicle Driver</v>
          </cell>
          <cell r="J803" t="str">
            <v>2027/28</v>
          </cell>
        </row>
        <row r="804">
          <cell r="A804" t="str">
            <v>12 WEST COAST</v>
          </cell>
          <cell r="B804">
            <v>2</v>
          </cell>
          <cell r="C804">
            <v>2033</v>
          </cell>
          <cell r="D804">
            <v>269</v>
          </cell>
          <cell r="E804">
            <v>1828</v>
          </cell>
          <cell r="F804">
            <v>18.304312616000001</v>
          </cell>
          <cell r="G804">
            <v>206.90828934000001</v>
          </cell>
          <cell r="H804">
            <v>4.5357021113</v>
          </cell>
          <cell r="I804" t="str">
            <v>Light Vehicle Driver</v>
          </cell>
          <cell r="J804" t="str">
            <v>2032/33</v>
          </cell>
        </row>
        <row r="805">
          <cell r="A805" t="str">
            <v>12 WEST COAST</v>
          </cell>
          <cell r="B805">
            <v>2</v>
          </cell>
          <cell r="C805">
            <v>2038</v>
          </cell>
          <cell r="D805">
            <v>269</v>
          </cell>
          <cell r="E805">
            <v>1828</v>
          </cell>
          <cell r="F805">
            <v>17.691445587</v>
          </cell>
          <cell r="G805">
            <v>202.88422671999999</v>
          </cell>
          <cell r="H805">
            <v>4.4188655537999999</v>
          </cell>
          <cell r="I805" t="str">
            <v>Light Vehicle Driver</v>
          </cell>
          <cell r="J805" t="str">
            <v>2037/38</v>
          </cell>
        </row>
        <row r="806">
          <cell r="A806" t="str">
            <v>12 WEST COAST</v>
          </cell>
          <cell r="B806">
            <v>2</v>
          </cell>
          <cell r="C806">
            <v>2043</v>
          </cell>
          <cell r="D806">
            <v>269</v>
          </cell>
          <cell r="E806">
            <v>1828</v>
          </cell>
          <cell r="F806">
            <v>17.055347537999999</v>
          </cell>
          <cell r="G806">
            <v>198.90086525999999</v>
          </cell>
          <cell r="H806">
            <v>4.2981937872999998</v>
          </cell>
          <cell r="I806" t="str">
            <v>Light Vehicle Driver</v>
          </cell>
          <cell r="J806" t="str">
            <v>2042/43</v>
          </cell>
        </row>
        <row r="807">
          <cell r="A807" t="str">
            <v>12 WEST COAST</v>
          </cell>
          <cell r="B807">
            <v>3</v>
          </cell>
          <cell r="C807">
            <v>2013</v>
          </cell>
          <cell r="D807">
            <v>210</v>
          </cell>
          <cell r="E807">
            <v>1017</v>
          </cell>
          <cell r="F807">
            <v>11.090105214999999</v>
          </cell>
          <cell r="G807">
            <v>160.37072223999999</v>
          </cell>
          <cell r="H807">
            <v>3.4140139011000001</v>
          </cell>
          <cell r="I807" t="str">
            <v>Light Vehicle Passenger</v>
          </cell>
          <cell r="J807" t="str">
            <v>2012/13</v>
          </cell>
        </row>
        <row r="808">
          <cell r="A808" t="str">
            <v>12 WEST COAST</v>
          </cell>
          <cell r="B808">
            <v>3</v>
          </cell>
          <cell r="C808">
            <v>2018</v>
          </cell>
          <cell r="D808">
            <v>210</v>
          </cell>
          <cell r="E808">
            <v>1017</v>
          </cell>
          <cell r="F808">
            <v>10.30028517</v>
          </cell>
          <cell r="G808">
            <v>157.27947259000001</v>
          </cell>
          <cell r="H808">
            <v>3.3357592394000002</v>
          </cell>
          <cell r="I808" t="str">
            <v>Light Vehicle Passenger</v>
          </cell>
          <cell r="J808" t="str">
            <v>2017/18</v>
          </cell>
        </row>
        <row r="809">
          <cell r="A809" t="str">
            <v>12 WEST COAST</v>
          </cell>
          <cell r="B809">
            <v>3</v>
          </cell>
          <cell r="C809">
            <v>2023</v>
          </cell>
          <cell r="D809">
            <v>210</v>
          </cell>
          <cell r="E809">
            <v>1017</v>
          </cell>
          <cell r="F809">
            <v>9.3821023617999995</v>
          </cell>
          <cell r="G809">
            <v>147.75142457999999</v>
          </cell>
          <cell r="H809">
            <v>3.1402743810999998</v>
          </cell>
          <cell r="I809" t="str">
            <v>Light Vehicle Passenger</v>
          </cell>
          <cell r="J809" t="str">
            <v>2022/23</v>
          </cell>
        </row>
        <row r="810">
          <cell r="A810" t="str">
            <v>12 WEST COAST</v>
          </cell>
          <cell r="B810">
            <v>3</v>
          </cell>
          <cell r="C810">
            <v>2028</v>
          </cell>
          <cell r="D810">
            <v>210</v>
          </cell>
          <cell r="E810">
            <v>1017</v>
          </cell>
          <cell r="F810">
            <v>8.8940935052000007</v>
          </cell>
          <cell r="G810">
            <v>144.16348667</v>
          </cell>
          <cell r="H810">
            <v>3.0699292257000002</v>
          </cell>
          <cell r="I810" t="str">
            <v>Light Vehicle Passenger</v>
          </cell>
          <cell r="J810" t="str">
            <v>2027/28</v>
          </cell>
        </row>
        <row r="811">
          <cell r="A811" t="str">
            <v>12 WEST COAST</v>
          </cell>
          <cell r="B811">
            <v>3</v>
          </cell>
          <cell r="C811">
            <v>2033</v>
          </cell>
          <cell r="D811">
            <v>210</v>
          </cell>
          <cell r="E811">
            <v>1017</v>
          </cell>
          <cell r="F811">
            <v>8.2298862636999992</v>
          </cell>
          <cell r="G811">
            <v>134.63932546999999</v>
          </cell>
          <cell r="H811">
            <v>2.8924650328000001</v>
          </cell>
          <cell r="I811" t="str">
            <v>Light Vehicle Passenger</v>
          </cell>
          <cell r="J811" t="str">
            <v>2032/33</v>
          </cell>
        </row>
        <row r="812">
          <cell r="A812" t="str">
            <v>12 WEST COAST</v>
          </cell>
          <cell r="B812">
            <v>3</v>
          </cell>
          <cell r="C812">
            <v>2038</v>
          </cell>
          <cell r="D812">
            <v>210</v>
          </cell>
          <cell r="E812">
            <v>1017</v>
          </cell>
          <cell r="F812">
            <v>7.5298716420999998</v>
          </cell>
          <cell r="G812">
            <v>125.26873831</v>
          </cell>
          <cell r="H812">
            <v>2.6921252952999999</v>
          </cell>
          <cell r="I812" t="str">
            <v>Light Vehicle Passenger</v>
          </cell>
          <cell r="J812" t="str">
            <v>2037/38</v>
          </cell>
        </row>
        <row r="813">
          <cell r="A813" t="str">
            <v>12 WEST COAST</v>
          </cell>
          <cell r="B813">
            <v>3</v>
          </cell>
          <cell r="C813">
            <v>2043</v>
          </cell>
          <cell r="D813">
            <v>210</v>
          </cell>
          <cell r="E813">
            <v>1017</v>
          </cell>
          <cell r="F813">
            <v>6.8519483857000001</v>
          </cell>
          <cell r="G813">
            <v>116.29315083</v>
          </cell>
          <cell r="H813">
            <v>2.4941173132999999</v>
          </cell>
          <cell r="I813" t="str">
            <v>Light Vehicle Passenger</v>
          </cell>
          <cell r="J813" t="str">
            <v>2042/43</v>
          </cell>
        </row>
        <row r="814">
          <cell r="A814" t="str">
            <v>12 WEST COAST</v>
          </cell>
          <cell r="B814">
            <v>4</v>
          </cell>
          <cell r="C814">
            <v>2013</v>
          </cell>
          <cell r="D814">
            <v>12</v>
          </cell>
          <cell r="E814">
            <v>23</v>
          </cell>
          <cell r="F814">
            <v>0.29973375209999997</v>
          </cell>
          <cell r="G814">
            <v>1.6916956777000001</v>
          </cell>
          <cell r="H814">
            <v>6.5507808299999998E-2</v>
          </cell>
          <cell r="J814" t="str">
            <v>2012/13</v>
          </cell>
        </row>
        <row r="815">
          <cell r="A815" t="str">
            <v>12 WEST COAST</v>
          </cell>
          <cell r="B815">
            <v>4</v>
          </cell>
          <cell r="C815">
            <v>2018</v>
          </cell>
          <cell r="D815">
            <v>12</v>
          </cell>
          <cell r="E815">
            <v>23</v>
          </cell>
          <cell r="F815">
            <v>0.34711674619999999</v>
          </cell>
          <cell r="G815">
            <v>1.9138726968999999</v>
          </cell>
          <cell r="H815">
            <v>7.6339456700000002E-2</v>
          </cell>
          <cell r="J815" t="str">
            <v>2017/18</v>
          </cell>
        </row>
        <row r="816">
          <cell r="A816" t="str">
            <v>12 WEST COAST</v>
          </cell>
          <cell r="B816">
            <v>4</v>
          </cell>
          <cell r="C816">
            <v>2023</v>
          </cell>
          <cell r="D816">
            <v>12</v>
          </cell>
          <cell r="E816">
            <v>23</v>
          </cell>
          <cell r="F816">
            <v>0.37331669249999999</v>
          </cell>
          <cell r="G816">
            <v>2.0093999887999998</v>
          </cell>
          <cell r="H816">
            <v>8.2401686000000002E-2</v>
          </cell>
          <cell r="J816" t="str">
            <v>2022/23</v>
          </cell>
        </row>
        <row r="817">
          <cell r="A817" t="str">
            <v>12 WEST COAST</v>
          </cell>
          <cell r="B817">
            <v>4</v>
          </cell>
          <cell r="C817">
            <v>2028</v>
          </cell>
          <cell r="D817">
            <v>12</v>
          </cell>
          <cell r="E817">
            <v>23</v>
          </cell>
          <cell r="F817">
            <v>0.37153244060000001</v>
          </cell>
          <cell r="G817">
            <v>2.1362118827000001</v>
          </cell>
          <cell r="H817">
            <v>8.3915792200000006E-2</v>
          </cell>
          <cell r="J817" t="str">
            <v>2027/28</v>
          </cell>
        </row>
        <row r="818">
          <cell r="A818" t="str">
            <v>12 WEST COAST</v>
          </cell>
          <cell r="B818">
            <v>4</v>
          </cell>
          <cell r="C818">
            <v>2033</v>
          </cell>
          <cell r="D818">
            <v>12</v>
          </cell>
          <cell r="E818">
            <v>23</v>
          </cell>
          <cell r="F818">
            <v>0.35125138389999999</v>
          </cell>
          <cell r="G818">
            <v>2.0418595145</v>
          </cell>
          <cell r="H818">
            <v>7.9828835200000003E-2</v>
          </cell>
          <cell r="J818" t="str">
            <v>2032/33</v>
          </cell>
        </row>
        <row r="819">
          <cell r="A819" t="str">
            <v>12 WEST COAST</v>
          </cell>
          <cell r="B819">
            <v>4</v>
          </cell>
          <cell r="C819">
            <v>2038</v>
          </cell>
          <cell r="D819">
            <v>12</v>
          </cell>
          <cell r="E819">
            <v>23</v>
          </cell>
          <cell r="F819">
            <v>0.33502515919999998</v>
          </cell>
          <cell r="G819">
            <v>1.9973186486000001</v>
          </cell>
          <cell r="H819">
            <v>7.6983086399999998E-2</v>
          </cell>
          <cell r="J819" t="str">
            <v>2037/38</v>
          </cell>
        </row>
        <row r="820">
          <cell r="A820" t="str">
            <v>12 WEST COAST</v>
          </cell>
          <cell r="B820">
            <v>4</v>
          </cell>
          <cell r="C820">
            <v>2043</v>
          </cell>
          <cell r="D820">
            <v>12</v>
          </cell>
          <cell r="E820">
            <v>23</v>
          </cell>
          <cell r="F820">
            <v>0.31557281549999999</v>
          </cell>
          <cell r="G820">
            <v>1.9177899965</v>
          </cell>
          <cell r="H820">
            <v>7.3321582299999993E-2</v>
          </cell>
          <cell r="J820" t="str">
            <v>2042/43</v>
          </cell>
        </row>
        <row r="821">
          <cell r="A821" t="str">
            <v>12 WEST COAST</v>
          </cell>
          <cell r="B821">
            <v>5</v>
          </cell>
          <cell r="C821">
            <v>2013</v>
          </cell>
          <cell r="D821">
            <v>2</v>
          </cell>
          <cell r="E821">
            <v>5</v>
          </cell>
          <cell r="F821">
            <v>6.1723256599999998E-2</v>
          </cell>
          <cell r="G821">
            <v>0.29466348679999999</v>
          </cell>
          <cell r="H821">
            <v>9.7989774000000005E-3</v>
          </cell>
          <cell r="I821" t="str">
            <v>Motorcyclist</v>
          </cell>
          <cell r="J821" t="str">
            <v>2012/13</v>
          </cell>
        </row>
        <row r="822">
          <cell r="A822" t="str">
            <v>12 WEST COAST</v>
          </cell>
          <cell r="B822">
            <v>5</v>
          </cell>
          <cell r="C822">
            <v>2018</v>
          </cell>
          <cell r="D822">
            <v>2</v>
          </cell>
          <cell r="E822">
            <v>5</v>
          </cell>
          <cell r="F822">
            <v>6.9642489899999993E-2</v>
          </cell>
          <cell r="G822">
            <v>0.33465396139999998</v>
          </cell>
          <cell r="H822">
            <v>1.11115825E-2</v>
          </cell>
          <cell r="I822" t="str">
            <v>Motorcyclist</v>
          </cell>
          <cell r="J822" t="str">
            <v>2017/18</v>
          </cell>
        </row>
        <row r="823">
          <cell r="A823" t="str">
            <v>12 WEST COAST</v>
          </cell>
          <cell r="B823">
            <v>5</v>
          </cell>
          <cell r="C823">
            <v>2023</v>
          </cell>
          <cell r="D823">
            <v>2</v>
          </cell>
          <cell r="E823">
            <v>5</v>
          </cell>
          <cell r="F823">
            <v>7.3814775900000004E-2</v>
          </cell>
          <cell r="G823">
            <v>0.33398905550000002</v>
          </cell>
          <cell r="H823">
            <v>1.1252200400000001E-2</v>
          </cell>
          <cell r="I823" t="str">
            <v>Motorcyclist</v>
          </cell>
          <cell r="J823" t="str">
            <v>2022/23</v>
          </cell>
        </row>
        <row r="824">
          <cell r="A824" t="str">
            <v>12 WEST COAST</v>
          </cell>
          <cell r="B824">
            <v>5</v>
          </cell>
          <cell r="C824">
            <v>2028</v>
          </cell>
          <cell r="D824">
            <v>2</v>
          </cell>
          <cell r="E824">
            <v>5</v>
          </cell>
          <cell r="F824">
            <v>8.0300450699999998E-2</v>
          </cell>
          <cell r="G824">
            <v>0.35008394459999997</v>
          </cell>
          <cell r="H824">
            <v>1.19049733E-2</v>
          </cell>
          <cell r="I824" t="str">
            <v>Motorcyclist</v>
          </cell>
          <cell r="J824" t="str">
            <v>2027/28</v>
          </cell>
        </row>
        <row r="825">
          <cell r="A825" t="str">
            <v>12 WEST COAST</v>
          </cell>
          <cell r="B825">
            <v>5</v>
          </cell>
          <cell r="C825">
            <v>2033</v>
          </cell>
          <cell r="D825">
            <v>2</v>
          </cell>
          <cell r="E825">
            <v>5</v>
          </cell>
          <cell r="F825">
            <v>8.6940249499999997E-2</v>
          </cell>
          <cell r="G825">
            <v>0.3796002819</v>
          </cell>
          <cell r="H825">
            <v>1.29037818E-2</v>
          </cell>
          <cell r="I825" t="str">
            <v>Motorcyclist</v>
          </cell>
          <cell r="J825" t="str">
            <v>2032/33</v>
          </cell>
        </row>
        <row r="826">
          <cell r="A826" t="str">
            <v>12 WEST COAST</v>
          </cell>
          <cell r="B826">
            <v>5</v>
          </cell>
          <cell r="C826">
            <v>2038</v>
          </cell>
          <cell r="D826">
            <v>2</v>
          </cell>
          <cell r="E826">
            <v>5</v>
          </cell>
          <cell r="F826">
            <v>9.6622111799999993E-2</v>
          </cell>
          <cell r="G826">
            <v>0.41878084110000002</v>
          </cell>
          <cell r="H826">
            <v>1.42623825E-2</v>
          </cell>
          <cell r="I826" t="str">
            <v>Motorcyclist</v>
          </cell>
          <cell r="J826" t="str">
            <v>2037/38</v>
          </cell>
        </row>
        <row r="827">
          <cell r="A827" t="str">
            <v>12 WEST COAST</v>
          </cell>
          <cell r="B827">
            <v>5</v>
          </cell>
          <cell r="C827">
            <v>2043</v>
          </cell>
          <cell r="D827">
            <v>2</v>
          </cell>
          <cell r="E827">
            <v>5</v>
          </cell>
          <cell r="F827">
            <v>0.1033869503</v>
          </cell>
          <cell r="G827">
            <v>0.44453855530000003</v>
          </cell>
          <cell r="H827">
            <v>1.5170633399999999E-2</v>
          </cell>
          <cell r="I827" t="str">
            <v>Motorcyclist</v>
          </cell>
          <cell r="J827" t="str">
            <v>2042/43</v>
          </cell>
        </row>
        <row r="828">
          <cell r="A828" t="str">
            <v>12 WEST COAST</v>
          </cell>
          <cell r="B828">
            <v>7</v>
          </cell>
          <cell r="C828">
            <v>2013</v>
          </cell>
          <cell r="D828">
            <v>15</v>
          </cell>
          <cell r="E828">
            <v>42</v>
          </cell>
          <cell r="F828">
            <v>0.50805546800000001</v>
          </cell>
          <cell r="G828">
            <v>6.0600083682000001</v>
          </cell>
          <cell r="H828">
            <v>0.18249519829999999</v>
          </cell>
          <cell r="I828" t="str">
            <v>Local Bus</v>
          </cell>
          <cell r="J828" t="str">
            <v>2012/13</v>
          </cell>
        </row>
        <row r="829">
          <cell r="A829" t="str">
            <v>12 WEST COAST</v>
          </cell>
          <cell r="B829">
            <v>7</v>
          </cell>
          <cell r="C829">
            <v>2018</v>
          </cell>
          <cell r="D829">
            <v>15</v>
          </cell>
          <cell r="E829">
            <v>42</v>
          </cell>
          <cell r="F829">
            <v>0.47778818760000002</v>
          </cell>
          <cell r="G829">
            <v>5.7047923351999996</v>
          </cell>
          <cell r="H829">
            <v>0.17071645969999999</v>
          </cell>
          <cell r="I829" t="str">
            <v>Local Bus</v>
          </cell>
          <cell r="J829" t="str">
            <v>2017/18</v>
          </cell>
        </row>
        <row r="830">
          <cell r="A830" t="str">
            <v>12 WEST COAST</v>
          </cell>
          <cell r="B830">
            <v>7</v>
          </cell>
          <cell r="C830">
            <v>2023</v>
          </cell>
          <cell r="D830">
            <v>15</v>
          </cell>
          <cell r="E830">
            <v>42</v>
          </cell>
          <cell r="F830">
            <v>0.42989875929999999</v>
          </cell>
          <cell r="G830">
            <v>5.1650288985000001</v>
          </cell>
          <cell r="H830">
            <v>0.15335922020000001</v>
          </cell>
          <cell r="I830" t="str">
            <v>Local Bus</v>
          </cell>
          <cell r="J830" t="str">
            <v>2022/23</v>
          </cell>
        </row>
        <row r="831">
          <cell r="A831" t="str">
            <v>12 WEST COAST</v>
          </cell>
          <cell r="B831">
            <v>7</v>
          </cell>
          <cell r="C831">
            <v>2028</v>
          </cell>
          <cell r="D831">
            <v>15</v>
          </cell>
          <cell r="E831">
            <v>42</v>
          </cell>
          <cell r="F831">
            <v>0.40915025300000002</v>
          </cell>
          <cell r="G831">
            <v>4.8200254951000003</v>
          </cell>
          <cell r="H831">
            <v>0.1448215226</v>
          </cell>
          <cell r="I831" t="str">
            <v>Local Bus</v>
          </cell>
          <cell r="J831" t="str">
            <v>2027/28</v>
          </cell>
        </row>
        <row r="832">
          <cell r="A832" t="str">
            <v>12 WEST COAST</v>
          </cell>
          <cell r="B832">
            <v>7</v>
          </cell>
          <cell r="C832">
            <v>2033</v>
          </cell>
          <cell r="D832">
            <v>15</v>
          </cell>
          <cell r="E832">
            <v>42</v>
          </cell>
          <cell r="F832">
            <v>0.3786649554</v>
          </cell>
          <cell r="G832">
            <v>4.4843690324000001</v>
          </cell>
          <cell r="H832">
            <v>0.1344510008</v>
          </cell>
          <cell r="I832" t="str">
            <v>Local Bus</v>
          </cell>
          <cell r="J832" t="str">
            <v>2032/33</v>
          </cell>
        </row>
        <row r="833">
          <cell r="A833" t="str">
            <v>12 WEST COAST</v>
          </cell>
          <cell r="B833">
            <v>7</v>
          </cell>
          <cell r="C833">
            <v>2038</v>
          </cell>
          <cell r="D833">
            <v>15</v>
          </cell>
          <cell r="E833">
            <v>42</v>
          </cell>
          <cell r="F833">
            <v>0.34366325809999998</v>
          </cell>
          <cell r="G833">
            <v>4.1869241964999997</v>
          </cell>
          <cell r="H833">
            <v>0.1235322546</v>
          </cell>
          <cell r="I833" t="str">
            <v>Local Bus</v>
          </cell>
          <cell r="J833" t="str">
            <v>2037/38</v>
          </cell>
        </row>
        <row r="834">
          <cell r="A834" t="str">
            <v>12 WEST COAST</v>
          </cell>
          <cell r="B834">
            <v>7</v>
          </cell>
          <cell r="C834">
            <v>2043</v>
          </cell>
          <cell r="D834">
            <v>15</v>
          </cell>
          <cell r="E834">
            <v>42</v>
          </cell>
          <cell r="F834">
            <v>0.31009693379999997</v>
          </cell>
          <cell r="G834">
            <v>3.9454781720000001</v>
          </cell>
          <cell r="H834">
            <v>0.1136588312</v>
          </cell>
          <cell r="I834" t="str">
            <v>Local Bus</v>
          </cell>
          <cell r="J834" t="str">
            <v>2042/43</v>
          </cell>
        </row>
        <row r="835">
          <cell r="A835" t="str">
            <v>12 WEST COAST</v>
          </cell>
          <cell r="B835">
            <v>9</v>
          </cell>
          <cell r="C835">
            <v>2013</v>
          </cell>
          <cell r="D835">
            <v>3</v>
          </cell>
          <cell r="E835">
            <v>3</v>
          </cell>
          <cell r="F835">
            <v>2.77012627E-2</v>
          </cell>
          <cell r="G835">
            <v>0</v>
          </cell>
          <cell r="H835">
            <v>3.6766106000000001E-3</v>
          </cell>
          <cell r="I835" t="str">
            <v>Other Household Travel</v>
          </cell>
          <cell r="J835" t="str">
            <v>2012/13</v>
          </cell>
        </row>
        <row r="836">
          <cell r="A836" t="str">
            <v>12 WEST COAST</v>
          </cell>
          <cell r="B836">
            <v>9</v>
          </cell>
          <cell r="C836">
            <v>2018</v>
          </cell>
          <cell r="D836">
            <v>3</v>
          </cell>
          <cell r="E836">
            <v>3</v>
          </cell>
          <cell r="F836">
            <v>2.7018696500000002E-2</v>
          </cell>
          <cell r="G836">
            <v>0</v>
          </cell>
          <cell r="H836">
            <v>3.5146218000000002E-3</v>
          </cell>
          <cell r="I836" t="str">
            <v>Other Household Travel</v>
          </cell>
          <cell r="J836" t="str">
            <v>2017/18</v>
          </cell>
        </row>
        <row r="837">
          <cell r="A837" t="str">
            <v>12 WEST COAST</v>
          </cell>
          <cell r="B837">
            <v>9</v>
          </cell>
          <cell r="C837">
            <v>2023</v>
          </cell>
          <cell r="D837">
            <v>3</v>
          </cell>
          <cell r="E837">
            <v>3</v>
          </cell>
          <cell r="F837">
            <v>2.5029177400000002E-2</v>
          </cell>
          <cell r="G837">
            <v>0</v>
          </cell>
          <cell r="H837">
            <v>3.2063296000000002E-3</v>
          </cell>
          <cell r="I837" t="str">
            <v>Other Household Travel</v>
          </cell>
          <cell r="J837" t="str">
            <v>2022/23</v>
          </cell>
        </row>
        <row r="838">
          <cell r="A838" t="str">
            <v>12 WEST COAST</v>
          </cell>
          <cell r="B838">
            <v>9</v>
          </cell>
          <cell r="C838">
            <v>2028</v>
          </cell>
          <cell r="D838">
            <v>3</v>
          </cell>
          <cell r="E838">
            <v>3</v>
          </cell>
          <cell r="F838">
            <v>2.1817237E-2</v>
          </cell>
          <cell r="G838">
            <v>0</v>
          </cell>
          <cell r="H838">
            <v>2.7442665000000002E-3</v>
          </cell>
          <cell r="I838" t="str">
            <v>Other Household Travel</v>
          </cell>
          <cell r="J838" t="str">
            <v>2027/28</v>
          </cell>
        </row>
        <row r="839">
          <cell r="A839" t="str">
            <v>12 WEST COAST</v>
          </cell>
          <cell r="B839">
            <v>9</v>
          </cell>
          <cell r="C839">
            <v>2033</v>
          </cell>
          <cell r="D839">
            <v>3</v>
          </cell>
          <cell r="E839">
            <v>3</v>
          </cell>
          <cell r="F839">
            <v>1.96833896E-2</v>
          </cell>
          <cell r="G839">
            <v>0</v>
          </cell>
          <cell r="H839">
            <v>2.4943525000000002E-3</v>
          </cell>
          <cell r="I839" t="str">
            <v>Other Household Travel</v>
          </cell>
          <cell r="J839" t="str">
            <v>2032/33</v>
          </cell>
        </row>
        <row r="840">
          <cell r="A840" t="str">
            <v>12 WEST COAST</v>
          </cell>
          <cell r="B840">
            <v>9</v>
          </cell>
          <cell r="C840">
            <v>2038</v>
          </cell>
          <cell r="D840">
            <v>3</v>
          </cell>
          <cell r="E840">
            <v>3</v>
          </cell>
          <cell r="F840">
            <v>1.9401635300000001E-2</v>
          </cell>
          <cell r="G840">
            <v>0</v>
          </cell>
          <cell r="H840">
            <v>2.5173892000000002E-3</v>
          </cell>
          <cell r="I840" t="str">
            <v>Other Household Travel</v>
          </cell>
          <cell r="J840" t="str">
            <v>2037/38</v>
          </cell>
        </row>
        <row r="841">
          <cell r="A841" t="str">
            <v>12 WEST COAST</v>
          </cell>
          <cell r="B841">
            <v>9</v>
          </cell>
          <cell r="C841">
            <v>2043</v>
          </cell>
          <cell r="D841">
            <v>3</v>
          </cell>
          <cell r="E841">
            <v>3</v>
          </cell>
          <cell r="F841">
            <v>1.89575573E-2</v>
          </cell>
          <cell r="G841">
            <v>0</v>
          </cell>
          <cell r="H841">
            <v>2.5141513000000002E-3</v>
          </cell>
          <cell r="I841" t="str">
            <v>Other Household Travel</v>
          </cell>
          <cell r="J841" t="str">
            <v>2042/43</v>
          </cell>
        </row>
        <row r="842">
          <cell r="A842" t="str">
            <v>12 WEST COAST</v>
          </cell>
          <cell r="B842">
            <v>10</v>
          </cell>
          <cell r="C842">
            <v>2013</v>
          </cell>
          <cell r="D842">
            <v>4</v>
          </cell>
          <cell r="E842">
            <v>8</v>
          </cell>
          <cell r="F842">
            <v>0.10084271459999999</v>
          </cell>
          <cell r="G842">
            <v>10.387194593</v>
          </cell>
          <cell r="H842">
            <v>0.1870167032</v>
          </cell>
          <cell r="I842" t="str">
            <v>Air/Non-Local PT</v>
          </cell>
          <cell r="J842" t="str">
            <v>2012/13</v>
          </cell>
        </row>
        <row r="843">
          <cell r="A843" t="str">
            <v>12 WEST COAST</v>
          </cell>
          <cell r="B843">
            <v>10</v>
          </cell>
          <cell r="C843">
            <v>2018</v>
          </cell>
          <cell r="D843">
            <v>4</v>
          </cell>
          <cell r="E843">
            <v>8</v>
          </cell>
          <cell r="F843">
            <v>0.1074010561</v>
          </cell>
          <cell r="G843">
            <v>10.925150212</v>
          </cell>
          <cell r="H843">
            <v>0.19993001799999999</v>
          </cell>
          <cell r="I843" t="str">
            <v>Air/Non-Local PT</v>
          </cell>
          <cell r="J843" t="str">
            <v>2017/18</v>
          </cell>
        </row>
        <row r="844">
          <cell r="A844" t="str">
            <v>12 WEST COAST</v>
          </cell>
          <cell r="B844">
            <v>10</v>
          </cell>
          <cell r="C844">
            <v>2023</v>
          </cell>
          <cell r="D844">
            <v>4</v>
          </cell>
          <cell r="E844">
            <v>8</v>
          </cell>
          <cell r="F844">
            <v>0.1069310951</v>
          </cell>
          <cell r="G844">
            <v>10.743771552</v>
          </cell>
          <cell r="H844">
            <v>0.19978407979999999</v>
          </cell>
          <cell r="I844" t="str">
            <v>Air/Non-Local PT</v>
          </cell>
          <cell r="J844" t="str">
            <v>2022/23</v>
          </cell>
        </row>
        <row r="845">
          <cell r="A845" t="str">
            <v>12 WEST COAST</v>
          </cell>
          <cell r="B845">
            <v>10</v>
          </cell>
          <cell r="C845">
            <v>2028</v>
          </cell>
          <cell r="D845">
            <v>4</v>
          </cell>
          <cell r="E845">
            <v>8</v>
          </cell>
          <cell r="F845">
            <v>0.10134535140000001</v>
          </cell>
          <cell r="G845">
            <v>9.9130599717999992</v>
          </cell>
          <cell r="H845">
            <v>0.1908186727</v>
          </cell>
          <cell r="I845" t="str">
            <v>Air/Non-Local PT</v>
          </cell>
          <cell r="J845" t="str">
            <v>2027/28</v>
          </cell>
        </row>
        <row r="846">
          <cell r="A846" t="str">
            <v>12 WEST COAST</v>
          </cell>
          <cell r="B846">
            <v>10</v>
          </cell>
          <cell r="C846">
            <v>2033</v>
          </cell>
          <cell r="D846">
            <v>4</v>
          </cell>
          <cell r="E846">
            <v>8</v>
          </cell>
          <cell r="F846">
            <v>9.3645352599999995E-2</v>
          </cell>
          <cell r="G846">
            <v>8.9988426603999994</v>
          </cell>
          <cell r="H846">
            <v>0.17719955640000001</v>
          </cell>
          <cell r="I846" t="str">
            <v>Air/Non-Local PT</v>
          </cell>
          <cell r="J846" t="str">
            <v>2032/33</v>
          </cell>
        </row>
        <row r="847">
          <cell r="A847" t="str">
            <v>12 WEST COAST</v>
          </cell>
          <cell r="B847">
            <v>10</v>
          </cell>
          <cell r="C847">
            <v>2038</v>
          </cell>
          <cell r="D847">
            <v>4</v>
          </cell>
          <cell r="E847">
            <v>8</v>
          </cell>
          <cell r="F847">
            <v>9.0981622700000001E-2</v>
          </cell>
          <cell r="G847">
            <v>8.6907287338000003</v>
          </cell>
          <cell r="H847">
            <v>0.17244368530000001</v>
          </cell>
          <cell r="I847" t="str">
            <v>Air/Non-Local PT</v>
          </cell>
          <cell r="J847" t="str">
            <v>2037/38</v>
          </cell>
        </row>
        <row r="848">
          <cell r="A848" t="str">
            <v>12 WEST COAST</v>
          </cell>
          <cell r="B848">
            <v>10</v>
          </cell>
          <cell r="C848">
            <v>2043</v>
          </cell>
          <cell r="D848">
            <v>4</v>
          </cell>
          <cell r="E848">
            <v>8</v>
          </cell>
          <cell r="F848">
            <v>8.7514976499999994E-2</v>
          </cell>
          <cell r="G848">
            <v>8.3021090093000005</v>
          </cell>
          <cell r="H848">
            <v>0.1661867873</v>
          </cell>
          <cell r="I848" t="str">
            <v>Air/Non-Local PT</v>
          </cell>
          <cell r="J848" t="str">
            <v>2042/43</v>
          </cell>
        </row>
        <row r="849">
          <cell r="A849" t="str">
            <v>12 WEST COAST</v>
          </cell>
          <cell r="B849">
            <v>11</v>
          </cell>
          <cell r="C849">
            <v>2013</v>
          </cell>
          <cell r="D849">
            <v>9</v>
          </cell>
          <cell r="E849">
            <v>44</v>
          </cell>
          <cell r="F849">
            <v>0.57649160089999996</v>
          </cell>
          <cell r="G849">
            <v>20.958164275000001</v>
          </cell>
          <cell r="H849">
            <v>0.34686230169999999</v>
          </cell>
          <cell r="I849" t="str">
            <v>Non-Household Travel</v>
          </cell>
          <cell r="J849" t="str">
            <v>2012/13</v>
          </cell>
        </row>
        <row r="850">
          <cell r="A850" t="str">
            <v>12 WEST COAST</v>
          </cell>
          <cell r="B850">
            <v>11</v>
          </cell>
          <cell r="C850">
            <v>2018</v>
          </cell>
          <cell r="D850">
            <v>9</v>
          </cell>
          <cell r="E850">
            <v>44</v>
          </cell>
          <cell r="F850">
            <v>0.60895584280000004</v>
          </cell>
          <cell r="G850">
            <v>21.947567634999999</v>
          </cell>
          <cell r="H850">
            <v>0.36397977139999999</v>
          </cell>
          <cell r="I850" t="str">
            <v>Non-Household Travel</v>
          </cell>
          <cell r="J850" t="str">
            <v>2017/18</v>
          </cell>
        </row>
        <row r="851">
          <cell r="A851" t="str">
            <v>12 WEST COAST</v>
          </cell>
          <cell r="B851">
            <v>11</v>
          </cell>
          <cell r="C851">
            <v>2023</v>
          </cell>
          <cell r="D851">
            <v>9</v>
          </cell>
          <cell r="E851">
            <v>44</v>
          </cell>
          <cell r="F851">
            <v>0.58656463219999999</v>
          </cell>
          <cell r="G851">
            <v>21.454663942</v>
          </cell>
          <cell r="H851">
            <v>0.35599764119999999</v>
          </cell>
          <cell r="I851" t="str">
            <v>Non-Household Travel</v>
          </cell>
          <cell r="J851" t="str">
            <v>2022/23</v>
          </cell>
        </row>
        <row r="852">
          <cell r="A852" t="str">
            <v>12 WEST COAST</v>
          </cell>
          <cell r="B852">
            <v>11</v>
          </cell>
          <cell r="C852">
            <v>2028</v>
          </cell>
          <cell r="D852">
            <v>9</v>
          </cell>
          <cell r="E852">
            <v>44</v>
          </cell>
          <cell r="F852">
            <v>0.58797434469999998</v>
          </cell>
          <cell r="G852">
            <v>21.168929233</v>
          </cell>
          <cell r="H852">
            <v>0.35155902220000002</v>
          </cell>
          <cell r="I852" t="str">
            <v>Non-Household Travel</v>
          </cell>
          <cell r="J852" t="str">
            <v>2027/28</v>
          </cell>
        </row>
        <row r="853">
          <cell r="A853" t="str">
            <v>12 WEST COAST</v>
          </cell>
          <cell r="B853">
            <v>11</v>
          </cell>
          <cell r="C853">
            <v>2033</v>
          </cell>
          <cell r="D853">
            <v>9</v>
          </cell>
          <cell r="E853">
            <v>44</v>
          </cell>
          <cell r="F853">
            <v>0.57154953009999998</v>
          </cell>
          <cell r="G853">
            <v>20.240568198999998</v>
          </cell>
          <cell r="H853">
            <v>0.33664419579999999</v>
          </cell>
          <cell r="I853" t="str">
            <v>Non-Household Travel</v>
          </cell>
          <cell r="J853" t="str">
            <v>2032/33</v>
          </cell>
        </row>
        <row r="854">
          <cell r="A854" t="str">
            <v>12 WEST COAST</v>
          </cell>
          <cell r="B854">
            <v>11</v>
          </cell>
          <cell r="C854">
            <v>2038</v>
          </cell>
          <cell r="D854">
            <v>9</v>
          </cell>
          <cell r="E854">
            <v>44</v>
          </cell>
          <cell r="F854">
            <v>0.5564073665</v>
          </cell>
          <cell r="G854">
            <v>19.477442439000001</v>
          </cell>
          <cell r="H854">
            <v>0.3244447493</v>
          </cell>
          <cell r="I854" t="str">
            <v>Non-Household Travel</v>
          </cell>
          <cell r="J854" t="str">
            <v>2037/38</v>
          </cell>
        </row>
        <row r="855">
          <cell r="A855" t="str">
            <v>12 WEST COAST</v>
          </cell>
          <cell r="B855">
            <v>11</v>
          </cell>
          <cell r="C855">
            <v>2043</v>
          </cell>
          <cell r="D855">
            <v>9</v>
          </cell>
          <cell r="E855">
            <v>44</v>
          </cell>
          <cell r="F855">
            <v>0.53249769260000002</v>
          </cell>
          <cell r="G855">
            <v>18.501619248000001</v>
          </cell>
          <cell r="H855">
            <v>0.30874484120000001</v>
          </cell>
          <cell r="I855" t="str">
            <v>Non-Household Travel</v>
          </cell>
          <cell r="J855" t="str">
            <v>2042/43</v>
          </cell>
        </row>
        <row r="856">
          <cell r="A856" t="str">
            <v>13 CANTERBURY</v>
          </cell>
          <cell r="B856">
            <v>0</v>
          </cell>
          <cell r="C856">
            <v>2013</v>
          </cell>
          <cell r="D856">
            <v>2073</v>
          </cell>
          <cell r="E856">
            <v>7645</v>
          </cell>
          <cell r="F856">
            <v>131.04676542000001</v>
          </cell>
          <cell r="G856">
            <v>113.37513976</v>
          </cell>
          <cell r="H856">
            <v>27.07651954</v>
          </cell>
          <cell r="I856" t="str">
            <v>Pedestrian</v>
          </cell>
          <cell r="J856" t="str">
            <v>2012/13</v>
          </cell>
        </row>
        <row r="857">
          <cell r="A857" t="str">
            <v>13 CANTERBURY</v>
          </cell>
          <cell r="B857">
            <v>0</v>
          </cell>
          <cell r="C857">
            <v>2018</v>
          </cell>
          <cell r="D857">
            <v>2073</v>
          </cell>
          <cell r="E857">
            <v>7645</v>
          </cell>
          <cell r="F857">
            <v>139.87883887000001</v>
          </cell>
          <cell r="G857">
            <v>120.90088315</v>
          </cell>
          <cell r="H857">
            <v>28.722952664000001</v>
          </cell>
          <cell r="I857" t="str">
            <v>Pedestrian</v>
          </cell>
          <cell r="J857" t="str">
            <v>2017/18</v>
          </cell>
        </row>
        <row r="858">
          <cell r="A858" t="str">
            <v>13 CANTERBURY</v>
          </cell>
          <cell r="B858">
            <v>0</v>
          </cell>
          <cell r="C858">
            <v>2023</v>
          </cell>
          <cell r="D858">
            <v>2073</v>
          </cell>
          <cell r="E858">
            <v>7645</v>
          </cell>
          <cell r="F858">
            <v>144.34142899</v>
          </cell>
          <cell r="G858">
            <v>123.88668948</v>
          </cell>
          <cell r="H858">
            <v>29.375493978000002</v>
          </cell>
          <cell r="I858" t="str">
            <v>Pedestrian</v>
          </cell>
          <cell r="J858" t="str">
            <v>2022/23</v>
          </cell>
        </row>
        <row r="859">
          <cell r="A859" t="str">
            <v>13 CANTERBURY</v>
          </cell>
          <cell r="B859">
            <v>0</v>
          </cell>
          <cell r="C859">
            <v>2028</v>
          </cell>
          <cell r="D859">
            <v>2073</v>
          </cell>
          <cell r="E859">
            <v>7645</v>
          </cell>
          <cell r="F859">
            <v>147.76217632999999</v>
          </cell>
          <cell r="G859">
            <v>126.12516033999999</v>
          </cell>
          <cell r="H859">
            <v>29.805647710999999</v>
          </cell>
          <cell r="I859" t="str">
            <v>Pedestrian</v>
          </cell>
          <cell r="J859" t="str">
            <v>2027/28</v>
          </cell>
        </row>
        <row r="860">
          <cell r="A860" t="str">
            <v>13 CANTERBURY</v>
          </cell>
          <cell r="B860">
            <v>0</v>
          </cell>
          <cell r="C860">
            <v>2033</v>
          </cell>
          <cell r="D860">
            <v>2073</v>
          </cell>
          <cell r="E860">
            <v>7645</v>
          </cell>
          <cell r="F860">
            <v>149.1805209</v>
          </cell>
          <cell r="G860">
            <v>126.63471005</v>
          </cell>
          <cell r="H860">
            <v>29.891688841000001</v>
          </cell>
          <cell r="I860" t="str">
            <v>Pedestrian</v>
          </cell>
          <cell r="J860" t="str">
            <v>2032/33</v>
          </cell>
        </row>
        <row r="861">
          <cell r="A861" t="str">
            <v>13 CANTERBURY</v>
          </cell>
          <cell r="B861">
            <v>0</v>
          </cell>
          <cell r="C861">
            <v>2038</v>
          </cell>
          <cell r="D861">
            <v>2073</v>
          </cell>
          <cell r="E861">
            <v>7645</v>
          </cell>
          <cell r="F861">
            <v>149.59627165000001</v>
          </cell>
          <cell r="G861">
            <v>126.42234645000001</v>
          </cell>
          <cell r="H861">
            <v>29.746314439999999</v>
          </cell>
          <cell r="I861" t="str">
            <v>Pedestrian</v>
          </cell>
          <cell r="J861" t="str">
            <v>2037/38</v>
          </cell>
        </row>
        <row r="862">
          <cell r="A862" t="str">
            <v>13 CANTERBURY</v>
          </cell>
          <cell r="B862">
            <v>0</v>
          </cell>
          <cell r="C862">
            <v>2043</v>
          </cell>
          <cell r="D862">
            <v>2073</v>
          </cell>
          <cell r="E862">
            <v>7645</v>
          </cell>
          <cell r="F862">
            <v>149.49706968999999</v>
          </cell>
          <cell r="G862">
            <v>125.82369511</v>
          </cell>
          <cell r="H862">
            <v>29.517255713000001</v>
          </cell>
          <cell r="I862" t="str">
            <v>Pedestrian</v>
          </cell>
          <cell r="J862" t="str">
            <v>2042/43</v>
          </cell>
        </row>
        <row r="863">
          <cell r="A863" t="str">
            <v>13 CANTERBURY</v>
          </cell>
          <cell r="B863">
            <v>1</v>
          </cell>
          <cell r="C863">
            <v>2013</v>
          </cell>
          <cell r="D863">
            <v>335</v>
          </cell>
          <cell r="E863">
            <v>1282</v>
          </cell>
          <cell r="F863">
            <v>23.740018446000001</v>
          </cell>
          <cell r="G863">
            <v>97.023488555</v>
          </cell>
          <cell r="H863">
            <v>7.2445897615000003</v>
          </cell>
          <cell r="I863" t="str">
            <v>Cyclist</v>
          </cell>
          <cell r="J863" t="str">
            <v>2012/13</v>
          </cell>
        </row>
        <row r="864">
          <cell r="A864" t="str">
            <v>13 CANTERBURY</v>
          </cell>
          <cell r="B864">
            <v>1</v>
          </cell>
          <cell r="C864">
            <v>2018</v>
          </cell>
          <cell r="D864">
            <v>335</v>
          </cell>
          <cell r="E864">
            <v>1282</v>
          </cell>
          <cell r="F864">
            <v>25.893010024999999</v>
          </cell>
          <cell r="G864">
            <v>108.33572852</v>
          </cell>
          <cell r="H864">
            <v>7.9757249116000004</v>
          </cell>
          <cell r="I864" t="str">
            <v>Cyclist</v>
          </cell>
          <cell r="J864" t="str">
            <v>2017/18</v>
          </cell>
        </row>
        <row r="865">
          <cell r="A865" t="str">
            <v>13 CANTERBURY</v>
          </cell>
          <cell r="B865">
            <v>1</v>
          </cell>
          <cell r="C865">
            <v>2023</v>
          </cell>
          <cell r="D865">
            <v>335</v>
          </cell>
          <cell r="E865">
            <v>1282</v>
          </cell>
          <cell r="F865">
            <v>26.289217967999999</v>
          </cell>
          <cell r="G865">
            <v>112.15091734000001</v>
          </cell>
          <cell r="H865">
            <v>8.1824398347000002</v>
          </cell>
          <cell r="I865" t="str">
            <v>Cyclist</v>
          </cell>
          <cell r="J865" t="str">
            <v>2022/23</v>
          </cell>
        </row>
        <row r="866">
          <cell r="A866" t="str">
            <v>13 CANTERBURY</v>
          </cell>
          <cell r="B866">
            <v>1</v>
          </cell>
          <cell r="C866">
            <v>2028</v>
          </cell>
          <cell r="D866">
            <v>335</v>
          </cell>
          <cell r="E866">
            <v>1282</v>
          </cell>
          <cell r="F866">
            <v>26.408966382999999</v>
          </cell>
          <cell r="G866">
            <v>114.19660073</v>
          </cell>
          <cell r="H866">
            <v>8.2744581967999995</v>
          </cell>
          <cell r="I866" t="str">
            <v>Cyclist</v>
          </cell>
          <cell r="J866" t="str">
            <v>2027/28</v>
          </cell>
        </row>
        <row r="867">
          <cell r="A867" t="str">
            <v>13 CANTERBURY</v>
          </cell>
          <cell r="B867">
            <v>1</v>
          </cell>
          <cell r="C867">
            <v>2033</v>
          </cell>
          <cell r="D867">
            <v>335</v>
          </cell>
          <cell r="E867">
            <v>1282</v>
          </cell>
          <cell r="F867">
            <v>26.601595309</v>
          </cell>
          <cell r="G867">
            <v>117.52236007</v>
          </cell>
          <cell r="H867">
            <v>8.4252212441999994</v>
          </cell>
          <cell r="I867" t="str">
            <v>Cyclist</v>
          </cell>
          <cell r="J867" t="str">
            <v>2032/33</v>
          </cell>
        </row>
        <row r="868">
          <cell r="A868" t="str">
            <v>13 CANTERBURY</v>
          </cell>
          <cell r="B868">
            <v>1</v>
          </cell>
          <cell r="C868">
            <v>2038</v>
          </cell>
          <cell r="D868">
            <v>335</v>
          </cell>
          <cell r="E868">
            <v>1282</v>
          </cell>
          <cell r="F868">
            <v>26.631394848999999</v>
          </cell>
          <cell r="G868">
            <v>122.09460375</v>
          </cell>
          <cell r="H868">
            <v>8.6139585383000004</v>
          </cell>
          <cell r="I868" t="str">
            <v>Cyclist</v>
          </cell>
          <cell r="J868" t="str">
            <v>2037/38</v>
          </cell>
        </row>
        <row r="869">
          <cell r="A869" t="str">
            <v>13 CANTERBURY</v>
          </cell>
          <cell r="B869">
            <v>1</v>
          </cell>
          <cell r="C869">
            <v>2043</v>
          </cell>
          <cell r="D869">
            <v>335</v>
          </cell>
          <cell r="E869">
            <v>1282</v>
          </cell>
          <cell r="F869">
            <v>26.676731629999999</v>
          </cell>
          <cell r="G869">
            <v>126.94707174</v>
          </cell>
          <cell r="H869">
            <v>8.8166575806999994</v>
          </cell>
          <cell r="I869" t="str">
            <v>Cyclist</v>
          </cell>
          <cell r="J869" t="str">
            <v>2042/43</v>
          </cell>
        </row>
        <row r="870">
          <cell r="A870" t="str">
            <v>13 CANTERBURY</v>
          </cell>
          <cell r="B870">
            <v>2</v>
          </cell>
          <cell r="C870">
            <v>2013</v>
          </cell>
          <cell r="D870">
            <v>3326</v>
          </cell>
          <cell r="E870">
            <v>23816</v>
          </cell>
          <cell r="F870">
            <v>417.41567177000002</v>
          </cell>
          <cell r="G870">
            <v>3777.041205</v>
          </cell>
          <cell r="H870">
            <v>111.06814274</v>
          </cell>
          <cell r="I870" t="str">
            <v>Light Vehicle Driver</v>
          </cell>
          <cell r="J870" t="str">
            <v>2012/13</v>
          </cell>
        </row>
        <row r="871">
          <cell r="A871" t="str">
            <v>13 CANTERBURY</v>
          </cell>
          <cell r="B871">
            <v>2</v>
          </cell>
          <cell r="C871">
            <v>2018</v>
          </cell>
          <cell r="D871">
            <v>3326</v>
          </cell>
          <cell r="E871">
            <v>23816</v>
          </cell>
          <cell r="F871">
            <v>463.87602475</v>
          </cell>
          <cell r="G871">
            <v>4247.5570102000001</v>
          </cell>
          <cell r="H871">
            <v>124.60290858</v>
          </cell>
          <cell r="I871" t="str">
            <v>Light Vehicle Driver</v>
          </cell>
          <cell r="J871" t="str">
            <v>2017/18</v>
          </cell>
        </row>
        <row r="872">
          <cell r="A872" t="str">
            <v>13 CANTERBURY</v>
          </cell>
          <cell r="B872">
            <v>2</v>
          </cell>
          <cell r="C872">
            <v>2023</v>
          </cell>
          <cell r="D872">
            <v>3326</v>
          </cell>
          <cell r="E872">
            <v>23816</v>
          </cell>
          <cell r="F872">
            <v>490.26518828000002</v>
          </cell>
          <cell r="G872">
            <v>4502.1845037000003</v>
          </cell>
          <cell r="H872">
            <v>132.0495013</v>
          </cell>
          <cell r="I872" t="str">
            <v>Light Vehicle Driver</v>
          </cell>
          <cell r="J872" t="str">
            <v>2022/23</v>
          </cell>
        </row>
        <row r="873">
          <cell r="A873" t="str">
            <v>13 CANTERBURY</v>
          </cell>
          <cell r="B873">
            <v>2</v>
          </cell>
          <cell r="C873">
            <v>2028</v>
          </cell>
          <cell r="D873">
            <v>3326</v>
          </cell>
          <cell r="E873">
            <v>23816</v>
          </cell>
          <cell r="F873">
            <v>520.08521201999997</v>
          </cell>
          <cell r="G873">
            <v>4782.0868641999996</v>
          </cell>
          <cell r="H873">
            <v>140.11419665</v>
          </cell>
          <cell r="I873" t="str">
            <v>Light Vehicle Driver</v>
          </cell>
          <cell r="J873" t="str">
            <v>2027/28</v>
          </cell>
        </row>
        <row r="874">
          <cell r="A874" t="str">
            <v>13 CANTERBURY</v>
          </cell>
          <cell r="B874">
            <v>2</v>
          </cell>
          <cell r="C874">
            <v>2033</v>
          </cell>
          <cell r="D874">
            <v>3326</v>
          </cell>
          <cell r="E874">
            <v>23816</v>
          </cell>
          <cell r="F874">
            <v>547.62313423000001</v>
          </cell>
          <cell r="G874">
            <v>5046.7851957000003</v>
          </cell>
          <cell r="H874">
            <v>147.73481681999999</v>
          </cell>
          <cell r="I874" t="str">
            <v>Light Vehicle Driver</v>
          </cell>
          <cell r="J874" t="str">
            <v>2032/33</v>
          </cell>
        </row>
        <row r="875">
          <cell r="A875" t="str">
            <v>13 CANTERBURY</v>
          </cell>
          <cell r="B875">
            <v>2</v>
          </cell>
          <cell r="C875">
            <v>2038</v>
          </cell>
          <cell r="D875">
            <v>3326</v>
          </cell>
          <cell r="E875">
            <v>23816</v>
          </cell>
          <cell r="F875">
            <v>567.95692213999996</v>
          </cell>
          <cell r="G875">
            <v>5250.0981497000002</v>
          </cell>
          <cell r="H875">
            <v>153.58575782</v>
          </cell>
          <cell r="I875" t="str">
            <v>Light Vehicle Driver</v>
          </cell>
          <cell r="J875" t="str">
            <v>2037/38</v>
          </cell>
        </row>
        <row r="876">
          <cell r="A876" t="str">
            <v>13 CANTERBURY</v>
          </cell>
          <cell r="B876">
            <v>2</v>
          </cell>
          <cell r="C876">
            <v>2043</v>
          </cell>
          <cell r="D876">
            <v>3326</v>
          </cell>
          <cell r="E876">
            <v>23816</v>
          </cell>
          <cell r="F876">
            <v>585.82226996999998</v>
          </cell>
          <cell r="G876">
            <v>5432.0835245999997</v>
          </cell>
          <cell r="H876">
            <v>158.82527343000001</v>
          </cell>
          <cell r="I876" t="str">
            <v>Light Vehicle Driver</v>
          </cell>
          <cell r="J876" t="str">
            <v>2042/43</v>
          </cell>
        </row>
        <row r="877">
          <cell r="A877" t="str">
            <v>13 CANTERBURY</v>
          </cell>
          <cell r="B877">
            <v>3</v>
          </cell>
          <cell r="C877">
            <v>2013</v>
          </cell>
          <cell r="D877">
            <v>2416</v>
          </cell>
          <cell r="E877">
            <v>11025</v>
          </cell>
          <cell r="F877">
            <v>189.77500577999999</v>
          </cell>
          <cell r="G877">
            <v>2033.7115475000001</v>
          </cell>
          <cell r="H877">
            <v>53.544276449999998</v>
          </cell>
          <cell r="I877" t="str">
            <v>Light Vehicle Passenger</v>
          </cell>
          <cell r="J877" t="str">
            <v>2012/13</v>
          </cell>
        </row>
        <row r="878">
          <cell r="A878" t="str">
            <v>13 CANTERBURY</v>
          </cell>
          <cell r="B878">
            <v>3</v>
          </cell>
          <cell r="C878">
            <v>2018</v>
          </cell>
          <cell r="D878">
            <v>2416</v>
          </cell>
          <cell r="E878">
            <v>11025</v>
          </cell>
          <cell r="F878">
            <v>199.97188070999999</v>
          </cell>
          <cell r="G878">
            <v>2174.6305008999998</v>
          </cell>
          <cell r="H878">
            <v>56.929317509000001</v>
          </cell>
          <cell r="I878" t="str">
            <v>Light Vehicle Passenger</v>
          </cell>
          <cell r="J878" t="str">
            <v>2017/18</v>
          </cell>
        </row>
        <row r="879">
          <cell r="A879" t="str">
            <v>13 CANTERBURY</v>
          </cell>
          <cell r="B879">
            <v>3</v>
          </cell>
          <cell r="C879">
            <v>2023</v>
          </cell>
          <cell r="D879">
            <v>2416</v>
          </cell>
          <cell r="E879">
            <v>11025</v>
          </cell>
          <cell r="F879">
            <v>204.73643799000001</v>
          </cell>
          <cell r="G879">
            <v>2249.6574615999998</v>
          </cell>
          <cell r="H879">
            <v>58.623139684000002</v>
          </cell>
          <cell r="I879" t="str">
            <v>Light Vehicle Passenger</v>
          </cell>
          <cell r="J879" t="str">
            <v>2022/23</v>
          </cell>
        </row>
        <row r="880">
          <cell r="A880" t="str">
            <v>13 CANTERBURY</v>
          </cell>
          <cell r="B880">
            <v>3</v>
          </cell>
          <cell r="C880">
            <v>2028</v>
          </cell>
          <cell r="D880">
            <v>2416</v>
          </cell>
          <cell r="E880">
            <v>11025</v>
          </cell>
          <cell r="F880">
            <v>210.70979213000001</v>
          </cell>
          <cell r="G880">
            <v>2348.2215443999999</v>
          </cell>
          <cell r="H880">
            <v>60.732847790000001</v>
          </cell>
          <cell r="I880" t="str">
            <v>Light Vehicle Passenger</v>
          </cell>
          <cell r="J880" t="str">
            <v>2027/28</v>
          </cell>
        </row>
        <row r="881">
          <cell r="A881" t="str">
            <v>13 CANTERBURY</v>
          </cell>
          <cell r="B881">
            <v>3</v>
          </cell>
          <cell r="C881">
            <v>2033</v>
          </cell>
          <cell r="D881">
            <v>2416</v>
          </cell>
          <cell r="E881">
            <v>11025</v>
          </cell>
          <cell r="F881">
            <v>215.77018469000001</v>
          </cell>
          <cell r="G881">
            <v>2434.5643005000002</v>
          </cell>
          <cell r="H881">
            <v>62.559946758000002</v>
          </cell>
          <cell r="I881" t="str">
            <v>Light Vehicle Passenger</v>
          </cell>
          <cell r="J881" t="str">
            <v>2032/33</v>
          </cell>
        </row>
        <row r="882">
          <cell r="A882" t="str">
            <v>13 CANTERBURY</v>
          </cell>
          <cell r="B882">
            <v>3</v>
          </cell>
          <cell r="C882">
            <v>2038</v>
          </cell>
          <cell r="D882">
            <v>2416</v>
          </cell>
          <cell r="E882">
            <v>11025</v>
          </cell>
          <cell r="F882">
            <v>220.02265514000001</v>
          </cell>
          <cell r="G882">
            <v>2507.9346903999999</v>
          </cell>
          <cell r="H882">
            <v>64.142092293999994</v>
          </cell>
          <cell r="I882" t="str">
            <v>Light Vehicle Passenger</v>
          </cell>
          <cell r="J882" t="str">
            <v>2037/38</v>
          </cell>
        </row>
        <row r="883">
          <cell r="A883" t="str">
            <v>13 CANTERBURY</v>
          </cell>
          <cell r="B883">
            <v>3</v>
          </cell>
          <cell r="C883">
            <v>2043</v>
          </cell>
          <cell r="D883">
            <v>2416</v>
          </cell>
          <cell r="E883">
            <v>11025</v>
          </cell>
          <cell r="F883">
            <v>223.07418838000001</v>
          </cell>
          <cell r="G883">
            <v>2568.6781685999999</v>
          </cell>
          <cell r="H883">
            <v>65.400568852000006</v>
          </cell>
          <cell r="I883" t="str">
            <v>Light Vehicle Passenger</v>
          </cell>
          <cell r="J883" t="str">
            <v>2042/43</v>
          </cell>
        </row>
        <row r="884">
          <cell r="A884" t="str">
            <v>13 CANTERBURY</v>
          </cell>
          <cell r="B884">
            <v>4</v>
          </cell>
          <cell r="C884">
            <v>2013</v>
          </cell>
          <cell r="D884">
            <v>68</v>
          </cell>
          <cell r="E884">
            <v>116</v>
          </cell>
          <cell r="F884">
            <v>2.2446435044999999</v>
          </cell>
          <cell r="G884">
            <v>16.530142167000001</v>
          </cell>
          <cell r="H884">
            <v>0.86554787379999998</v>
          </cell>
          <cell r="J884" t="str">
            <v>2012/13</v>
          </cell>
        </row>
        <row r="885">
          <cell r="A885" t="str">
            <v>13 CANTERBURY</v>
          </cell>
          <cell r="B885">
            <v>4</v>
          </cell>
          <cell r="C885">
            <v>2018</v>
          </cell>
          <cell r="D885">
            <v>68</v>
          </cell>
          <cell r="E885">
            <v>116</v>
          </cell>
          <cell r="F885">
            <v>2.4949027935000001</v>
          </cell>
          <cell r="G885">
            <v>19.080411046999998</v>
          </cell>
          <cell r="H885">
            <v>0.97081330389999998</v>
          </cell>
          <cell r="J885" t="str">
            <v>2017/18</v>
          </cell>
        </row>
        <row r="886">
          <cell r="A886" t="str">
            <v>13 CANTERBURY</v>
          </cell>
          <cell r="B886">
            <v>4</v>
          </cell>
          <cell r="C886">
            <v>2023</v>
          </cell>
          <cell r="D886">
            <v>68</v>
          </cell>
          <cell r="E886">
            <v>116</v>
          </cell>
          <cell r="F886">
            <v>2.6358787548999998</v>
          </cell>
          <cell r="G886">
            <v>20.558174311999998</v>
          </cell>
          <cell r="H886">
            <v>1.0294593657</v>
          </cell>
          <cell r="J886" t="str">
            <v>2022/23</v>
          </cell>
        </row>
        <row r="887">
          <cell r="A887" t="str">
            <v>13 CANTERBURY</v>
          </cell>
          <cell r="B887">
            <v>4</v>
          </cell>
          <cell r="C887">
            <v>2028</v>
          </cell>
          <cell r="D887">
            <v>68</v>
          </cell>
          <cell r="E887">
            <v>116</v>
          </cell>
          <cell r="F887">
            <v>2.7424498902000001</v>
          </cell>
          <cell r="G887">
            <v>21.589462450999999</v>
          </cell>
          <cell r="H887">
            <v>1.0791544012000001</v>
          </cell>
          <cell r="J887" t="str">
            <v>2027/28</v>
          </cell>
        </row>
        <row r="888">
          <cell r="A888" t="str">
            <v>13 CANTERBURY</v>
          </cell>
          <cell r="B888">
            <v>4</v>
          </cell>
          <cell r="C888">
            <v>2033</v>
          </cell>
          <cell r="D888">
            <v>68</v>
          </cell>
          <cell r="E888">
            <v>116</v>
          </cell>
          <cell r="F888">
            <v>2.8434977047999999</v>
          </cell>
          <cell r="G888">
            <v>22.639840482</v>
          </cell>
          <cell r="H888">
            <v>1.1309471314999999</v>
          </cell>
          <cell r="J888" t="str">
            <v>2032/33</v>
          </cell>
        </row>
        <row r="889">
          <cell r="A889" t="str">
            <v>13 CANTERBURY</v>
          </cell>
          <cell r="B889">
            <v>4</v>
          </cell>
          <cell r="C889">
            <v>2038</v>
          </cell>
          <cell r="D889">
            <v>68</v>
          </cell>
          <cell r="E889">
            <v>116</v>
          </cell>
          <cell r="F889">
            <v>2.8866748267000002</v>
          </cell>
          <cell r="G889">
            <v>23.394996935000002</v>
          </cell>
          <cell r="H889">
            <v>1.1529576387</v>
          </cell>
          <cell r="J889" t="str">
            <v>2037/38</v>
          </cell>
        </row>
        <row r="890">
          <cell r="A890" t="str">
            <v>13 CANTERBURY</v>
          </cell>
          <cell r="B890">
            <v>4</v>
          </cell>
          <cell r="C890">
            <v>2043</v>
          </cell>
          <cell r="D890">
            <v>68</v>
          </cell>
          <cell r="E890">
            <v>116</v>
          </cell>
          <cell r="F890">
            <v>2.9105754959999999</v>
          </cell>
          <cell r="G890">
            <v>24.018800018</v>
          </cell>
          <cell r="H890">
            <v>1.1626688432000001</v>
          </cell>
          <cell r="J890" t="str">
            <v>2042/43</v>
          </cell>
        </row>
        <row r="891">
          <cell r="A891" t="str">
            <v>13 CANTERBURY</v>
          </cell>
          <cell r="B891">
            <v>5</v>
          </cell>
          <cell r="C891">
            <v>2013</v>
          </cell>
          <cell r="D891">
            <v>29</v>
          </cell>
          <cell r="E891">
            <v>91</v>
          </cell>
          <cell r="F891">
            <v>1.4451657518000001</v>
          </cell>
          <cell r="G891">
            <v>12.048552727000001</v>
          </cell>
          <cell r="H891">
            <v>0.39288238580000001</v>
          </cell>
          <cell r="I891" t="str">
            <v>Motorcyclist</v>
          </cell>
          <cell r="J891" t="str">
            <v>2012/13</v>
          </cell>
        </row>
        <row r="892">
          <cell r="A892" t="str">
            <v>13 CANTERBURY</v>
          </cell>
          <cell r="B892">
            <v>5</v>
          </cell>
          <cell r="C892">
            <v>2018</v>
          </cell>
          <cell r="D892">
            <v>29</v>
          </cell>
          <cell r="E892">
            <v>91</v>
          </cell>
          <cell r="F892">
            <v>1.5876460542999999</v>
          </cell>
          <cell r="G892">
            <v>12.899585403</v>
          </cell>
          <cell r="H892">
            <v>0.42812874490000002</v>
          </cell>
          <cell r="I892" t="str">
            <v>Motorcyclist</v>
          </cell>
          <cell r="J892" t="str">
            <v>2017/18</v>
          </cell>
        </row>
        <row r="893">
          <cell r="A893" t="str">
            <v>13 CANTERBURY</v>
          </cell>
          <cell r="B893">
            <v>5</v>
          </cell>
          <cell r="C893">
            <v>2023</v>
          </cell>
          <cell r="D893">
            <v>29</v>
          </cell>
          <cell r="E893">
            <v>91</v>
          </cell>
          <cell r="F893">
            <v>1.6202473163</v>
          </cell>
          <cell r="G893">
            <v>13.039425551000001</v>
          </cell>
          <cell r="H893">
            <v>0.43890673689999998</v>
          </cell>
          <cell r="I893" t="str">
            <v>Motorcyclist</v>
          </cell>
          <cell r="J893" t="str">
            <v>2022/23</v>
          </cell>
        </row>
        <row r="894">
          <cell r="A894" t="str">
            <v>13 CANTERBURY</v>
          </cell>
          <cell r="B894">
            <v>5</v>
          </cell>
          <cell r="C894">
            <v>2028</v>
          </cell>
          <cell r="D894">
            <v>29</v>
          </cell>
          <cell r="E894">
            <v>91</v>
          </cell>
          <cell r="F894">
            <v>1.6510984685000001</v>
          </cell>
          <cell r="G894">
            <v>13.192272951</v>
          </cell>
          <cell r="H894">
            <v>0.45099962760000001</v>
          </cell>
          <cell r="I894" t="str">
            <v>Motorcyclist</v>
          </cell>
          <cell r="J894" t="str">
            <v>2027/28</v>
          </cell>
        </row>
        <row r="895">
          <cell r="A895" t="str">
            <v>13 CANTERBURY</v>
          </cell>
          <cell r="B895">
            <v>5</v>
          </cell>
          <cell r="C895">
            <v>2033</v>
          </cell>
          <cell r="D895">
            <v>29</v>
          </cell>
          <cell r="E895">
            <v>91</v>
          </cell>
          <cell r="F895">
            <v>1.6912961432</v>
          </cell>
          <cell r="G895">
            <v>13.692956581000001</v>
          </cell>
          <cell r="H895">
            <v>0.46991251919999999</v>
          </cell>
          <cell r="I895" t="str">
            <v>Motorcyclist</v>
          </cell>
          <cell r="J895" t="str">
            <v>2032/33</v>
          </cell>
        </row>
        <row r="896">
          <cell r="A896" t="str">
            <v>13 CANTERBURY</v>
          </cell>
          <cell r="B896">
            <v>5</v>
          </cell>
          <cell r="C896">
            <v>2038</v>
          </cell>
          <cell r="D896">
            <v>29</v>
          </cell>
          <cell r="E896">
            <v>91</v>
          </cell>
          <cell r="F896">
            <v>1.7704211917999999</v>
          </cell>
          <cell r="G896">
            <v>14.566916087999999</v>
          </cell>
          <cell r="H896">
            <v>0.50205906830000002</v>
          </cell>
          <cell r="I896" t="str">
            <v>Motorcyclist</v>
          </cell>
          <cell r="J896" t="str">
            <v>2037/38</v>
          </cell>
        </row>
        <row r="897">
          <cell r="A897" t="str">
            <v>13 CANTERBURY</v>
          </cell>
          <cell r="B897">
            <v>5</v>
          </cell>
          <cell r="C897">
            <v>2043</v>
          </cell>
          <cell r="D897">
            <v>29</v>
          </cell>
          <cell r="E897">
            <v>91</v>
          </cell>
          <cell r="F897">
            <v>1.8397863753000001</v>
          </cell>
          <cell r="G897">
            <v>15.337670532000001</v>
          </cell>
          <cell r="H897">
            <v>0.53196939139999999</v>
          </cell>
          <cell r="I897" t="str">
            <v>Motorcyclist</v>
          </cell>
          <cell r="J897" t="str">
            <v>2042/43</v>
          </cell>
        </row>
        <row r="898">
          <cell r="A898" t="str">
            <v>13 CANTERBURY</v>
          </cell>
          <cell r="B898">
            <v>6</v>
          </cell>
          <cell r="C898">
            <v>2013</v>
          </cell>
          <cell r="D898">
            <v>1</v>
          </cell>
          <cell r="E898">
            <v>1</v>
          </cell>
          <cell r="F898">
            <v>2.1901243099999999E-2</v>
          </cell>
          <cell r="G898">
            <v>0</v>
          </cell>
          <cell r="H898">
            <v>7.3004144E-3</v>
          </cell>
          <cell r="I898" t="str">
            <v>Local Train</v>
          </cell>
          <cell r="J898" t="str">
            <v>2012/13</v>
          </cell>
        </row>
        <row r="899">
          <cell r="A899" t="str">
            <v>13 CANTERBURY</v>
          </cell>
          <cell r="B899">
            <v>6</v>
          </cell>
          <cell r="C899">
            <v>2018</v>
          </cell>
          <cell r="D899">
            <v>1</v>
          </cell>
          <cell r="E899">
            <v>1</v>
          </cell>
          <cell r="F899">
            <v>2.25451279E-2</v>
          </cell>
          <cell r="G899">
            <v>0</v>
          </cell>
          <cell r="H899">
            <v>7.5150425999999998E-3</v>
          </cell>
          <cell r="I899" t="str">
            <v>Local Train</v>
          </cell>
          <cell r="J899" t="str">
            <v>2017/18</v>
          </cell>
        </row>
        <row r="900">
          <cell r="A900" t="str">
            <v>13 CANTERBURY</v>
          </cell>
          <cell r="B900">
            <v>6</v>
          </cell>
          <cell r="C900">
            <v>2023</v>
          </cell>
          <cell r="D900">
            <v>1</v>
          </cell>
          <cell r="E900">
            <v>1</v>
          </cell>
          <cell r="F900">
            <v>1.9279195900000001E-2</v>
          </cell>
          <cell r="G900">
            <v>0</v>
          </cell>
          <cell r="H900">
            <v>6.4263986E-3</v>
          </cell>
          <cell r="I900" t="str">
            <v>Local Train</v>
          </cell>
          <cell r="J900" t="str">
            <v>2022/23</v>
          </cell>
        </row>
        <row r="901">
          <cell r="A901" t="str">
            <v>13 CANTERBURY</v>
          </cell>
          <cell r="B901">
            <v>6</v>
          </cell>
          <cell r="C901">
            <v>2028</v>
          </cell>
          <cell r="D901">
            <v>1</v>
          </cell>
          <cell r="E901">
            <v>1</v>
          </cell>
          <cell r="F901">
            <v>1.79855854E-2</v>
          </cell>
          <cell r="G901">
            <v>0</v>
          </cell>
          <cell r="H901">
            <v>5.9951950999999996E-3</v>
          </cell>
          <cell r="I901" t="str">
            <v>Local Train</v>
          </cell>
          <cell r="J901" t="str">
            <v>2027/28</v>
          </cell>
        </row>
        <row r="902">
          <cell r="A902" t="str">
            <v>13 CANTERBURY</v>
          </cell>
          <cell r="B902">
            <v>6</v>
          </cell>
          <cell r="C902">
            <v>2033</v>
          </cell>
          <cell r="D902">
            <v>1</v>
          </cell>
          <cell r="E902">
            <v>1</v>
          </cell>
          <cell r="F902">
            <v>1.7138687699999999E-2</v>
          </cell>
          <cell r="G902">
            <v>0</v>
          </cell>
          <cell r="H902">
            <v>5.7128958999999998E-3</v>
          </cell>
          <cell r="I902" t="str">
            <v>Local Train</v>
          </cell>
          <cell r="J902" t="str">
            <v>2032/33</v>
          </cell>
        </row>
        <row r="903">
          <cell r="A903" t="str">
            <v>13 CANTERBURY</v>
          </cell>
          <cell r="B903">
            <v>6</v>
          </cell>
          <cell r="C903">
            <v>2038</v>
          </cell>
          <cell r="D903">
            <v>1</v>
          </cell>
          <cell r="E903">
            <v>1</v>
          </cell>
          <cell r="F903">
            <v>1.45208987E-2</v>
          </cell>
          <cell r="G903">
            <v>0</v>
          </cell>
          <cell r="H903">
            <v>4.8402996000000004E-3</v>
          </cell>
          <cell r="I903" t="str">
            <v>Local Train</v>
          </cell>
          <cell r="J903" t="str">
            <v>2037/38</v>
          </cell>
        </row>
        <row r="904">
          <cell r="A904" t="str">
            <v>13 CANTERBURY</v>
          </cell>
          <cell r="B904">
            <v>6</v>
          </cell>
          <cell r="C904">
            <v>2043</v>
          </cell>
          <cell r="D904">
            <v>1</v>
          </cell>
          <cell r="E904">
            <v>1</v>
          </cell>
          <cell r="F904">
            <v>1.2069111400000001E-2</v>
          </cell>
          <cell r="G904">
            <v>0</v>
          </cell>
          <cell r="H904">
            <v>4.0230370999999997E-3</v>
          </cell>
          <cell r="I904" t="str">
            <v>Local Train</v>
          </cell>
          <cell r="J904" t="str">
            <v>2042/43</v>
          </cell>
        </row>
        <row r="905">
          <cell r="A905" t="str">
            <v>13 CANTERBURY</v>
          </cell>
          <cell r="B905">
            <v>7</v>
          </cell>
          <cell r="C905">
            <v>2013</v>
          </cell>
          <cell r="D905">
            <v>384</v>
          </cell>
          <cell r="E905">
            <v>1120</v>
          </cell>
          <cell r="F905">
            <v>20.502079716000001</v>
          </cell>
          <cell r="G905">
            <v>174.53993166999999</v>
          </cell>
          <cell r="H905">
            <v>7.9805750329</v>
          </cell>
          <cell r="I905" t="str">
            <v>Local Bus</v>
          </cell>
          <cell r="J905" t="str">
            <v>2012/13</v>
          </cell>
        </row>
        <row r="906">
          <cell r="A906" t="str">
            <v>13 CANTERBURY</v>
          </cell>
          <cell r="B906">
            <v>7</v>
          </cell>
          <cell r="C906">
            <v>2018</v>
          </cell>
          <cell r="D906">
            <v>384</v>
          </cell>
          <cell r="E906">
            <v>1120</v>
          </cell>
          <cell r="F906">
            <v>20.976049086</v>
          </cell>
          <cell r="G906">
            <v>178.40772453</v>
          </cell>
          <cell r="H906">
            <v>8.1563774540999994</v>
          </cell>
          <cell r="I906" t="str">
            <v>Local Bus</v>
          </cell>
          <cell r="J906" t="str">
            <v>2017/18</v>
          </cell>
        </row>
        <row r="907">
          <cell r="A907" t="str">
            <v>13 CANTERBURY</v>
          </cell>
          <cell r="B907">
            <v>7</v>
          </cell>
          <cell r="C907">
            <v>2023</v>
          </cell>
          <cell r="D907">
            <v>384</v>
          </cell>
          <cell r="E907">
            <v>1120</v>
          </cell>
          <cell r="F907">
            <v>20.901951312000001</v>
          </cell>
          <cell r="G907">
            <v>176.99843539</v>
          </cell>
          <cell r="H907">
            <v>8.1004967627000006</v>
          </cell>
          <cell r="I907" t="str">
            <v>Local Bus</v>
          </cell>
          <cell r="J907" t="str">
            <v>2022/23</v>
          </cell>
        </row>
        <row r="908">
          <cell r="A908" t="str">
            <v>13 CANTERBURY</v>
          </cell>
          <cell r="B908">
            <v>7</v>
          </cell>
          <cell r="C908">
            <v>2028</v>
          </cell>
          <cell r="D908">
            <v>384</v>
          </cell>
          <cell r="E908">
            <v>1120</v>
          </cell>
          <cell r="F908">
            <v>20.780114531999999</v>
          </cell>
          <cell r="G908">
            <v>177.62065634000001</v>
          </cell>
          <cell r="H908">
            <v>8.0592093902999995</v>
          </cell>
          <cell r="I908" t="str">
            <v>Local Bus</v>
          </cell>
          <cell r="J908" t="str">
            <v>2027/28</v>
          </cell>
        </row>
        <row r="909">
          <cell r="A909" t="str">
            <v>13 CANTERBURY</v>
          </cell>
          <cell r="B909">
            <v>7</v>
          </cell>
          <cell r="C909">
            <v>2033</v>
          </cell>
          <cell r="D909">
            <v>384</v>
          </cell>
          <cell r="E909">
            <v>1120</v>
          </cell>
          <cell r="F909">
            <v>20.189459515999999</v>
          </cell>
          <cell r="G909">
            <v>174.22242717</v>
          </cell>
          <cell r="H909">
            <v>7.8463710917</v>
          </cell>
          <cell r="I909" t="str">
            <v>Local Bus</v>
          </cell>
          <cell r="J909" t="str">
            <v>2032/33</v>
          </cell>
        </row>
        <row r="910">
          <cell r="A910" t="str">
            <v>13 CANTERBURY</v>
          </cell>
          <cell r="B910">
            <v>7</v>
          </cell>
          <cell r="C910">
            <v>2038</v>
          </cell>
          <cell r="D910">
            <v>384</v>
          </cell>
          <cell r="E910">
            <v>1120</v>
          </cell>
          <cell r="F910">
            <v>19.612895277</v>
          </cell>
          <cell r="G910">
            <v>170.48597458</v>
          </cell>
          <cell r="H910">
            <v>7.6404426641000001</v>
          </cell>
          <cell r="I910" t="str">
            <v>Local Bus</v>
          </cell>
          <cell r="J910" t="str">
            <v>2037/38</v>
          </cell>
        </row>
        <row r="911">
          <cell r="A911" t="str">
            <v>13 CANTERBURY</v>
          </cell>
          <cell r="B911">
            <v>7</v>
          </cell>
          <cell r="C911">
            <v>2043</v>
          </cell>
          <cell r="D911">
            <v>384</v>
          </cell>
          <cell r="E911">
            <v>1120</v>
          </cell>
          <cell r="F911">
            <v>18.968578354999998</v>
          </cell>
          <cell r="G911">
            <v>166.02331469000001</v>
          </cell>
          <cell r="H911">
            <v>7.4053767446999998</v>
          </cell>
          <cell r="I911" t="str">
            <v>Local Bus</v>
          </cell>
          <cell r="J911" t="str">
            <v>2042/43</v>
          </cell>
        </row>
        <row r="912">
          <cell r="A912" t="str">
            <v>13 CANTERBURY</v>
          </cell>
          <cell r="B912">
            <v>9</v>
          </cell>
          <cell r="C912">
            <v>2013</v>
          </cell>
          <cell r="D912">
            <v>31</v>
          </cell>
          <cell r="E912">
            <v>81</v>
          </cell>
          <cell r="F912">
            <v>1.5386198845000001</v>
          </cell>
          <cell r="G912">
            <v>0</v>
          </cell>
          <cell r="H912">
            <v>0.91635513570000005</v>
          </cell>
          <cell r="I912" t="str">
            <v>Other Household Travel</v>
          </cell>
          <cell r="J912" t="str">
            <v>2012/13</v>
          </cell>
        </row>
        <row r="913">
          <cell r="A913" t="str">
            <v>13 CANTERBURY</v>
          </cell>
          <cell r="B913">
            <v>9</v>
          </cell>
          <cell r="C913">
            <v>2018</v>
          </cell>
          <cell r="D913">
            <v>31</v>
          </cell>
          <cell r="E913">
            <v>81</v>
          </cell>
          <cell r="F913">
            <v>1.7127917105999999</v>
          </cell>
          <cell r="G913">
            <v>0</v>
          </cell>
          <cell r="H913">
            <v>0.9909200225</v>
          </cell>
          <cell r="I913" t="str">
            <v>Other Household Travel</v>
          </cell>
          <cell r="J913" t="str">
            <v>2017/18</v>
          </cell>
        </row>
        <row r="914">
          <cell r="A914" t="str">
            <v>13 CANTERBURY</v>
          </cell>
          <cell r="B914">
            <v>9</v>
          </cell>
          <cell r="C914">
            <v>2023</v>
          </cell>
          <cell r="D914">
            <v>31</v>
          </cell>
          <cell r="E914">
            <v>81</v>
          </cell>
          <cell r="F914">
            <v>1.9060203254999999</v>
          </cell>
          <cell r="G914">
            <v>0</v>
          </cell>
          <cell r="H914">
            <v>1.0775961821</v>
          </cell>
          <cell r="I914" t="str">
            <v>Other Household Travel</v>
          </cell>
          <cell r="J914" t="str">
            <v>2022/23</v>
          </cell>
        </row>
        <row r="915">
          <cell r="A915" t="str">
            <v>13 CANTERBURY</v>
          </cell>
          <cell r="B915">
            <v>9</v>
          </cell>
          <cell r="C915">
            <v>2028</v>
          </cell>
          <cell r="D915">
            <v>31</v>
          </cell>
          <cell r="E915">
            <v>81</v>
          </cell>
          <cell r="F915">
            <v>2.0824128461</v>
          </cell>
          <cell r="G915">
            <v>0</v>
          </cell>
          <cell r="H915">
            <v>1.1721689972</v>
          </cell>
          <cell r="I915" t="str">
            <v>Other Household Travel</v>
          </cell>
          <cell r="J915" t="str">
            <v>2027/28</v>
          </cell>
        </row>
        <row r="916">
          <cell r="A916" t="str">
            <v>13 CANTERBURY</v>
          </cell>
          <cell r="B916">
            <v>9</v>
          </cell>
          <cell r="C916">
            <v>2033</v>
          </cell>
          <cell r="D916">
            <v>31</v>
          </cell>
          <cell r="E916">
            <v>81</v>
          </cell>
          <cell r="F916">
            <v>2.1974341884999999</v>
          </cell>
          <cell r="G916">
            <v>0</v>
          </cell>
          <cell r="H916">
            <v>1.2330493236</v>
          </cell>
          <cell r="I916" t="str">
            <v>Other Household Travel</v>
          </cell>
          <cell r="J916" t="str">
            <v>2032/33</v>
          </cell>
        </row>
        <row r="917">
          <cell r="A917" t="str">
            <v>13 CANTERBURY</v>
          </cell>
          <cell r="B917">
            <v>9</v>
          </cell>
          <cell r="C917">
            <v>2038</v>
          </cell>
          <cell r="D917">
            <v>31</v>
          </cell>
          <cell r="E917">
            <v>81</v>
          </cell>
          <cell r="F917">
            <v>2.2515903822999999</v>
          </cell>
          <cell r="G917">
            <v>0</v>
          </cell>
          <cell r="H917">
            <v>1.2677750126</v>
          </cell>
          <cell r="I917" t="str">
            <v>Other Household Travel</v>
          </cell>
          <cell r="J917" t="str">
            <v>2037/38</v>
          </cell>
        </row>
        <row r="918">
          <cell r="A918" t="str">
            <v>13 CANTERBURY</v>
          </cell>
          <cell r="B918">
            <v>9</v>
          </cell>
          <cell r="C918">
            <v>2043</v>
          </cell>
          <cell r="D918">
            <v>31</v>
          </cell>
          <cell r="E918">
            <v>81</v>
          </cell>
          <cell r="F918">
            <v>2.2493597086000001</v>
          </cell>
          <cell r="G918">
            <v>0</v>
          </cell>
          <cell r="H918">
            <v>1.2788737335</v>
          </cell>
          <cell r="I918" t="str">
            <v>Other Household Travel</v>
          </cell>
          <cell r="J918" t="str">
            <v>2042/43</v>
          </cell>
        </row>
        <row r="919">
          <cell r="A919" t="str">
            <v>13 CANTERBURY</v>
          </cell>
          <cell r="B919">
            <v>10</v>
          </cell>
          <cell r="C919">
            <v>2013</v>
          </cell>
          <cell r="D919">
            <v>99</v>
          </cell>
          <cell r="E919">
            <v>124</v>
          </cell>
          <cell r="F919">
            <v>2.4822614922000001</v>
          </cell>
          <cell r="G919">
            <v>66.176348546</v>
          </cell>
          <cell r="H919">
            <v>3.9785271960999999</v>
          </cell>
          <cell r="I919" t="str">
            <v>Air/Non-Local PT</v>
          </cell>
          <cell r="J919" t="str">
            <v>2012/13</v>
          </cell>
        </row>
        <row r="920">
          <cell r="A920" t="str">
            <v>13 CANTERBURY</v>
          </cell>
          <cell r="B920">
            <v>10</v>
          </cell>
          <cell r="C920">
            <v>2018</v>
          </cell>
          <cell r="D920">
            <v>99</v>
          </cell>
          <cell r="E920">
            <v>124</v>
          </cell>
          <cell r="F920">
            <v>2.8202865860999999</v>
          </cell>
          <cell r="G920">
            <v>72.139859927000003</v>
          </cell>
          <cell r="H920">
            <v>4.6424544643000001</v>
          </cell>
          <cell r="I920" t="str">
            <v>Air/Non-Local PT</v>
          </cell>
          <cell r="J920" t="str">
            <v>2017/18</v>
          </cell>
        </row>
        <row r="921">
          <cell r="A921" t="str">
            <v>13 CANTERBURY</v>
          </cell>
          <cell r="B921">
            <v>10</v>
          </cell>
          <cell r="C921">
            <v>2023</v>
          </cell>
          <cell r="D921">
            <v>99</v>
          </cell>
          <cell r="E921">
            <v>124</v>
          </cell>
          <cell r="F921">
            <v>3.0044578588999999</v>
          </cell>
          <cell r="G921">
            <v>72.665483019999996</v>
          </cell>
          <cell r="H921">
            <v>4.9764480769999997</v>
          </cell>
          <cell r="I921" t="str">
            <v>Air/Non-Local PT</v>
          </cell>
          <cell r="J921" t="str">
            <v>2022/23</v>
          </cell>
        </row>
        <row r="922">
          <cell r="A922" t="str">
            <v>13 CANTERBURY</v>
          </cell>
          <cell r="B922">
            <v>10</v>
          </cell>
          <cell r="C922">
            <v>2028</v>
          </cell>
          <cell r="D922">
            <v>99</v>
          </cell>
          <cell r="E922">
            <v>124</v>
          </cell>
          <cell r="F922">
            <v>3.2298504061000002</v>
          </cell>
          <cell r="G922">
            <v>77.961881833999996</v>
          </cell>
          <cell r="H922">
            <v>5.4131920867999996</v>
          </cell>
          <cell r="I922" t="str">
            <v>Air/Non-Local PT</v>
          </cell>
          <cell r="J922" t="str">
            <v>2027/28</v>
          </cell>
        </row>
        <row r="923">
          <cell r="A923" t="str">
            <v>13 CANTERBURY</v>
          </cell>
          <cell r="B923">
            <v>10</v>
          </cell>
          <cell r="C923">
            <v>2033</v>
          </cell>
          <cell r="D923">
            <v>99</v>
          </cell>
          <cell r="E923">
            <v>124</v>
          </cell>
          <cell r="F923">
            <v>3.4429711700999999</v>
          </cell>
          <cell r="G923">
            <v>85.989271337000005</v>
          </cell>
          <cell r="H923">
            <v>5.8507345446999999</v>
          </cell>
          <cell r="I923" t="str">
            <v>Air/Non-Local PT</v>
          </cell>
          <cell r="J923" t="str">
            <v>2032/33</v>
          </cell>
        </row>
        <row r="924">
          <cell r="A924" t="str">
            <v>13 CANTERBURY</v>
          </cell>
          <cell r="B924">
            <v>10</v>
          </cell>
          <cell r="C924">
            <v>2038</v>
          </cell>
          <cell r="D924">
            <v>99</v>
          </cell>
          <cell r="E924">
            <v>124</v>
          </cell>
          <cell r="F924">
            <v>3.5891794347000001</v>
          </cell>
          <cell r="G924">
            <v>89.891042526999996</v>
          </cell>
          <cell r="H924">
            <v>6.0496411873999998</v>
          </cell>
          <cell r="I924" t="str">
            <v>Air/Non-Local PT</v>
          </cell>
          <cell r="J924" t="str">
            <v>2037/38</v>
          </cell>
        </row>
        <row r="925">
          <cell r="A925" t="str">
            <v>13 CANTERBURY</v>
          </cell>
          <cell r="B925">
            <v>10</v>
          </cell>
          <cell r="C925">
            <v>2043</v>
          </cell>
          <cell r="D925">
            <v>99</v>
          </cell>
          <cell r="E925">
            <v>124</v>
          </cell>
          <cell r="F925">
            <v>3.7143673330999998</v>
          </cell>
          <cell r="G925">
            <v>92.590633752000002</v>
          </cell>
          <cell r="H925">
            <v>6.2065940736999998</v>
          </cell>
          <cell r="I925" t="str">
            <v>Air/Non-Local PT</v>
          </cell>
          <cell r="J925" t="str">
            <v>2042/43</v>
          </cell>
        </row>
        <row r="926">
          <cell r="A926" t="str">
            <v>13 CANTERBURY</v>
          </cell>
          <cell r="B926">
            <v>11</v>
          </cell>
          <cell r="C926">
            <v>2013</v>
          </cell>
          <cell r="D926">
            <v>113</v>
          </cell>
          <cell r="E926">
            <v>551</v>
          </cell>
          <cell r="F926">
            <v>9.2459779483000002</v>
          </cell>
          <cell r="G926">
            <v>114.47945472000001</v>
          </cell>
          <cell r="H926">
            <v>3.3743770355999998</v>
          </cell>
          <cell r="I926" t="str">
            <v>Non-Household Travel</v>
          </cell>
          <cell r="J926" t="str">
            <v>2012/13</v>
          </cell>
        </row>
        <row r="927">
          <cell r="A927" t="str">
            <v>13 CANTERBURY</v>
          </cell>
          <cell r="B927">
            <v>11</v>
          </cell>
          <cell r="C927">
            <v>2018</v>
          </cell>
          <cell r="D927">
            <v>113</v>
          </cell>
          <cell r="E927">
            <v>551</v>
          </cell>
          <cell r="F927">
            <v>10.132217392999999</v>
          </cell>
          <cell r="G927">
            <v>128.15034567999999</v>
          </cell>
          <cell r="H927">
            <v>3.7804561446</v>
          </cell>
          <cell r="I927" t="str">
            <v>Non-Household Travel</v>
          </cell>
          <cell r="J927" t="str">
            <v>2017/18</v>
          </cell>
        </row>
        <row r="928">
          <cell r="A928" t="str">
            <v>13 CANTERBURY</v>
          </cell>
          <cell r="B928">
            <v>11</v>
          </cell>
          <cell r="C928">
            <v>2023</v>
          </cell>
          <cell r="D928">
            <v>113</v>
          </cell>
          <cell r="E928">
            <v>551</v>
          </cell>
          <cell r="F928">
            <v>10.455853481</v>
          </cell>
          <cell r="G928">
            <v>134.81727427000001</v>
          </cell>
          <cell r="H928">
            <v>3.9748324428999999</v>
          </cell>
          <cell r="I928" t="str">
            <v>Non-Household Travel</v>
          </cell>
          <cell r="J928" t="str">
            <v>2022/23</v>
          </cell>
        </row>
        <row r="929">
          <cell r="A929" t="str">
            <v>13 CANTERBURY</v>
          </cell>
          <cell r="B929">
            <v>11</v>
          </cell>
          <cell r="C929">
            <v>2028</v>
          </cell>
          <cell r="D929">
            <v>113</v>
          </cell>
          <cell r="E929">
            <v>551</v>
          </cell>
          <cell r="F929">
            <v>10.914010849</v>
          </cell>
          <cell r="G929">
            <v>144.22340176</v>
          </cell>
          <cell r="H929">
            <v>4.2417318588999997</v>
          </cell>
          <cell r="I929" t="str">
            <v>Non-Household Travel</v>
          </cell>
          <cell r="J929" t="str">
            <v>2027/28</v>
          </cell>
        </row>
        <row r="930">
          <cell r="A930" t="str">
            <v>13 CANTERBURY</v>
          </cell>
          <cell r="B930">
            <v>11</v>
          </cell>
          <cell r="C930">
            <v>2033</v>
          </cell>
          <cell r="D930">
            <v>113</v>
          </cell>
          <cell r="E930">
            <v>551</v>
          </cell>
          <cell r="F930">
            <v>11.457217774</v>
          </cell>
          <cell r="G930">
            <v>152.71862322999999</v>
          </cell>
          <cell r="H930">
            <v>4.5098216072000001</v>
          </cell>
          <cell r="I930" t="str">
            <v>Non-Household Travel</v>
          </cell>
          <cell r="J930" t="str">
            <v>2032/33</v>
          </cell>
        </row>
        <row r="931">
          <cell r="A931" t="str">
            <v>13 CANTERBURY</v>
          </cell>
          <cell r="B931">
            <v>11</v>
          </cell>
          <cell r="C931">
            <v>2038</v>
          </cell>
          <cell r="D931">
            <v>113</v>
          </cell>
          <cell r="E931">
            <v>551</v>
          </cell>
          <cell r="F931">
            <v>12.031558006999999</v>
          </cell>
          <cell r="G931">
            <v>158.64745357999999</v>
          </cell>
          <cell r="H931">
            <v>4.6899094961000003</v>
          </cell>
          <cell r="I931" t="str">
            <v>Non-Household Travel</v>
          </cell>
          <cell r="J931" t="str">
            <v>2037/38</v>
          </cell>
        </row>
        <row r="932">
          <cell r="A932" t="str">
            <v>13 CANTERBURY</v>
          </cell>
          <cell r="B932">
            <v>11</v>
          </cell>
          <cell r="C932">
            <v>2043</v>
          </cell>
          <cell r="D932">
            <v>113</v>
          </cell>
          <cell r="E932">
            <v>551</v>
          </cell>
          <cell r="F932">
            <v>12.582590317999999</v>
          </cell>
          <cell r="G932">
            <v>163.82500386000001</v>
          </cell>
          <cell r="H932">
            <v>4.8509682631000004</v>
          </cell>
          <cell r="I932" t="str">
            <v>Non-Household Travel</v>
          </cell>
          <cell r="J932" t="str">
            <v>2042/43</v>
          </cell>
        </row>
        <row r="933">
          <cell r="A933" t="str">
            <v>14 OTAGO</v>
          </cell>
          <cell r="B933">
            <v>0</v>
          </cell>
          <cell r="C933">
            <v>2013</v>
          </cell>
          <cell r="D933">
            <v>545</v>
          </cell>
          <cell r="E933">
            <v>2150</v>
          </cell>
          <cell r="F933">
            <v>58.261736425999999</v>
          </cell>
          <cell r="G933">
            <v>45.829100335</v>
          </cell>
          <cell r="H933">
            <v>11.651603939999999</v>
          </cell>
          <cell r="I933" t="str">
            <v>Pedestrian</v>
          </cell>
          <cell r="J933" t="str">
            <v>2012/13</v>
          </cell>
        </row>
        <row r="934">
          <cell r="A934" t="str">
            <v>14 OTAGO</v>
          </cell>
          <cell r="B934">
            <v>0</v>
          </cell>
          <cell r="C934">
            <v>2018</v>
          </cell>
          <cell r="D934">
            <v>545</v>
          </cell>
          <cell r="E934">
            <v>2150</v>
          </cell>
          <cell r="F934">
            <v>60.796851795000002</v>
          </cell>
          <cell r="G934">
            <v>47.386578110000002</v>
          </cell>
          <cell r="H934">
            <v>12.214177555999999</v>
          </cell>
          <cell r="I934" t="str">
            <v>Pedestrian</v>
          </cell>
          <cell r="J934" t="str">
            <v>2017/18</v>
          </cell>
        </row>
        <row r="935">
          <cell r="A935" t="str">
            <v>14 OTAGO</v>
          </cell>
          <cell r="B935">
            <v>0</v>
          </cell>
          <cell r="C935">
            <v>2023</v>
          </cell>
          <cell r="D935">
            <v>545</v>
          </cell>
          <cell r="E935">
            <v>2150</v>
          </cell>
          <cell r="F935">
            <v>61.997126135999999</v>
          </cell>
          <cell r="G935">
            <v>47.982172128999999</v>
          </cell>
          <cell r="H935">
            <v>12.505704363</v>
          </cell>
          <cell r="I935" t="str">
            <v>Pedestrian</v>
          </cell>
          <cell r="J935" t="str">
            <v>2022/23</v>
          </cell>
        </row>
        <row r="936">
          <cell r="A936" t="str">
            <v>14 OTAGO</v>
          </cell>
          <cell r="B936">
            <v>0</v>
          </cell>
          <cell r="C936">
            <v>2028</v>
          </cell>
          <cell r="D936">
            <v>545</v>
          </cell>
          <cell r="E936">
            <v>2150</v>
          </cell>
          <cell r="F936">
            <v>63.096424122000002</v>
          </cell>
          <cell r="G936">
            <v>48.494361771000001</v>
          </cell>
          <cell r="H936">
            <v>12.806522933</v>
          </cell>
          <cell r="I936" t="str">
            <v>Pedestrian</v>
          </cell>
          <cell r="J936" t="str">
            <v>2027/28</v>
          </cell>
        </row>
        <row r="937">
          <cell r="A937" t="str">
            <v>14 OTAGO</v>
          </cell>
          <cell r="B937">
            <v>0</v>
          </cell>
          <cell r="C937">
            <v>2033</v>
          </cell>
          <cell r="D937">
            <v>545</v>
          </cell>
          <cell r="E937">
            <v>2150</v>
          </cell>
          <cell r="F937">
            <v>63.810719028999998</v>
          </cell>
          <cell r="G937">
            <v>48.675925939000003</v>
          </cell>
          <cell r="H937">
            <v>13.020800356000001</v>
          </cell>
          <cell r="I937" t="str">
            <v>Pedestrian</v>
          </cell>
          <cell r="J937" t="str">
            <v>2032/33</v>
          </cell>
        </row>
        <row r="938">
          <cell r="A938" t="str">
            <v>14 OTAGO</v>
          </cell>
          <cell r="B938">
            <v>0</v>
          </cell>
          <cell r="C938">
            <v>2038</v>
          </cell>
          <cell r="D938">
            <v>545</v>
          </cell>
          <cell r="E938">
            <v>2150</v>
          </cell>
          <cell r="F938">
            <v>63.807855162000003</v>
          </cell>
          <cell r="G938">
            <v>48.666016442</v>
          </cell>
          <cell r="H938">
            <v>13.153838731</v>
          </cell>
          <cell r="I938" t="str">
            <v>Pedestrian</v>
          </cell>
          <cell r="J938" t="str">
            <v>2037/38</v>
          </cell>
        </row>
        <row r="939">
          <cell r="A939" t="str">
            <v>14 OTAGO</v>
          </cell>
          <cell r="B939">
            <v>0</v>
          </cell>
          <cell r="C939">
            <v>2043</v>
          </cell>
          <cell r="D939">
            <v>545</v>
          </cell>
          <cell r="E939">
            <v>2150</v>
          </cell>
          <cell r="F939">
            <v>63.751514180000001</v>
          </cell>
          <cell r="G939">
            <v>48.694438234000003</v>
          </cell>
          <cell r="H939">
            <v>13.292517348000001</v>
          </cell>
          <cell r="I939" t="str">
            <v>Pedestrian</v>
          </cell>
          <cell r="J939" t="str">
            <v>2042/43</v>
          </cell>
        </row>
        <row r="940">
          <cell r="A940" t="str">
            <v>14 OTAGO</v>
          </cell>
          <cell r="B940">
            <v>1</v>
          </cell>
          <cell r="C940">
            <v>2013</v>
          </cell>
          <cell r="D940">
            <v>52</v>
          </cell>
          <cell r="E940">
            <v>151</v>
          </cell>
          <cell r="F940">
            <v>4.5847179276999999</v>
          </cell>
          <cell r="G940">
            <v>16.325352069000001</v>
          </cell>
          <cell r="H940">
            <v>1.6089304994</v>
          </cell>
          <cell r="I940" t="str">
            <v>Cyclist</v>
          </cell>
          <cell r="J940" t="str">
            <v>2012/13</v>
          </cell>
        </row>
        <row r="941">
          <cell r="A941" t="str">
            <v>14 OTAGO</v>
          </cell>
          <cell r="B941">
            <v>1</v>
          </cell>
          <cell r="C941">
            <v>2018</v>
          </cell>
          <cell r="D941">
            <v>52</v>
          </cell>
          <cell r="E941">
            <v>151</v>
          </cell>
          <cell r="F941">
            <v>4.8412559068999999</v>
          </cell>
          <cell r="G941">
            <v>18.235197306</v>
          </cell>
          <cell r="H941">
            <v>1.7679523156000001</v>
          </cell>
          <cell r="I941" t="str">
            <v>Cyclist</v>
          </cell>
          <cell r="J941" t="str">
            <v>2017/18</v>
          </cell>
        </row>
        <row r="942">
          <cell r="A942" t="str">
            <v>14 OTAGO</v>
          </cell>
          <cell r="B942">
            <v>1</v>
          </cell>
          <cell r="C942">
            <v>2023</v>
          </cell>
          <cell r="D942">
            <v>52</v>
          </cell>
          <cell r="E942">
            <v>151</v>
          </cell>
          <cell r="F942">
            <v>4.9191726513000003</v>
          </cell>
          <cell r="G942">
            <v>19.362682027999998</v>
          </cell>
          <cell r="H942">
            <v>1.8549613444999999</v>
          </cell>
          <cell r="I942" t="str">
            <v>Cyclist</v>
          </cell>
          <cell r="J942" t="str">
            <v>2022/23</v>
          </cell>
        </row>
        <row r="943">
          <cell r="A943" t="str">
            <v>14 OTAGO</v>
          </cell>
          <cell r="B943">
            <v>1</v>
          </cell>
          <cell r="C943">
            <v>2028</v>
          </cell>
          <cell r="D943">
            <v>52</v>
          </cell>
          <cell r="E943">
            <v>151</v>
          </cell>
          <cell r="F943">
            <v>4.8681877093999999</v>
          </cell>
          <cell r="G943">
            <v>19.949418475000002</v>
          </cell>
          <cell r="H943">
            <v>1.8767371718999999</v>
          </cell>
          <cell r="I943" t="str">
            <v>Cyclist</v>
          </cell>
          <cell r="J943" t="str">
            <v>2027/28</v>
          </cell>
        </row>
        <row r="944">
          <cell r="A944" t="str">
            <v>14 OTAGO</v>
          </cell>
          <cell r="B944">
            <v>1</v>
          </cell>
          <cell r="C944">
            <v>2033</v>
          </cell>
          <cell r="D944">
            <v>52</v>
          </cell>
          <cell r="E944">
            <v>151</v>
          </cell>
          <cell r="F944">
            <v>4.8851595028999997</v>
          </cell>
          <cell r="G944">
            <v>20.437167242000001</v>
          </cell>
          <cell r="H944">
            <v>1.9072774389</v>
          </cell>
          <cell r="I944" t="str">
            <v>Cyclist</v>
          </cell>
          <cell r="J944" t="str">
            <v>2032/33</v>
          </cell>
        </row>
        <row r="945">
          <cell r="A945" t="str">
            <v>14 OTAGO</v>
          </cell>
          <cell r="B945">
            <v>1</v>
          </cell>
          <cell r="C945">
            <v>2038</v>
          </cell>
          <cell r="D945">
            <v>52</v>
          </cell>
          <cell r="E945">
            <v>151</v>
          </cell>
          <cell r="F945">
            <v>4.9559896441999998</v>
          </cell>
          <cell r="G945">
            <v>20.988333574999999</v>
          </cell>
          <cell r="H945">
            <v>1.9599779177000001</v>
          </cell>
          <cell r="I945" t="str">
            <v>Cyclist</v>
          </cell>
          <cell r="J945" t="str">
            <v>2037/38</v>
          </cell>
        </row>
        <row r="946">
          <cell r="A946" t="str">
            <v>14 OTAGO</v>
          </cell>
          <cell r="B946">
            <v>1</v>
          </cell>
          <cell r="C946">
            <v>2043</v>
          </cell>
          <cell r="D946">
            <v>52</v>
          </cell>
          <cell r="E946">
            <v>151</v>
          </cell>
          <cell r="F946">
            <v>4.9957824192000002</v>
          </cell>
          <cell r="G946">
            <v>21.446010814000001</v>
          </cell>
          <cell r="H946">
            <v>2.0065867569</v>
          </cell>
          <cell r="I946" t="str">
            <v>Cyclist</v>
          </cell>
          <cell r="J946" t="str">
            <v>2042/43</v>
          </cell>
        </row>
        <row r="947">
          <cell r="A947" t="str">
            <v>14 OTAGO</v>
          </cell>
          <cell r="B947">
            <v>2</v>
          </cell>
          <cell r="C947">
            <v>2013</v>
          </cell>
          <cell r="D947">
            <v>734</v>
          </cell>
          <cell r="E947">
            <v>5488</v>
          </cell>
          <cell r="F947">
            <v>150.49144967999999</v>
          </cell>
          <cell r="G947">
            <v>1192.1699989000001</v>
          </cell>
          <cell r="H947">
            <v>32.522387277</v>
          </cell>
          <cell r="I947" t="str">
            <v>Light Vehicle Driver</v>
          </cell>
          <cell r="J947" t="str">
            <v>2012/13</v>
          </cell>
        </row>
        <row r="948">
          <cell r="A948" t="str">
            <v>14 OTAGO</v>
          </cell>
          <cell r="B948">
            <v>2</v>
          </cell>
          <cell r="C948">
            <v>2018</v>
          </cell>
          <cell r="D948">
            <v>734</v>
          </cell>
          <cell r="E948">
            <v>5488</v>
          </cell>
          <cell r="F948">
            <v>159.70200933999999</v>
          </cell>
          <cell r="G948">
            <v>1298.7111362999999</v>
          </cell>
          <cell r="H948">
            <v>35.047520081000002</v>
          </cell>
          <cell r="I948" t="str">
            <v>Light Vehicle Driver</v>
          </cell>
          <cell r="J948" t="str">
            <v>2017/18</v>
          </cell>
        </row>
        <row r="949">
          <cell r="A949" t="str">
            <v>14 OTAGO</v>
          </cell>
          <cell r="B949">
            <v>2</v>
          </cell>
          <cell r="C949">
            <v>2023</v>
          </cell>
          <cell r="D949">
            <v>734</v>
          </cell>
          <cell r="E949">
            <v>5488</v>
          </cell>
          <cell r="F949">
            <v>166.14523986</v>
          </cell>
          <cell r="G949">
            <v>1376.777529</v>
          </cell>
          <cell r="H949">
            <v>36.840139030000003</v>
          </cell>
          <cell r="I949" t="str">
            <v>Light Vehicle Driver</v>
          </cell>
          <cell r="J949" t="str">
            <v>2022/23</v>
          </cell>
        </row>
        <row r="950">
          <cell r="A950" t="str">
            <v>14 OTAGO</v>
          </cell>
          <cell r="B950">
            <v>2</v>
          </cell>
          <cell r="C950">
            <v>2028</v>
          </cell>
          <cell r="D950">
            <v>734</v>
          </cell>
          <cell r="E950">
            <v>5488</v>
          </cell>
          <cell r="F950">
            <v>175.27326683000001</v>
          </cell>
          <cell r="G950">
            <v>1469.3653337999999</v>
          </cell>
          <cell r="H950">
            <v>39.112777749999999</v>
          </cell>
          <cell r="I950" t="str">
            <v>Light Vehicle Driver</v>
          </cell>
          <cell r="J950" t="str">
            <v>2027/28</v>
          </cell>
        </row>
        <row r="951">
          <cell r="A951" t="str">
            <v>14 OTAGO</v>
          </cell>
          <cell r="B951">
            <v>2</v>
          </cell>
          <cell r="C951">
            <v>2033</v>
          </cell>
          <cell r="D951">
            <v>734</v>
          </cell>
          <cell r="E951">
            <v>5488</v>
          </cell>
          <cell r="F951">
            <v>183.12259963</v>
          </cell>
          <cell r="G951">
            <v>1561.3746606</v>
          </cell>
          <cell r="H951">
            <v>41.222904395</v>
          </cell>
          <cell r="I951" t="str">
            <v>Light Vehicle Driver</v>
          </cell>
          <cell r="J951" t="str">
            <v>2032/33</v>
          </cell>
        </row>
        <row r="952">
          <cell r="A952" t="str">
            <v>14 OTAGO</v>
          </cell>
          <cell r="B952">
            <v>2</v>
          </cell>
          <cell r="C952">
            <v>2038</v>
          </cell>
          <cell r="D952">
            <v>734</v>
          </cell>
          <cell r="E952">
            <v>5488</v>
          </cell>
          <cell r="F952">
            <v>187.54720057</v>
          </cell>
          <cell r="G952">
            <v>1646.2872542</v>
          </cell>
          <cell r="H952">
            <v>42.892199804000001</v>
          </cell>
          <cell r="I952" t="str">
            <v>Light Vehicle Driver</v>
          </cell>
          <cell r="J952" t="str">
            <v>2037/38</v>
          </cell>
        </row>
        <row r="953">
          <cell r="A953" t="str">
            <v>14 OTAGO</v>
          </cell>
          <cell r="B953">
            <v>2</v>
          </cell>
          <cell r="C953">
            <v>2043</v>
          </cell>
          <cell r="D953">
            <v>734</v>
          </cell>
          <cell r="E953">
            <v>5488</v>
          </cell>
          <cell r="F953">
            <v>191.12834236</v>
          </cell>
          <cell r="G953">
            <v>1731.770019</v>
          </cell>
          <cell r="H953">
            <v>44.458415834</v>
          </cell>
          <cell r="I953" t="str">
            <v>Light Vehicle Driver</v>
          </cell>
          <cell r="J953" t="str">
            <v>2042/43</v>
          </cell>
        </row>
        <row r="954">
          <cell r="A954" t="str">
            <v>14 OTAGO</v>
          </cell>
          <cell r="B954">
            <v>3</v>
          </cell>
          <cell r="C954">
            <v>2013</v>
          </cell>
          <cell r="D954">
            <v>543</v>
          </cell>
          <cell r="E954">
            <v>2595</v>
          </cell>
          <cell r="F954">
            <v>71.232164202000007</v>
          </cell>
          <cell r="G954">
            <v>849.31688999999994</v>
          </cell>
          <cell r="H954">
            <v>19.901766343999999</v>
          </cell>
          <cell r="I954" t="str">
            <v>Light Vehicle Passenger</v>
          </cell>
          <cell r="J954" t="str">
            <v>2012/13</v>
          </cell>
        </row>
        <row r="955">
          <cell r="A955" t="str">
            <v>14 OTAGO</v>
          </cell>
          <cell r="B955">
            <v>3</v>
          </cell>
          <cell r="C955">
            <v>2018</v>
          </cell>
          <cell r="D955">
            <v>543</v>
          </cell>
          <cell r="E955">
            <v>2595</v>
          </cell>
          <cell r="F955">
            <v>73.294502230000006</v>
          </cell>
          <cell r="G955">
            <v>896.64137233999998</v>
          </cell>
          <cell r="H955">
            <v>20.814573263</v>
          </cell>
          <cell r="I955" t="str">
            <v>Light Vehicle Passenger</v>
          </cell>
          <cell r="J955" t="str">
            <v>2017/18</v>
          </cell>
        </row>
        <row r="956">
          <cell r="A956" t="str">
            <v>14 OTAGO</v>
          </cell>
          <cell r="B956">
            <v>3</v>
          </cell>
          <cell r="C956">
            <v>2023</v>
          </cell>
          <cell r="D956">
            <v>543</v>
          </cell>
          <cell r="E956">
            <v>2595</v>
          </cell>
          <cell r="F956">
            <v>74.347849818</v>
          </cell>
          <cell r="G956">
            <v>923.23762542999998</v>
          </cell>
          <cell r="H956">
            <v>21.305235562</v>
          </cell>
          <cell r="I956" t="str">
            <v>Light Vehicle Passenger</v>
          </cell>
          <cell r="J956" t="str">
            <v>2022/23</v>
          </cell>
        </row>
        <row r="957">
          <cell r="A957" t="str">
            <v>14 OTAGO</v>
          </cell>
          <cell r="B957">
            <v>3</v>
          </cell>
          <cell r="C957">
            <v>2028</v>
          </cell>
          <cell r="D957">
            <v>543</v>
          </cell>
          <cell r="E957">
            <v>2595</v>
          </cell>
          <cell r="F957">
            <v>75.467444987999997</v>
          </cell>
          <cell r="G957">
            <v>956.65870494000001</v>
          </cell>
          <cell r="H957">
            <v>21.899278296999999</v>
          </cell>
          <cell r="I957" t="str">
            <v>Light Vehicle Passenger</v>
          </cell>
          <cell r="J957" t="str">
            <v>2027/28</v>
          </cell>
        </row>
        <row r="958">
          <cell r="A958" t="str">
            <v>14 OTAGO</v>
          </cell>
          <cell r="B958">
            <v>3</v>
          </cell>
          <cell r="C958">
            <v>2033</v>
          </cell>
          <cell r="D958">
            <v>543</v>
          </cell>
          <cell r="E958">
            <v>2595</v>
          </cell>
          <cell r="F958">
            <v>76.355067157999997</v>
          </cell>
          <cell r="G958">
            <v>975.51560033999999</v>
          </cell>
          <cell r="H958">
            <v>22.209506107999999</v>
          </cell>
          <cell r="I958" t="str">
            <v>Light Vehicle Passenger</v>
          </cell>
          <cell r="J958" t="str">
            <v>2032/33</v>
          </cell>
        </row>
        <row r="959">
          <cell r="A959" t="str">
            <v>14 OTAGO</v>
          </cell>
          <cell r="B959">
            <v>3</v>
          </cell>
          <cell r="C959">
            <v>2038</v>
          </cell>
          <cell r="D959">
            <v>543</v>
          </cell>
          <cell r="E959">
            <v>2595</v>
          </cell>
          <cell r="F959">
            <v>76.620401728999994</v>
          </cell>
          <cell r="G959">
            <v>996.68134499999996</v>
          </cell>
          <cell r="H959">
            <v>22.584812460999999</v>
          </cell>
          <cell r="I959" t="str">
            <v>Light Vehicle Passenger</v>
          </cell>
          <cell r="J959" t="str">
            <v>2037/38</v>
          </cell>
        </row>
        <row r="960">
          <cell r="A960" t="str">
            <v>14 OTAGO</v>
          </cell>
          <cell r="B960">
            <v>3</v>
          </cell>
          <cell r="C960">
            <v>2043</v>
          </cell>
          <cell r="D960">
            <v>543</v>
          </cell>
          <cell r="E960">
            <v>2595</v>
          </cell>
          <cell r="F960">
            <v>76.522435392999995</v>
          </cell>
          <cell r="G960">
            <v>1015.8486092000001</v>
          </cell>
          <cell r="H960">
            <v>22.891949746000002</v>
          </cell>
          <cell r="I960" t="str">
            <v>Light Vehicle Passenger</v>
          </cell>
          <cell r="J960" t="str">
            <v>2042/43</v>
          </cell>
        </row>
        <row r="961">
          <cell r="A961" t="str">
            <v>14 OTAGO</v>
          </cell>
          <cell r="B961">
            <v>4</v>
          </cell>
          <cell r="C961">
            <v>2013</v>
          </cell>
          <cell r="D961">
            <v>21</v>
          </cell>
          <cell r="E961">
            <v>36</v>
          </cell>
          <cell r="F961">
            <v>0.85820748670000002</v>
          </cell>
          <cell r="G961">
            <v>7.2892681777000004</v>
          </cell>
          <cell r="H961">
            <v>0.23496676969999999</v>
          </cell>
          <cell r="J961" t="str">
            <v>2012/13</v>
          </cell>
        </row>
        <row r="962">
          <cell r="A962" t="str">
            <v>14 OTAGO</v>
          </cell>
          <cell r="B962">
            <v>4</v>
          </cell>
          <cell r="C962">
            <v>2018</v>
          </cell>
          <cell r="D962">
            <v>21</v>
          </cell>
          <cell r="E962">
            <v>36</v>
          </cell>
          <cell r="F962">
            <v>0.87420387190000004</v>
          </cell>
          <cell r="G962">
            <v>7.4876000621000003</v>
          </cell>
          <cell r="H962">
            <v>0.24310624889999999</v>
          </cell>
          <cell r="J962" t="str">
            <v>2017/18</v>
          </cell>
        </row>
        <row r="963">
          <cell r="A963" t="str">
            <v>14 OTAGO</v>
          </cell>
          <cell r="B963">
            <v>4</v>
          </cell>
          <cell r="C963">
            <v>2023</v>
          </cell>
          <cell r="D963">
            <v>21</v>
          </cell>
          <cell r="E963">
            <v>36</v>
          </cell>
          <cell r="F963">
            <v>0.86813836909999997</v>
          </cell>
          <cell r="G963">
            <v>7.7225590812</v>
          </cell>
          <cell r="H963">
            <v>0.25261244109999997</v>
          </cell>
          <cell r="J963" t="str">
            <v>2022/23</v>
          </cell>
        </row>
        <row r="964">
          <cell r="A964" t="str">
            <v>14 OTAGO</v>
          </cell>
          <cell r="B964">
            <v>4</v>
          </cell>
          <cell r="C964">
            <v>2028</v>
          </cell>
          <cell r="D964">
            <v>21</v>
          </cell>
          <cell r="E964">
            <v>36</v>
          </cell>
          <cell r="F964">
            <v>0.87977275669999999</v>
          </cell>
          <cell r="G964">
            <v>7.9417531079000003</v>
          </cell>
          <cell r="H964">
            <v>0.26113935179999997</v>
          </cell>
          <cell r="J964" t="str">
            <v>2027/28</v>
          </cell>
        </row>
        <row r="965">
          <cell r="A965" t="str">
            <v>14 OTAGO</v>
          </cell>
          <cell r="B965">
            <v>4</v>
          </cell>
          <cell r="C965">
            <v>2033</v>
          </cell>
          <cell r="D965">
            <v>21</v>
          </cell>
          <cell r="E965">
            <v>36</v>
          </cell>
          <cell r="F965">
            <v>0.89737092870000001</v>
          </cell>
          <cell r="G965">
            <v>8.1503556295999999</v>
          </cell>
          <cell r="H965">
            <v>0.26837889459999997</v>
          </cell>
          <cell r="J965" t="str">
            <v>2032/33</v>
          </cell>
        </row>
        <row r="966">
          <cell r="A966" t="str">
            <v>14 OTAGO</v>
          </cell>
          <cell r="B966">
            <v>4</v>
          </cell>
          <cell r="C966">
            <v>2038</v>
          </cell>
          <cell r="D966">
            <v>21</v>
          </cell>
          <cell r="E966">
            <v>36</v>
          </cell>
          <cell r="F966">
            <v>0.86552040200000002</v>
          </cell>
          <cell r="G966">
            <v>7.9118885525999998</v>
          </cell>
          <cell r="H966">
            <v>0.2614860973</v>
          </cell>
          <cell r="J966" t="str">
            <v>2037/38</v>
          </cell>
        </row>
        <row r="967">
          <cell r="A967" t="str">
            <v>14 OTAGO</v>
          </cell>
          <cell r="B967">
            <v>4</v>
          </cell>
          <cell r="C967">
            <v>2043</v>
          </cell>
          <cell r="D967">
            <v>21</v>
          </cell>
          <cell r="E967">
            <v>36</v>
          </cell>
          <cell r="F967">
            <v>0.82567941</v>
          </cell>
          <cell r="G967">
            <v>7.5791624594</v>
          </cell>
          <cell r="H967">
            <v>0.25097176630000001</v>
          </cell>
          <cell r="J967" t="str">
            <v>2042/43</v>
          </cell>
        </row>
        <row r="968">
          <cell r="A968" t="str">
            <v>14 OTAGO</v>
          </cell>
          <cell r="B968">
            <v>5</v>
          </cell>
          <cell r="C968">
            <v>2013</v>
          </cell>
          <cell r="D968">
            <v>12</v>
          </cell>
          <cell r="E968">
            <v>57</v>
          </cell>
          <cell r="F968">
            <v>2.0937246197000001</v>
          </cell>
          <cell r="G968">
            <v>18.503357486999999</v>
          </cell>
          <cell r="H968">
            <v>0.42545310469999997</v>
          </cell>
          <cell r="I968" t="str">
            <v>Motorcyclist</v>
          </cell>
          <cell r="J968" t="str">
            <v>2012/13</v>
          </cell>
        </row>
        <row r="969">
          <cell r="A969" t="str">
            <v>14 OTAGO</v>
          </cell>
          <cell r="B969">
            <v>5</v>
          </cell>
          <cell r="C969">
            <v>2018</v>
          </cell>
          <cell r="D969">
            <v>12</v>
          </cell>
          <cell r="E969">
            <v>57</v>
          </cell>
          <cell r="F969">
            <v>2.1862938811000001</v>
          </cell>
          <cell r="G969">
            <v>20.496146268</v>
          </cell>
          <cell r="H969">
            <v>0.45994761150000002</v>
          </cell>
          <cell r="I969" t="str">
            <v>Motorcyclist</v>
          </cell>
          <cell r="J969" t="str">
            <v>2017/18</v>
          </cell>
        </row>
        <row r="970">
          <cell r="A970" t="str">
            <v>14 OTAGO</v>
          </cell>
          <cell r="B970">
            <v>5</v>
          </cell>
          <cell r="C970">
            <v>2023</v>
          </cell>
          <cell r="D970">
            <v>12</v>
          </cell>
          <cell r="E970">
            <v>57</v>
          </cell>
          <cell r="F970">
            <v>2.1656479633000001</v>
          </cell>
          <cell r="G970">
            <v>21.602136982000001</v>
          </cell>
          <cell r="H970">
            <v>0.47357988880000002</v>
          </cell>
          <cell r="I970" t="str">
            <v>Motorcyclist</v>
          </cell>
          <cell r="J970" t="str">
            <v>2022/23</v>
          </cell>
        </row>
        <row r="971">
          <cell r="A971" t="str">
            <v>14 OTAGO</v>
          </cell>
          <cell r="B971">
            <v>5</v>
          </cell>
          <cell r="C971">
            <v>2028</v>
          </cell>
          <cell r="D971">
            <v>12</v>
          </cell>
          <cell r="E971">
            <v>57</v>
          </cell>
          <cell r="F971">
            <v>2.1300666510999999</v>
          </cell>
          <cell r="G971">
            <v>22.871564192000001</v>
          </cell>
          <cell r="H971">
            <v>0.48991933859999998</v>
          </cell>
          <cell r="I971" t="str">
            <v>Motorcyclist</v>
          </cell>
          <cell r="J971" t="str">
            <v>2027/28</v>
          </cell>
        </row>
        <row r="972">
          <cell r="A972" t="str">
            <v>14 OTAGO</v>
          </cell>
          <cell r="B972">
            <v>5</v>
          </cell>
          <cell r="C972">
            <v>2033</v>
          </cell>
          <cell r="D972">
            <v>12</v>
          </cell>
          <cell r="E972">
            <v>57</v>
          </cell>
          <cell r="F972">
            <v>2.0345127861000001</v>
          </cell>
          <cell r="G972">
            <v>23.561107525000001</v>
          </cell>
          <cell r="H972">
            <v>0.49524430790000001</v>
          </cell>
          <cell r="I972" t="str">
            <v>Motorcyclist</v>
          </cell>
          <cell r="J972" t="str">
            <v>2032/33</v>
          </cell>
        </row>
        <row r="973">
          <cell r="A973" t="str">
            <v>14 OTAGO</v>
          </cell>
          <cell r="B973">
            <v>5</v>
          </cell>
          <cell r="C973">
            <v>2038</v>
          </cell>
          <cell r="D973">
            <v>12</v>
          </cell>
          <cell r="E973">
            <v>57</v>
          </cell>
          <cell r="F973">
            <v>1.9010460348</v>
          </cell>
          <cell r="G973">
            <v>23.444589871000002</v>
          </cell>
          <cell r="H973">
            <v>0.48725169460000001</v>
          </cell>
          <cell r="I973" t="str">
            <v>Motorcyclist</v>
          </cell>
          <cell r="J973" t="str">
            <v>2037/38</v>
          </cell>
        </row>
        <row r="974">
          <cell r="A974" t="str">
            <v>14 OTAGO</v>
          </cell>
          <cell r="B974">
            <v>5</v>
          </cell>
          <cell r="C974">
            <v>2043</v>
          </cell>
          <cell r="D974">
            <v>12</v>
          </cell>
          <cell r="E974">
            <v>57</v>
          </cell>
          <cell r="F974">
            <v>1.7603265138999999</v>
          </cell>
          <cell r="G974">
            <v>23.168042916000001</v>
          </cell>
          <cell r="H974">
            <v>0.47592469180000002</v>
          </cell>
          <cell r="I974" t="str">
            <v>Motorcyclist</v>
          </cell>
          <cell r="J974" t="str">
            <v>2042/43</v>
          </cell>
        </row>
        <row r="975">
          <cell r="A975" t="str">
            <v>14 OTAGO</v>
          </cell>
          <cell r="B975">
            <v>7</v>
          </cell>
          <cell r="C975">
            <v>2013</v>
          </cell>
          <cell r="D975">
            <v>70</v>
          </cell>
          <cell r="E975">
            <v>148</v>
          </cell>
          <cell r="F975">
            <v>4.2627057848999996</v>
          </cell>
          <cell r="G975">
            <v>27.157477096000001</v>
          </cell>
          <cell r="H975">
            <v>1.347401772</v>
          </cell>
          <cell r="I975" t="str">
            <v>Local Bus</v>
          </cell>
          <cell r="J975" t="str">
            <v>2012/13</v>
          </cell>
        </row>
        <row r="976">
          <cell r="A976" t="str">
            <v>14 OTAGO</v>
          </cell>
          <cell r="B976">
            <v>7</v>
          </cell>
          <cell r="C976">
            <v>2018</v>
          </cell>
          <cell r="D976">
            <v>70</v>
          </cell>
          <cell r="E976">
            <v>148</v>
          </cell>
          <cell r="F976">
            <v>4.2369345695999998</v>
          </cell>
          <cell r="G976">
            <v>27.874499444000001</v>
          </cell>
          <cell r="H976">
            <v>1.3509985983999999</v>
          </cell>
          <cell r="I976" t="str">
            <v>Local Bus</v>
          </cell>
          <cell r="J976" t="str">
            <v>2017/18</v>
          </cell>
        </row>
        <row r="977">
          <cell r="A977" t="str">
            <v>14 OTAGO</v>
          </cell>
          <cell r="B977">
            <v>7</v>
          </cell>
          <cell r="C977">
            <v>2023</v>
          </cell>
          <cell r="D977">
            <v>70</v>
          </cell>
          <cell r="E977">
            <v>148</v>
          </cell>
          <cell r="F977">
            <v>4.1827573384000001</v>
          </cell>
          <cell r="G977">
            <v>28.388154553</v>
          </cell>
          <cell r="H977">
            <v>1.3486290107000001</v>
          </cell>
          <cell r="I977" t="str">
            <v>Local Bus</v>
          </cell>
          <cell r="J977" t="str">
            <v>2022/23</v>
          </cell>
        </row>
        <row r="978">
          <cell r="A978" t="str">
            <v>14 OTAGO</v>
          </cell>
          <cell r="B978">
            <v>7</v>
          </cell>
          <cell r="C978">
            <v>2028</v>
          </cell>
          <cell r="D978">
            <v>70</v>
          </cell>
          <cell r="E978">
            <v>148</v>
          </cell>
          <cell r="F978">
            <v>4.1326437729999999</v>
          </cell>
          <cell r="G978">
            <v>28.605593102</v>
          </cell>
          <cell r="H978">
            <v>1.3363592676</v>
          </cell>
          <cell r="I978" t="str">
            <v>Local Bus</v>
          </cell>
          <cell r="J978" t="str">
            <v>2027/28</v>
          </cell>
        </row>
        <row r="979">
          <cell r="A979" t="str">
            <v>14 OTAGO</v>
          </cell>
          <cell r="B979">
            <v>7</v>
          </cell>
          <cell r="C979">
            <v>2033</v>
          </cell>
          <cell r="D979">
            <v>70</v>
          </cell>
          <cell r="E979">
            <v>148</v>
          </cell>
          <cell r="F979">
            <v>4.0835200813999997</v>
          </cell>
          <cell r="G979">
            <v>28.457037826000001</v>
          </cell>
          <cell r="H979">
            <v>1.3180854303</v>
          </cell>
          <cell r="I979" t="str">
            <v>Local Bus</v>
          </cell>
          <cell r="J979" t="str">
            <v>2032/33</v>
          </cell>
        </row>
        <row r="980">
          <cell r="A980" t="str">
            <v>14 OTAGO</v>
          </cell>
          <cell r="B980">
            <v>7</v>
          </cell>
          <cell r="C980">
            <v>2038</v>
          </cell>
          <cell r="D980">
            <v>70</v>
          </cell>
          <cell r="E980">
            <v>148</v>
          </cell>
          <cell r="F980">
            <v>3.9495498443999999</v>
          </cell>
          <cell r="G980">
            <v>27.589558884999999</v>
          </cell>
          <cell r="H980">
            <v>1.2772459717</v>
          </cell>
          <cell r="I980" t="str">
            <v>Local Bus</v>
          </cell>
          <cell r="J980" t="str">
            <v>2037/38</v>
          </cell>
        </row>
        <row r="981">
          <cell r="A981" t="str">
            <v>14 OTAGO</v>
          </cell>
          <cell r="B981">
            <v>7</v>
          </cell>
          <cell r="C981">
            <v>2043</v>
          </cell>
          <cell r="D981">
            <v>70</v>
          </cell>
          <cell r="E981">
            <v>148</v>
          </cell>
          <cell r="F981">
            <v>3.8015764607000002</v>
          </cell>
          <cell r="G981">
            <v>26.610493949999999</v>
          </cell>
          <cell r="H981">
            <v>1.2327397449999999</v>
          </cell>
          <cell r="I981" t="str">
            <v>Local Bus</v>
          </cell>
          <cell r="J981" t="str">
            <v>2042/43</v>
          </cell>
        </row>
        <row r="982">
          <cell r="A982" t="str">
            <v>14 OTAGO</v>
          </cell>
          <cell r="B982">
            <v>9</v>
          </cell>
          <cell r="C982">
            <v>2013</v>
          </cell>
          <cell r="D982">
            <v>11</v>
          </cell>
          <cell r="E982">
            <v>38</v>
          </cell>
          <cell r="F982">
            <v>0.77539158779999995</v>
          </cell>
          <cell r="G982">
            <v>0</v>
          </cell>
          <cell r="H982">
            <v>0.25154479130000001</v>
          </cell>
          <cell r="I982" t="str">
            <v>Other Household Travel</v>
          </cell>
          <cell r="J982" t="str">
            <v>2012/13</v>
          </cell>
        </row>
        <row r="983">
          <cell r="A983" t="str">
            <v>14 OTAGO</v>
          </cell>
          <cell r="B983">
            <v>9</v>
          </cell>
          <cell r="C983">
            <v>2018</v>
          </cell>
          <cell r="D983">
            <v>11</v>
          </cell>
          <cell r="E983">
            <v>38</v>
          </cell>
          <cell r="F983">
            <v>0.82702580439999995</v>
          </cell>
          <cell r="G983">
            <v>0</v>
          </cell>
          <cell r="H983">
            <v>0.2781737937</v>
          </cell>
          <cell r="I983" t="str">
            <v>Other Household Travel</v>
          </cell>
          <cell r="J983" t="str">
            <v>2017/18</v>
          </cell>
        </row>
        <row r="984">
          <cell r="A984" t="str">
            <v>14 OTAGO</v>
          </cell>
          <cell r="B984">
            <v>9</v>
          </cell>
          <cell r="C984">
            <v>2023</v>
          </cell>
          <cell r="D984">
            <v>11</v>
          </cell>
          <cell r="E984">
            <v>38</v>
          </cell>
          <cell r="F984">
            <v>0.87337452510000002</v>
          </cell>
          <cell r="G984">
            <v>0</v>
          </cell>
          <cell r="H984">
            <v>0.29983889730000002</v>
          </cell>
          <cell r="I984" t="str">
            <v>Other Household Travel</v>
          </cell>
          <cell r="J984" t="str">
            <v>2022/23</v>
          </cell>
        </row>
        <row r="985">
          <cell r="A985" t="str">
            <v>14 OTAGO</v>
          </cell>
          <cell r="B985">
            <v>9</v>
          </cell>
          <cell r="C985">
            <v>2028</v>
          </cell>
          <cell r="D985">
            <v>11</v>
          </cell>
          <cell r="E985">
            <v>38</v>
          </cell>
          <cell r="F985">
            <v>0.87375493940000004</v>
          </cell>
          <cell r="G985">
            <v>0</v>
          </cell>
          <cell r="H985">
            <v>0.3095856944</v>
          </cell>
          <cell r="I985" t="str">
            <v>Other Household Travel</v>
          </cell>
          <cell r="J985" t="str">
            <v>2027/28</v>
          </cell>
        </row>
        <row r="986">
          <cell r="A986" t="str">
            <v>14 OTAGO</v>
          </cell>
          <cell r="B986">
            <v>9</v>
          </cell>
          <cell r="C986">
            <v>2033</v>
          </cell>
          <cell r="D986">
            <v>11</v>
          </cell>
          <cell r="E986">
            <v>38</v>
          </cell>
          <cell r="F986">
            <v>0.84674512599999996</v>
          </cell>
          <cell r="G986">
            <v>0</v>
          </cell>
          <cell r="H986">
            <v>0.31346924840000001</v>
          </cell>
          <cell r="I986" t="str">
            <v>Other Household Travel</v>
          </cell>
          <cell r="J986" t="str">
            <v>2032/33</v>
          </cell>
        </row>
        <row r="987">
          <cell r="A987" t="str">
            <v>14 OTAGO</v>
          </cell>
          <cell r="B987">
            <v>9</v>
          </cell>
          <cell r="C987">
            <v>2038</v>
          </cell>
          <cell r="D987">
            <v>11</v>
          </cell>
          <cell r="E987">
            <v>38</v>
          </cell>
          <cell r="F987">
            <v>0.81379401210000002</v>
          </cell>
          <cell r="G987">
            <v>0</v>
          </cell>
          <cell r="H987">
            <v>0.31921133740000002</v>
          </cell>
          <cell r="I987" t="str">
            <v>Other Household Travel</v>
          </cell>
          <cell r="J987" t="str">
            <v>2037/38</v>
          </cell>
        </row>
        <row r="988">
          <cell r="A988" t="str">
            <v>14 OTAGO</v>
          </cell>
          <cell r="B988">
            <v>9</v>
          </cell>
          <cell r="C988">
            <v>2043</v>
          </cell>
          <cell r="D988">
            <v>11</v>
          </cell>
          <cell r="E988">
            <v>38</v>
          </cell>
          <cell r="F988">
            <v>0.78488117319999995</v>
          </cell>
          <cell r="G988">
            <v>0</v>
          </cell>
          <cell r="H988">
            <v>0.3272769854</v>
          </cell>
          <cell r="I988" t="str">
            <v>Other Household Travel</v>
          </cell>
          <cell r="J988" t="str">
            <v>2042/43</v>
          </cell>
        </row>
        <row r="989">
          <cell r="A989" t="str">
            <v>14 OTAGO</v>
          </cell>
          <cell r="B989">
            <v>10</v>
          </cell>
          <cell r="C989">
            <v>2013</v>
          </cell>
          <cell r="D989">
            <v>12</v>
          </cell>
          <cell r="E989">
            <v>16</v>
          </cell>
          <cell r="F989">
            <v>0.45393948140000001</v>
          </cell>
          <cell r="G989">
            <v>32.668222239000002</v>
          </cell>
          <cell r="H989">
            <v>1.0816055304000001</v>
          </cell>
          <cell r="I989" t="str">
            <v>Air/Non-Local PT</v>
          </cell>
          <cell r="J989" t="str">
            <v>2012/13</v>
          </cell>
        </row>
        <row r="990">
          <cell r="A990" t="str">
            <v>14 OTAGO</v>
          </cell>
          <cell r="B990">
            <v>10</v>
          </cell>
          <cell r="C990">
            <v>2018</v>
          </cell>
          <cell r="D990">
            <v>12</v>
          </cell>
          <cell r="E990">
            <v>16</v>
          </cell>
          <cell r="F990">
            <v>0.53890568329999999</v>
          </cell>
          <cell r="G990">
            <v>39.101606039000004</v>
          </cell>
          <cell r="H990">
            <v>1.2734817823</v>
          </cell>
          <cell r="I990" t="str">
            <v>Air/Non-Local PT</v>
          </cell>
          <cell r="J990" t="str">
            <v>2017/18</v>
          </cell>
        </row>
        <row r="991">
          <cell r="A991" t="str">
            <v>14 OTAGO</v>
          </cell>
          <cell r="B991">
            <v>10</v>
          </cell>
          <cell r="C991">
            <v>2023</v>
          </cell>
          <cell r="D991">
            <v>12</v>
          </cell>
          <cell r="E991">
            <v>16</v>
          </cell>
          <cell r="F991">
            <v>0.61371571250000001</v>
          </cell>
          <cell r="G991">
            <v>43.861029917000003</v>
          </cell>
          <cell r="H991">
            <v>1.4288485673</v>
          </cell>
          <cell r="I991" t="str">
            <v>Air/Non-Local PT</v>
          </cell>
          <cell r="J991" t="str">
            <v>2022/23</v>
          </cell>
        </row>
        <row r="992">
          <cell r="A992" t="str">
            <v>14 OTAGO</v>
          </cell>
          <cell r="B992">
            <v>10</v>
          </cell>
          <cell r="C992">
            <v>2028</v>
          </cell>
          <cell r="D992">
            <v>12</v>
          </cell>
          <cell r="E992">
            <v>16</v>
          </cell>
          <cell r="F992">
            <v>0.67582164140000001</v>
          </cell>
          <cell r="G992">
            <v>47.438063342</v>
          </cell>
          <cell r="H992">
            <v>1.5505081098</v>
          </cell>
          <cell r="I992" t="str">
            <v>Air/Non-Local PT</v>
          </cell>
          <cell r="J992" t="str">
            <v>2027/28</v>
          </cell>
        </row>
        <row r="993">
          <cell r="A993" t="str">
            <v>14 OTAGO</v>
          </cell>
          <cell r="B993">
            <v>10</v>
          </cell>
          <cell r="C993">
            <v>2033</v>
          </cell>
          <cell r="D993">
            <v>12</v>
          </cell>
          <cell r="E993">
            <v>16</v>
          </cell>
          <cell r="F993">
            <v>0.73171525599999998</v>
          </cell>
          <cell r="G993">
            <v>50.580349345000002</v>
          </cell>
          <cell r="H993">
            <v>1.6669578105</v>
          </cell>
          <cell r="I993" t="str">
            <v>Air/Non-Local PT</v>
          </cell>
          <cell r="J993" t="str">
            <v>2032/33</v>
          </cell>
        </row>
        <row r="994">
          <cell r="A994" t="str">
            <v>14 OTAGO</v>
          </cell>
          <cell r="B994">
            <v>10</v>
          </cell>
          <cell r="C994">
            <v>2038</v>
          </cell>
          <cell r="D994">
            <v>12</v>
          </cell>
          <cell r="E994">
            <v>16</v>
          </cell>
          <cell r="F994">
            <v>0.78029862429999997</v>
          </cell>
          <cell r="G994">
            <v>52.963055656999998</v>
          </cell>
          <cell r="H994">
            <v>1.7507386259</v>
          </cell>
          <cell r="I994" t="str">
            <v>Air/Non-Local PT</v>
          </cell>
          <cell r="J994" t="str">
            <v>2037/38</v>
          </cell>
        </row>
        <row r="995">
          <cell r="A995" t="str">
            <v>14 OTAGO</v>
          </cell>
          <cell r="B995">
            <v>10</v>
          </cell>
          <cell r="C995">
            <v>2043</v>
          </cell>
          <cell r="D995">
            <v>12</v>
          </cell>
          <cell r="E995">
            <v>16</v>
          </cell>
          <cell r="F995">
            <v>0.82722519670000005</v>
          </cell>
          <cell r="G995">
            <v>55.066286830000003</v>
          </cell>
          <cell r="H995">
            <v>1.828402707</v>
          </cell>
          <cell r="I995" t="str">
            <v>Air/Non-Local PT</v>
          </cell>
          <cell r="J995" t="str">
            <v>2042/43</v>
          </cell>
        </row>
        <row r="996">
          <cell r="A996" t="str">
            <v>14 OTAGO</v>
          </cell>
          <cell r="B996">
            <v>11</v>
          </cell>
          <cell r="C996">
            <v>2013</v>
          </cell>
          <cell r="D996">
            <v>8</v>
          </cell>
          <cell r="E996">
            <v>23</v>
          </cell>
          <cell r="F996">
            <v>0.69501361849999999</v>
          </cell>
          <cell r="G996">
            <v>6.1172965614999999</v>
          </cell>
          <cell r="H996">
            <v>0.18529166999999999</v>
          </cell>
          <cell r="I996" t="str">
            <v>Non-Household Travel</v>
          </cell>
          <cell r="J996" t="str">
            <v>2012/13</v>
          </cell>
        </row>
        <row r="997">
          <cell r="A997" t="str">
            <v>14 OTAGO</v>
          </cell>
          <cell r="B997">
            <v>11</v>
          </cell>
          <cell r="C997">
            <v>2018</v>
          </cell>
          <cell r="D997">
            <v>8</v>
          </cell>
          <cell r="E997">
            <v>23</v>
          </cell>
          <cell r="F997">
            <v>0.80103598789999997</v>
          </cell>
          <cell r="G997">
            <v>7.5163182022999999</v>
          </cell>
          <cell r="H997">
            <v>0.22538516950000001</v>
          </cell>
          <cell r="I997" t="str">
            <v>Non-Household Travel</v>
          </cell>
          <cell r="J997" t="str">
            <v>2017/18</v>
          </cell>
        </row>
        <row r="998">
          <cell r="A998" t="str">
            <v>14 OTAGO</v>
          </cell>
          <cell r="B998">
            <v>11</v>
          </cell>
          <cell r="C998">
            <v>2023</v>
          </cell>
          <cell r="D998">
            <v>8</v>
          </cell>
          <cell r="E998">
            <v>23</v>
          </cell>
          <cell r="F998">
            <v>0.91871901369999998</v>
          </cell>
          <cell r="G998">
            <v>8.8452489651999997</v>
          </cell>
          <cell r="H998">
            <v>0.26540346970000001</v>
          </cell>
          <cell r="I998" t="str">
            <v>Non-Household Travel</v>
          </cell>
          <cell r="J998" t="str">
            <v>2022/23</v>
          </cell>
        </row>
        <row r="999">
          <cell r="A999" t="str">
            <v>14 OTAGO</v>
          </cell>
          <cell r="B999">
            <v>11</v>
          </cell>
          <cell r="C999">
            <v>2028</v>
          </cell>
          <cell r="D999">
            <v>8</v>
          </cell>
          <cell r="E999">
            <v>23</v>
          </cell>
          <cell r="F999">
            <v>1.0910658514</v>
          </cell>
          <cell r="G999">
            <v>10.257354805</v>
          </cell>
          <cell r="H999">
            <v>0.31446137419999998</v>
          </cell>
          <cell r="I999" t="str">
            <v>Non-Household Travel</v>
          </cell>
          <cell r="J999" t="str">
            <v>2027/28</v>
          </cell>
        </row>
        <row r="1000">
          <cell r="A1000" t="str">
            <v>14 OTAGO</v>
          </cell>
          <cell r="B1000">
            <v>11</v>
          </cell>
          <cell r="C1000">
            <v>2033</v>
          </cell>
          <cell r="D1000">
            <v>8</v>
          </cell>
          <cell r="E1000">
            <v>23</v>
          </cell>
          <cell r="F1000">
            <v>1.2325687658</v>
          </cell>
          <cell r="G1000">
            <v>11.206195129999999</v>
          </cell>
          <cell r="H1000">
            <v>0.35294377669999999</v>
          </cell>
          <cell r="I1000" t="str">
            <v>Non-Household Travel</v>
          </cell>
          <cell r="J1000" t="str">
            <v>2032/33</v>
          </cell>
        </row>
        <row r="1001">
          <cell r="A1001" t="str">
            <v>14 OTAGO</v>
          </cell>
          <cell r="B1001">
            <v>11</v>
          </cell>
          <cell r="C1001">
            <v>2038</v>
          </cell>
          <cell r="D1001">
            <v>8</v>
          </cell>
          <cell r="E1001">
            <v>23</v>
          </cell>
          <cell r="F1001">
            <v>1.3244722502999999</v>
          </cell>
          <cell r="G1001">
            <v>11.802789904999999</v>
          </cell>
          <cell r="H1001">
            <v>0.37869174480000001</v>
          </cell>
          <cell r="I1001" t="str">
            <v>Non-Household Travel</v>
          </cell>
          <cell r="J1001" t="str">
            <v>2037/38</v>
          </cell>
        </row>
        <row r="1002">
          <cell r="A1002" t="str">
            <v>14 OTAGO</v>
          </cell>
          <cell r="B1002">
            <v>11</v>
          </cell>
          <cell r="C1002">
            <v>2043</v>
          </cell>
          <cell r="D1002">
            <v>8</v>
          </cell>
          <cell r="E1002">
            <v>23</v>
          </cell>
          <cell r="F1002">
            <v>1.4305867001999999</v>
          </cell>
          <cell r="G1002">
            <v>12.420270113000001</v>
          </cell>
          <cell r="H1002">
            <v>0.40720826770000002</v>
          </cell>
          <cell r="I1002" t="str">
            <v>Non-Household Travel</v>
          </cell>
          <cell r="J1002" t="str">
            <v>2042/43</v>
          </cell>
        </row>
        <row r="1003">
          <cell r="A1003" t="str">
            <v>15 SOUTHLAND</v>
          </cell>
          <cell r="B1003">
            <v>0</v>
          </cell>
          <cell r="C1003">
            <v>2013</v>
          </cell>
          <cell r="D1003">
            <v>180</v>
          </cell>
          <cell r="E1003">
            <v>617</v>
          </cell>
          <cell r="F1003">
            <v>12.52065131</v>
          </cell>
          <cell r="G1003">
            <v>8.8466785109000003</v>
          </cell>
          <cell r="H1003">
            <v>2.2528617661000001</v>
          </cell>
          <cell r="I1003" t="str">
            <v>Pedestrian</v>
          </cell>
          <cell r="J1003" t="str">
            <v>2012/13</v>
          </cell>
        </row>
        <row r="1004">
          <cell r="A1004" t="str">
            <v>15 SOUTHLAND</v>
          </cell>
          <cell r="B1004">
            <v>0</v>
          </cell>
          <cell r="C1004">
            <v>2018</v>
          </cell>
          <cell r="D1004">
            <v>180</v>
          </cell>
          <cell r="E1004">
            <v>617</v>
          </cell>
          <cell r="F1004">
            <v>12.667644591</v>
          </cell>
          <cell r="G1004">
            <v>8.9957056555000001</v>
          </cell>
          <cell r="H1004">
            <v>2.2900007799000002</v>
          </cell>
          <cell r="I1004" t="str">
            <v>Pedestrian</v>
          </cell>
          <cell r="J1004" t="str">
            <v>2017/18</v>
          </cell>
        </row>
        <row r="1005">
          <cell r="A1005" t="str">
            <v>15 SOUTHLAND</v>
          </cell>
          <cell r="B1005">
            <v>0</v>
          </cell>
          <cell r="C1005">
            <v>2023</v>
          </cell>
          <cell r="D1005">
            <v>180</v>
          </cell>
          <cell r="E1005">
            <v>617</v>
          </cell>
          <cell r="F1005">
            <v>12.657703605</v>
          </cell>
          <cell r="G1005">
            <v>9.0015569693999993</v>
          </cell>
          <cell r="H1005">
            <v>2.2881543997999998</v>
          </cell>
          <cell r="I1005" t="str">
            <v>Pedestrian</v>
          </cell>
          <cell r="J1005" t="str">
            <v>2022/23</v>
          </cell>
        </row>
        <row r="1006">
          <cell r="A1006" t="str">
            <v>15 SOUTHLAND</v>
          </cell>
          <cell r="B1006">
            <v>0</v>
          </cell>
          <cell r="C1006">
            <v>2028</v>
          </cell>
          <cell r="D1006">
            <v>180</v>
          </cell>
          <cell r="E1006">
            <v>617</v>
          </cell>
          <cell r="F1006">
            <v>12.664428055</v>
          </cell>
          <cell r="G1006">
            <v>9.0300708151000002</v>
          </cell>
          <cell r="H1006">
            <v>2.2681329990000001</v>
          </cell>
          <cell r="I1006" t="str">
            <v>Pedestrian</v>
          </cell>
          <cell r="J1006" t="str">
            <v>2027/28</v>
          </cell>
        </row>
        <row r="1007">
          <cell r="A1007" t="str">
            <v>15 SOUTHLAND</v>
          </cell>
          <cell r="B1007">
            <v>0</v>
          </cell>
          <cell r="C1007">
            <v>2033</v>
          </cell>
          <cell r="D1007">
            <v>180</v>
          </cell>
          <cell r="E1007">
            <v>617</v>
          </cell>
          <cell r="F1007">
            <v>12.47125505</v>
          </cell>
          <cell r="G1007">
            <v>8.8574022688999996</v>
          </cell>
          <cell r="H1007">
            <v>2.2186663391999999</v>
          </cell>
          <cell r="I1007" t="str">
            <v>Pedestrian</v>
          </cell>
          <cell r="J1007" t="str">
            <v>2032/33</v>
          </cell>
        </row>
        <row r="1008">
          <cell r="A1008" t="str">
            <v>15 SOUTHLAND</v>
          </cell>
          <cell r="B1008">
            <v>0</v>
          </cell>
          <cell r="C1008">
            <v>2038</v>
          </cell>
          <cell r="D1008">
            <v>180</v>
          </cell>
          <cell r="E1008">
            <v>617</v>
          </cell>
          <cell r="F1008">
            <v>12.125144562999999</v>
          </cell>
          <cell r="G1008">
            <v>8.6701639248000006</v>
          </cell>
          <cell r="H1008">
            <v>2.1547176957</v>
          </cell>
          <cell r="I1008" t="str">
            <v>Pedestrian</v>
          </cell>
          <cell r="J1008" t="str">
            <v>2037/38</v>
          </cell>
        </row>
        <row r="1009">
          <cell r="A1009" t="str">
            <v>15 SOUTHLAND</v>
          </cell>
          <cell r="B1009">
            <v>0</v>
          </cell>
          <cell r="C1009">
            <v>2043</v>
          </cell>
          <cell r="D1009">
            <v>180</v>
          </cell>
          <cell r="E1009">
            <v>617</v>
          </cell>
          <cell r="F1009">
            <v>11.718073206</v>
          </cell>
          <cell r="G1009">
            <v>8.4224381205000007</v>
          </cell>
          <cell r="H1009">
            <v>2.0776072186999999</v>
          </cell>
          <cell r="I1009" t="str">
            <v>Pedestrian</v>
          </cell>
          <cell r="J1009" t="str">
            <v>2042/43</v>
          </cell>
        </row>
        <row r="1010">
          <cell r="A1010" t="str">
            <v>15 SOUTHLAND</v>
          </cell>
          <cell r="B1010">
            <v>1</v>
          </cell>
          <cell r="C1010">
            <v>2013</v>
          </cell>
          <cell r="D1010">
            <v>19</v>
          </cell>
          <cell r="E1010">
            <v>72</v>
          </cell>
          <cell r="F1010">
            <v>1.0312878256</v>
          </cell>
          <cell r="G1010">
            <v>7.5402861329000004</v>
          </cell>
          <cell r="H1010">
            <v>0.50294231479999996</v>
          </cell>
          <cell r="I1010" t="str">
            <v>Cyclist</v>
          </cell>
          <cell r="J1010" t="str">
            <v>2012/13</v>
          </cell>
        </row>
        <row r="1011">
          <cell r="A1011" t="str">
            <v>15 SOUTHLAND</v>
          </cell>
          <cell r="B1011">
            <v>1</v>
          </cell>
          <cell r="C1011">
            <v>2018</v>
          </cell>
          <cell r="D1011">
            <v>19</v>
          </cell>
          <cell r="E1011">
            <v>72</v>
          </cell>
          <cell r="F1011">
            <v>1.0673430641999999</v>
          </cell>
          <cell r="G1011">
            <v>8.2755531411999996</v>
          </cell>
          <cell r="H1011">
            <v>0.54327120949999996</v>
          </cell>
          <cell r="I1011" t="str">
            <v>Cyclist</v>
          </cell>
          <cell r="J1011" t="str">
            <v>2017/18</v>
          </cell>
        </row>
        <row r="1012">
          <cell r="A1012" t="str">
            <v>15 SOUTHLAND</v>
          </cell>
          <cell r="B1012">
            <v>1</v>
          </cell>
          <cell r="C1012">
            <v>2023</v>
          </cell>
          <cell r="D1012">
            <v>19</v>
          </cell>
          <cell r="E1012">
            <v>72</v>
          </cell>
          <cell r="F1012">
            <v>1.0565883277999999</v>
          </cell>
          <cell r="G1012">
            <v>8.3934888316999992</v>
          </cell>
          <cell r="H1012">
            <v>0.54985889669999999</v>
          </cell>
          <cell r="I1012" t="str">
            <v>Cyclist</v>
          </cell>
          <cell r="J1012" t="str">
            <v>2022/23</v>
          </cell>
        </row>
        <row r="1013">
          <cell r="A1013" t="str">
            <v>15 SOUTHLAND</v>
          </cell>
          <cell r="B1013">
            <v>1</v>
          </cell>
          <cell r="C1013">
            <v>2028</v>
          </cell>
          <cell r="D1013">
            <v>19</v>
          </cell>
          <cell r="E1013">
            <v>72</v>
          </cell>
          <cell r="F1013">
            <v>1.0488258159999999</v>
          </cell>
          <cell r="G1013">
            <v>7.6747968747000002</v>
          </cell>
          <cell r="H1013">
            <v>0.51841312399999995</v>
          </cell>
          <cell r="I1013" t="str">
            <v>Cyclist</v>
          </cell>
          <cell r="J1013" t="str">
            <v>2027/28</v>
          </cell>
        </row>
        <row r="1014">
          <cell r="A1014" t="str">
            <v>15 SOUTHLAND</v>
          </cell>
          <cell r="B1014">
            <v>1</v>
          </cell>
          <cell r="C1014">
            <v>2033</v>
          </cell>
          <cell r="D1014">
            <v>19</v>
          </cell>
          <cell r="E1014">
            <v>72</v>
          </cell>
          <cell r="F1014">
            <v>1.0456659862</v>
          </cell>
          <cell r="G1014">
            <v>7.1655216314999999</v>
          </cell>
          <cell r="H1014">
            <v>0.49338115529999998</v>
          </cell>
          <cell r="I1014" t="str">
            <v>Cyclist</v>
          </cell>
          <cell r="J1014" t="str">
            <v>2032/33</v>
          </cell>
        </row>
        <row r="1015">
          <cell r="A1015" t="str">
            <v>15 SOUTHLAND</v>
          </cell>
          <cell r="B1015">
            <v>1</v>
          </cell>
          <cell r="C1015">
            <v>2038</v>
          </cell>
          <cell r="D1015">
            <v>19</v>
          </cell>
          <cell r="E1015">
            <v>72</v>
          </cell>
          <cell r="F1015">
            <v>0.99443644929999997</v>
          </cell>
          <cell r="G1015">
            <v>6.7471961906000004</v>
          </cell>
          <cell r="H1015">
            <v>0.4648141341</v>
          </cell>
          <cell r="I1015" t="str">
            <v>Cyclist</v>
          </cell>
          <cell r="J1015" t="str">
            <v>2037/38</v>
          </cell>
        </row>
        <row r="1016">
          <cell r="A1016" t="str">
            <v>15 SOUTHLAND</v>
          </cell>
          <cell r="B1016">
            <v>1</v>
          </cell>
          <cell r="C1016">
            <v>2043</v>
          </cell>
          <cell r="D1016">
            <v>19</v>
          </cell>
          <cell r="E1016">
            <v>72</v>
          </cell>
          <cell r="F1016">
            <v>0.9383920805</v>
          </cell>
          <cell r="G1016">
            <v>6.3207250162999999</v>
          </cell>
          <cell r="H1016">
            <v>0.43566768230000003</v>
          </cell>
          <cell r="I1016" t="str">
            <v>Cyclist</v>
          </cell>
          <cell r="J1016" t="str">
            <v>2042/43</v>
          </cell>
        </row>
        <row r="1017">
          <cell r="A1017" t="str">
            <v>15 SOUTHLAND</v>
          </cell>
          <cell r="B1017">
            <v>2</v>
          </cell>
          <cell r="C1017">
            <v>2013</v>
          </cell>
          <cell r="D1017">
            <v>442</v>
          </cell>
          <cell r="E1017">
            <v>3080</v>
          </cell>
          <cell r="F1017">
            <v>66.981547285000005</v>
          </cell>
          <cell r="G1017">
            <v>657.74873722999996</v>
          </cell>
          <cell r="H1017">
            <v>14.603785903</v>
          </cell>
          <cell r="I1017" t="str">
            <v>Light Vehicle Driver</v>
          </cell>
          <cell r="J1017" t="str">
            <v>2012/13</v>
          </cell>
        </row>
        <row r="1018">
          <cell r="A1018" t="str">
            <v>15 SOUTHLAND</v>
          </cell>
          <cell r="B1018">
            <v>2</v>
          </cell>
          <cell r="C1018">
            <v>2018</v>
          </cell>
          <cell r="D1018">
            <v>442</v>
          </cell>
          <cell r="E1018">
            <v>3080</v>
          </cell>
          <cell r="F1018">
            <v>70.126568223999996</v>
          </cell>
          <cell r="G1018">
            <v>708.65514853000002</v>
          </cell>
          <cell r="H1018">
            <v>15.598775570999999</v>
          </cell>
          <cell r="I1018" t="str">
            <v>Light Vehicle Driver</v>
          </cell>
          <cell r="J1018" t="str">
            <v>2017/18</v>
          </cell>
        </row>
        <row r="1019">
          <cell r="A1019" t="str">
            <v>15 SOUTHLAND</v>
          </cell>
          <cell r="B1019">
            <v>2</v>
          </cell>
          <cell r="C1019">
            <v>2023</v>
          </cell>
          <cell r="D1019">
            <v>442</v>
          </cell>
          <cell r="E1019">
            <v>3080</v>
          </cell>
          <cell r="F1019">
            <v>70.748154123000006</v>
          </cell>
          <cell r="G1019">
            <v>733.40189199999998</v>
          </cell>
          <cell r="H1019">
            <v>16.006946580000001</v>
          </cell>
          <cell r="I1019" t="str">
            <v>Light Vehicle Driver</v>
          </cell>
          <cell r="J1019" t="str">
            <v>2022/23</v>
          </cell>
        </row>
        <row r="1020">
          <cell r="A1020" t="str">
            <v>15 SOUTHLAND</v>
          </cell>
          <cell r="B1020">
            <v>2</v>
          </cell>
          <cell r="C1020">
            <v>2028</v>
          </cell>
          <cell r="D1020">
            <v>442</v>
          </cell>
          <cell r="E1020">
            <v>3080</v>
          </cell>
          <cell r="F1020">
            <v>70.956558876000003</v>
          </cell>
          <cell r="G1020">
            <v>746.06199043000004</v>
          </cell>
          <cell r="H1020">
            <v>16.18229517</v>
          </cell>
          <cell r="I1020" t="str">
            <v>Light Vehicle Driver</v>
          </cell>
          <cell r="J1020" t="str">
            <v>2027/28</v>
          </cell>
        </row>
        <row r="1021">
          <cell r="A1021" t="str">
            <v>15 SOUTHLAND</v>
          </cell>
          <cell r="B1021">
            <v>2</v>
          </cell>
          <cell r="C1021">
            <v>2033</v>
          </cell>
          <cell r="D1021">
            <v>442</v>
          </cell>
          <cell r="E1021">
            <v>3080</v>
          </cell>
          <cell r="F1021">
            <v>71.481589532000001</v>
          </cell>
          <cell r="G1021">
            <v>757.49917452</v>
          </cell>
          <cell r="H1021">
            <v>16.369363885999999</v>
          </cell>
          <cell r="I1021" t="str">
            <v>Light Vehicle Driver</v>
          </cell>
          <cell r="J1021" t="str">
            <v>2032/33</v>
          </cell>
        </row>
        <row r="1022">
          <cell r="A1022" t="str">
            <v>15 SOUTHLAND</v>
          </cell>
          <cell r="B1022">
            <v>2</v>
          </cell>
          <cell r="C1022">
            <v>2038</v>
          </cell>
          <cell r="D1022">
            <v>442</v>
          </cell>
          <cell r="E1022">
            <v>3080</v>
          </cell>
          <cell r="F1022">
            <v>71.425055908000004</v>
          </cell>
          <cell r="G1022">
            <v>760.77190142999996</v>
          </cell>
          <cell r="H1022">
            <v>16.413260587</v>
          </cell>
          <cell r="I1022" t="str">
            <v>Light Vehicle Driver</v>
          </cell>
          <cell r="J1022" t="str">
            <v>2037/38</v>
          </cell>
        </row>
        <row r="1023">
          <cell r="A1023" t="str">
            <v>15 SOUTHLAND</v>
          </cell>
          <cell r="B1023">
            <v>2</v>
          </cell>
          <cell r="C1023">
            <v>2043</v>
          </cell>
          <cell r="D1023">
            <v>442</v>
          </cell>
          <cell r="E1023">
            <v>3080</v>
          </cell>
          <cell r="F1023">
            <v>71.154502398999995</v>
          </cell>
          <cell r="G1023">
            <v>762.31819558999996</v>
          </cell>
          <cell r="H1023">
            <v>16.406186461000001</v>
          </cell>
          <cell r="I1023" t="str">
            <v>Light Vehicle Driver</v>
          </cell>
          <cell r="J1023" t="str">
            <v>2042/43</v>
          </cell>
        </row>
        <row r="1024">
          <cell r="A1024" t="str">
            <v>15 SOUTHLAND</v>
          </cell>
          <cell r="B1024">
            <v>3</v>
          </cell>
          <cell r="C1024">
            <v>2013</v>
          </cell>
          <cell r="D1024">
            <v>289</v>
          </cell>
          <cell r="E1024">
            <v>1411</v>
          </cell>
          <cell r="F1024">
            <v>28.419434702</v>
          </cell>
          <cell r="G1024">
            <v>380.70733008000002</v>
          </cell>
          <cell r="H1024">
            <v>7.5859087797999996</v>
          </cell>
          <cell r="I1024" t="str">
            <v>Light Vehicle Passenger</v>
          </cell>
          <cell r="J1024" t="str">
            <v>2012/13</v>
          </cell>
        </row>
        <row r="1025">
          <cell r="A1025" t="str">
            <v>15 SOUTHLAND</v>
          </cell>
          <cell r="B1025">
            <v>3</v>
          </cell>
          <cell r="C1025">
            <v>2018</v>
          </cell>
          <cell r="D1025">
            <v>289</v>
          </cell>
          <cell r="E1025">
            <v>1411</v>
          </cell>
          <cell r="F1025">
            <v>27.382620130999999</v>
          </cell>
          <cell r="G1025">
            <v>391.38806614999999</v>
          </cell>
          <cell r="H1025">
            <v>7.6428176813000004</v>
          </cell>
          <cell r="I1025" t="str">
            <v>Light Vehicle Passenger</v>
          </cell>
          <cell r="J1025" t="str">
            <v>2017/18</v>
          </cell>
        </row>
        <row r="1026">
          <cell r="A1026" t="str">
            <v>15 SOUTHLAND</v>
          </cell>
          <cell r="B1026">
            <v>3</v>
          </cell>
          <cell r="C1026">
            <v>2023</v>
          </cell>
          <cell r="D1026">
            <v>289</v>
          </cell>
          <cell r="E1026">
            <v>1411</v>
          </cell>
          <cell r="F1026">
            <v>26.292487388000001</v>
          </cell>
          <cell r="G1026">
            <v>397.47824809999997</v>
          </cell>
          <cell r="H1026">
            <v>7.6474535119000002</v>
          </cell>
          <cell r="I1026" t="str">
            <v>Light Vehicle Passenger</v>
          </cell>
          <cell r="J1026" t="str">
            <v>2022/23</v>
          </cell>
        </row>
        <row r="1027">
          <cell r="A1027" t="str">
            <v>15 SOUTHLAND</v>
          </cell>
          <cell r="B1027">
            <v>3</v>
          </cell>
          <cell r="C1027">
            <v>2028</v>
          </cell>
          <cell r="D1027">
            <v>289</v>
          </cell>
          <cell r="E1027">
            <v>1411</v>
          </cell>
          <cell r="F1027">
            <v>25.427439524</v>
          </cell>
          <cell r="G1027">
            <v>397.78660053999999</v>
          </cell>
          <cell r="H1027">
            <v>7.5969260532999998</v>
          </cell>
          <cell r="I1027" t="str">
            <v>Light Vehicle Passenger</v>
          </cell>
          <cell r="J1027" t="str">
            <v>2027/28</v>
          </cell>
        </row>
        <row r="1028">
          <cell r="A1028" t="str">
            <v>15 SOUTHLAND</v>
          </cell>
          <cell r="B1028">
            <v>3</v>
          </cell>
          <cell r="C1028">
            <v>2033</v>
          </cell>
          <cell r="D1028">
            <v>289</v>
          </cell>
          <cell r="E1028">
            <v>1411</v>
          </cell>
          <cell r="F1028">
            <v>24.471006232000001</v>
          </cell>
          <cell r="G1028">
            <v>392.34199265000001</v>
          </cell>
          <cell r="H1028">
            <v>7.4576810847999999</v>
          </cell>
          <cell r="I1028" t="str">
            <v>Light Vehicle Passenger</v>
          </cell>
          <cell r="J1028" t="str">
            <v>2032/33</v>
          </cell>
        </row>
        <row r="1029">
          <cell r="A1029" t="str">
            <v>15 SOUTHLAND</v>
          </cell>
          <cell r="B1029">
            <v>3</v>
          </cell>
          <cell r="C1029">
            <v>2038</v>
          </cell>
          <cell r="D1029">
            <v>289</v>
          </cell>
          <cell r="E1029">
            <v>1411</v>
          </cell>
          <cell r="F1029">
            <v>23.383114912</v>
          </cell>
          <cell r="G1029">
            <v>381.92092364000001</v>
          </cell>
          <cell r="H1029">
            <v>7.2276557249</v>
          </cell>
          <cell r="I1029" t="str">
            <v>Light Vehicle Passenger</v>
          </cell>
          <cell r="J1029" t="str">
            <v>2037/38</v>
          </cell>
        </row>
        <row r="1030">
          <cell r="A1030" t="str">
            <v>15 SOUTHLAND</v>
          </cell>
          <cell r="B1030">
            <v>3</v>
          </cell>
          <cell r="C1030">
            <v>2043</v>
          </cell>
          <cell r="D1030">
            <v>289</v>
          </cell>
          <cell r="E1030">
            <v>1411</v>
          </cell>
          <cell r="F1030">
            <v>22.181627466999998</v>
          </cell>
          <cell r="G1030">
            <v>368.90422524000002</v>
          </cell>
          <cell r="H1030">
            <v>6.9476836906999999</v>
          </cell>
          <cell r="I1030" t="str">
            <v>Light Vehicle Passenger</v>
          </cell>
          <cell r="J1030" t="str">
            <v>2042/43</v>
          </cell>
        </row>
        <row r="1031">
          <cell r="A1031" t="str">
            <v>15 SOUTHLAND</v>
          </cell>
          <cell r="B1031">
            <v>4</v>
          </cell>
          <cell r="C1031">
            <v>2013</v>
          </cell>
          <cell r="D1031">
            <v>4</v>
          </cell>
          <cell r="E1031">
            <v>15</v>
          </cell>
          <cell r="F1031">
            <v>0.47613164409999997</v>
          </cell>
          <cell r="G1031">
            <v>1.2430116738999999</v>
          </cell>
          <cell r="H1031">
            <v>6.6688903300000005E-2</v>
          </cell>
          <cell r="J1031" t="str">
            <v>2012/13</v>
          </cell>
        </row>
        <row r="1032">
          <cell r="A1032" t="str">
            <v>15 SOUTHLAND</v>
          </cell>
          <cell r="B1032">
            <v>4</v>
          </cell>
          <cell r="C1032">
            <v>2018</v>
          </cell>
          <cell r="D1032">
            <v>4</v>
          </cell>
          <cell r="E1032">
            <v>15</v>
          </cell>
          <cell r="F1032">
            <v>0.51433755179999996</v>
          </cell>
          <cell r="G1032">
            <v>1.4468927301000001</v>
          </cell>
          <cell r="H1032">
            <v>7.6017160099999995E-2</v>
          </cell>
          <cell r="J1032" t="str">
            <v>2017/18</v>
          </cell>
        </row>
        <row r="1033">
          <cell r="A1033" t="str">
            <v>15 SOUTHLAND</v>
          </cell>
          <cell r="B1033">
            <v>4</v>
          </cell>
          <cell r="C1033">
            <v>2023</v>
          </cell>
          <cell r="D1033">
            <v>4</v>
          </cell>
          <cell r="E1033">
            <v>15</v>
          </cell>
          <cell r="F1033">
            <v>0.5400614976</v>
          </cell>
          <cell r="G1033">
            <v>1.5849125657000001</v>
          </cell>
          <cell r="H1033">
            <v>8.2276099399999997E-2</v>
          </cell>
          <cell r="J1033" t="str">
            <v>2022/23</v>
          </cell>
        </row>
        <row r="1034">
          <cell r="A1034" t="str">
            <v>15 SOUTHLAND</v>
          </cell>
          <cell r="B1034">
            <v>4</v>
          </cell>
          <cell r="C1034">
            <v>2028</v>
          </cell>
          <cell r="D1034">
            <v>4</v>
          </cell>
          <cell r="E1034">
            <v>15</v>
          </cell>
          <cell r="F1034">
            <v>0.56883864510000004</v>
          </cell>
          <cell r="G1034">
            <v>1.6771185751</v>
          </cell>
          <cell r="H1034">
            <v>8.6782568000000004E-2</v>
          </cell>
          <cell r="J1034" t="str">
            <v>2027/28</v>
          </cell>
        </row>
        <row r="1035">
          <cell r="A1035" t="str">
            <v>15 SOUTHLAND</v>
          </cell>
          <cell r="B1035">
            <v>4</v>
          </cell>
          <cell r="C1035">
            <v>2033</v>
          </cell>
          <cell r="D1035">
            <v>4</v>
          </cell>
          <cell r="E1035">
            <v>15</v>
          </cell>
          <cell r="F1035">
            <v>0.59830382410000005</v>
          </cell>
          <cell r="G1035">
            <v>1.7435628013</v>
          </cell>
          <cell r="H1035">
            <v>9.0326621600000004E-2</v>
          </cell>
          <cell r="J1035" t="str">
            <v>2032/33</v>
          </cell>
        </row>
        <row r="1036">
          <cell r="A1036" t="str">
            <v>15 SOUTHLAND</v>
          </cell>
          <cell r="B1036">
            <v>4</v>
          </cell>
          <cell r="C1036">
            <v>2038</v>
          </cell>
          <cell r="D1036">
            <v>4</v>
          </cell>
          <cell r="E1036">
            <v>15</v>
          </cell>
          <cell r="F1036">
            <v>0.61560851770000002</v>
          </cell>
          <cell r="G1036">
            <v>1.7703823165000001</v>
          </cell>
          <cell r="H1036">
            <v>9.1902642100000001E-2</v>
          </cell>
          <cell r="J1036" t="str">
            <v>2037/38</v>
          </cell>
        </row>
        <row r="1037">
          <cell r="A1037" t="str">
            <v>15 SOUTHLAND</v>
          </cell>
          <cell r="B1037">
            <v>4</v>
          </cell>
          <cell r="C1037">
            <v>2043</v>
          </cell>
          <cell r="D1037">
            <v>4</v>
          </cell>
          <cell r="E1037">
            <v>15</v>
          </cell>
          <cell r="F1037">
            <v>0.63174146689999999</v>
          </cell>
          <cell r="G1037">
            <v>1.791808281</v>
          </cell>
          <cell r="H1037">
            <v>9.3230077100000003E-2</v>
          </cell>
          <cell r="J1037" t="str">
            <v>2042/43</v>
          </cell>
        </row>
        <row r="1038">
          <cell r="A1038" t="str">
            <v>15 SOUTHLAND</v>
          </cell>
          <cell r="B1038">
            <v>5</v>
          </cell>
          <cell r="C1038">
            <v>2013</v>
          </cell>
          <cell r="D1038">
            <v>8</v>
          </cell>
          <cell r="E1038">
            <v>32</v>
          </cell>
          <cell r="F1038">
            <v>0.62652592730000001</v>
          </cell>
          <cell r="G1038">
            <v>18.926640866</v>
          </cell>
          <cell r="H1038">
            <v>0.2609239458</v>
          </cell>
          <cell r="I1038" t="str">
            <v>Motorcyclist</v>
          </cell>
          <cell r="J1038" t="str">
            <v>2012/13</v>
          </cell>
        </row>
        <row r="1039">
          <cell r="A1039" t="str">
            <v>15 SOUTHLAND</v>
          </cell>
          <cell r="B1039">
            <v>5</v>
          </cell>
          <cell r="C1039">
            <v>2018</v>
          </cell>
          <cell r="D1039">
            <v>8</v>
          </cell>
          <cell r="E1039">
            <v>32</v>
          </cell>
          <cell r="F1039">
            <v>0.71649916489999999</v>
          </cell>
          <cell r="G1039">
            <v>24.509459960000001</v>
          </cell>
          <cell r="H1039">
            <v>0.32989250710000001</v>
          </cell>
          <cell r="I1039" t="str">
            <v>Motorcyclist</v>
          </cell>
          <cell r="J1039" t="str">
            <v>2017/18</v>
          </cell>
        </row>
        <row r="1040">
          <cell r="A1040" t="str">
            <v>15 SOUTHLAND</v>
          </cell>
          <cell r="B1040">
            <v>5</v>
          </cell>
          <cell r="C1040">
            <v>2023</v>
          </cell>
          <cell r="D1040">
            <v>8</v>
          </cell>
          <cell r="E1040">
            <v>32</v>
          </cell>
          <cell r="F1040">
            <v>0.77478135349999999</v>
          </cell>
          <cell r="G1040">
            <v>28.462558275999999</v>
          </cell>
          <cell r="H1040">
            <v>0.37843133969999998</v>
          </cell>
          <cell r="I1040" t="str">
            <v>Motorcyclist</v>
          </cell>
          <cell r="J1040" t="str">
            <v>2022/23</v>
          </cell>
        </row>
        <row r="1041">
          <cell r="A1041" t="str">
            <v>15 SOUTHLAND</v>
          </cell>
          <cell r="B1041">
            <v>5</v>
          </cell>
          <cell r="C1041">
            <v>2028</v>
          </cell>
          <cell r="D1041">
            <v>8</v>
          </cell>
          <cell r="E1041">
            <v>32</v>
          </cell>
          <cell r="F1041">
            <v>0.80009175539999999</v>
          </cell>
          <cell r="G1041">
            <v>30.172427308</v>
          </cell>
          <cell r="H1041">
            <v>0.39929780209999999</v>
          </cell>
          <cell r="I1041" t="str">
            <v>Motorcyclist</v>
          </cell>
          <cell r="J1041" t="str">
            <v>2027/28</v>
          </cell>
        </row>
        <row r="1042">
          <cell r="A1042" t="str">
            <v>15 SOUTHLAND</v>
          </cell>
          <cell r="B1042">
            <v>5</v>
          </cell>
          <cell r="C1042">
            <v>2033</v>
          </cell>
          <cell r="D1042">
            <v>8</v>
          </cell>
          <cell r="E1042">
            <v>32</v>
          </cell>
          <cell r="F1042">
            <v>0.79729143449999995</v>
          </cell>
          <cell r="G1042">
            <v>30.656191089</v>
          </cell>
          <cell r="H1042">
            <v>0.4043519605</v>
          </cell>
          <cell r="I1042" t="str">
            <v>Motorcyclist</v>
          </cell>
          <cell r="J1042" t="str">
            <v>2032/33</v>
          </cell>
        </row>
        <row r="1043">
          <cell r="A1043" t="str">
            <v>15 SOUTHLAND</v>
          </cell>
          <cell r="B1043">
            <v>5</v>
          </cell>
          <cell r="C1043">
            <v>2038</v>
          </cell>
          <cell r="D1043">
            <v>8</v>
          </cell>
          <cell r="E1043">
            <v>32</v>
          </cell>
          <cell r="F1043">
            <v>0.77747879789999996</v>
          </cell>
          <cell r="G1043">
            <v>30.290266729999999</v>
          </cell>
          <cell r="H1043">
            <v>0.39878826319999999</v>
          </cell>
          <cell r="I1043" t="str">
            <v>Motorcyclist</v>
          </cell>
          <cell r="J1043" t="str">
            <v>2037/38</v>
          </cell>
        </row>
        <row r="1044">
          <cell r="A1044" t="str">
            <v>15 SOUTHLAND</v>
          </cell>
          <cell r="B1044">
            <v>5</v>
          </cell>
          <cell r="C1044">
            <v>2043</v>
          </cell>
          <cell r="D1044">
            <v>8</v>
          </cell>
          <cell r="E1044">
            <v>32</v>
          </cell>
          <cell r="F1044">
            <v>0.75087674800000004</v>
          </cell>
          <cell r="G1044">
            <v>29.708229423999999</v>
          </cell>
          <cell r="H1044">
            <v>0.3902659872</v>
          </cell>
          <cell r="I1044" t="str">
            <v>Motorcyclist</v>
          </cell>
          <cell r="J1044" t="str">
            <v>2042/43</v>
          </cell>
        </row>
        <row r="1045">
          <cell r="A1045" t="str">
            <v>15 SOUTHLAND</v>
          </cell>
          <cell r="B1045">
            <v>7</v>
          </cell>
          <cell r="C1045">
            <v>2013</v>
          </cell>
          <cell r="D1045">
            <v>37</v>
          </cell>
          <cell r="E1045">
            <v>119</v>
          </cell>
          <cell r="F1045">
            <v>2.6369167839999998</v>
          </cell>
          <cell r="G1045">
            <v>30.182609224</v>
          </cell>
          <cell r="H1045">
            <v>1.2152660816</v>
          </cell>
          <cell r="I1045" t="str">
            <v>Local Bus</v>
          </cell>
          <cell r="J1045" t="str">
            <v>2012/13</v>
          </cell>
        </row>
        <row r="1046">
          <cell r="A1046" t="str">
            <v>15 SOUTHLAND</v>
          </cell>
          <cell r="B1046">
            <v>7</v>
          </cell>
          <cell r="C1046">
            <v>2018</v>
          </cell>
          <cell r="D1046">
            <v>37</v>
          </cell>
          <cell r="E1046">
            <v>119</v>
          </cell>
          <cell r="F1046">
            <v>2.6522461971000002</v>
          </cell>
          <cell r="G1046">
            <v>30.176377896000002</v>
          </cell>
          <cell r="H1046">
            <v>1.2126964949000001</v>
          </cell>
          <cell r="I1046" t="str">
            <v>Local Bus</v>
          </cell>
          <cell r="J1046" t="str">
            <v>2017/18</v>
          </cell>
        </row>
        <row r="1047">
          <cell r="A1047" t="str">
            <v>15 SOUTHLAND</v>
          </cell>
          <cell r="B1047">
            <v>7</v>
          </cell>
          <cell r="C1047">
            <v>2023</v>
          </cell>
          <cell r="D1047">
            <v>37</v>
          </cell>
          <cell r="E1047">
            <v>119</v>
          </cell>
          <cell r="F1047">
            <v>2.6669033813</v>
          </cell>
          <cell r="G1047">
            <v>30.524485877</v>
          </cell>
          <cell r="H1047">
            <v>1.2298861237000001</v>
          </cell>
          <cell r="I1047" t="str">
            <v>Local Bus</v>
          </cell>
          <cell r="J1047" t="str">
            <v>2022/23</v>
          </cell>
        </row>
        <row r="1048">
          <cell r="A1048" t="str">
            <v>15 SOUTHLAND</v>
          </cell>
          <cell r="B1048">
            <v>7</v>
          </cell>
          <cell r="C1048">
            <v>2028</v>
          </cell>
          <cell r="D1048">
            <v>37</v>
          </cell>
          <cell r="E1048">
            <v>119</v>
          </cell>
          <cell r="F1048">
            <v>2.6967261397</v>
          </cell>
          <cell r="G1048">
            <v>30.877759248</v>
          </cell>
          <cell r="H1048">
            <v>1.2547103308000001</v>
          </cell>
          <cell r="I1048" t="str">
            <v>Local Bus</v>
          </cell>
          <cell r="J1048" t="str">
            <v>2027/28</v>
          </cell>
        </row>
        <row r="1049">
          <cell r="A1049" t="str">
            <v>15 SOUTHLAND</v>
          </cell>
          <cell r="B1049">
            <v>7</v>
          </cell>
          <cell r="C1049">
            <v>2033</v>
          </cell>
          <cell r="D1049">
            <v>37</v>
          </cell>
          <cell r="E1049">
            <v>119</v>
          </cell>
          <cell r="F1049">
            <v>2.6090905865999998</v>
          </cell>
          <cell r="G1049">
            <v>29.801901313999998</v>
          </cell>
          <cell r="H1049">
            <v>1.2230257926000001</v>
          </cell>
          <cell r="I1049" t="str">
            <v>Local Bus</v>
          </cell>
          <cell r="J1049" t="str">
            <v>2032/33</v>
          </cell>
        </row>
        <row r="1050">
          <cell r="A1050" t="str">
            <v>15 SOUTHLAND</v>
          </cell>
          <cell r="B1050">
            <v>7</v>
          </cell>
          <cell r="C1050">
            <v>2038</v>
          </cell>
          <cell r="D1050">
            <v>37</v>
          </cell>
          <cell r="E1050">
            <v>119</v>
          </cell>
          <cell r="F1050">
            <v>2.5063507006000001</v>
          </cell>
          <cell r="G1050">
            <v>28.310776477000001</v>
          </cell>
          <cell r="H1050">
            <v>1.1808230655</v>
          </cell>
          <cell r="I1050" t="str">
            <v>Local Bus</v>
          </cell>
          <cell r="J1050" t="str">
            <v>2037/38</v>
          </cell>
        </row>
        <row r="1051">
          <cell r="A1051" t="str">
            <v>15 SOUTHLAND</v>
          </cell>
          <cell r="B1051">
            <v>7</v>
          </cell>
          <cell r="C1051">
            <v>2043</v>
          </cell>
          <cell r="D1051">
            <v>37</v>
          </cell>
          <cell r="E1051">
            <v>119</v>
          </cell>
          <cell r="F1051">
            <v>2.3857704051000002</v>
          </cell>
          <cell r="G1051">
            <v>26.651421865</v>
          </cell>
          <cell r="H1051">
            <v>1.1314962729</v>
          </cell>
          <cell r="I1051" t="str">
            <v>Local Bus</v>
          </cell>
          <cell r="J1051" t="str">
            <v>2042/43</v>
          </cell>
        </row>
        <row r="1052">
          <cell r="A1052" t="str">
            <v>15 SOUTHLAND</v>
          </cell>
          <cell r="B1052">
            <v>9</v>
          </cell>
          <cell r="C1052">
            <v>2013</v>
          </cell>
          <cell r="D1052">
            <v>3</v>
          </cell>
          <cell r="E1052">
            <v>20</v>
          </cell>
          <cell r="F1052">
            <v>0.42937289560000003</v>
          </cell>
          <cell r="G1052">
            <v>0</v>
          </cell>
          <cell r="H1052">
            <v>8.5162673699999997E-2</v>
          </cell>
          <cell r="I1052" t="str">
            <v>Other Household Travel</v>
          </cell>
          <cell r="J1052" t="str">
            <v>2012/13</v>
          </cell>
        </row>
        <row r="1053">
          <cell r="A1053" t="str">
            <v>15 SOUTHLAND</v>
          </cell>
          <cell r="B1053">
            <v>9</v>
          </cell>
          <cell r="C1053">
            <v>2018</v>
          </cell>
          <cell r="D1053">
            <v>3</v>
          </cell>
          <cell r="E1053">
            <v>20</v>
          </cell>
          <cell r="F1053">
            <v>0.4747555692</v>
          </cell>
          <cell r="G1053">
            <v>0</v>
          </cell>
          <cell r="H1053">
            <v>9.4453581300000006E-2</v>
          </cell>
          <cell r="I1053" t="str">
            <v>Other Household Travel</v>
          </cell>
          <cell r="J1053" t="str">
            <v>2017/18</v>
          </cell>
        </row>
        <row r="1054">
          <cell r="A1054" t="str">
            <v>15 SOUTHLAND</v>
          </cell>
          <cell r="B1054">
            <v>9</v>
          </cell>
          <cell r="C1054">
            <v>2023</v>
          </cell>
          <cell r="D1054">
            <v>3</v>
          </cell>
          <cell r="E1054">
            <v>20</v>
          </cell>
          <cell r="F1054">
            <v>0.50353461129999999</v>
          </cell>
          <cell r="G1054">
            <v>0</v>
          </cell>
          <cell r="H1054">
            <v>0.1006842183</v>
          </cell>
          <cell r="I1054" t="str">
            <v>Other Household Travel</v>
          </cell>
          <cell r="J1054" t="str">
            <v>2022/23</v>
          </cell>
        </row>
        <row r="1055">
          <cell r="A1055" t="str">
            <v>15 SOUTHLAND</v>
          </cell>
          <cell r="B1055">
            <v>9</v>
          </cell>
          <cell r="C1055">
            <v>2028</v>
          </cell>
          <cell r="D1055">
            <v>3</v>
          </cell>
          <cell r="E1055">
            <v>20</v>
          </cell>
          <cell r="F1055">
            <v>0.532821973</v>
          </cell>
          <cell r="G1055">
            <v>0</v>
          </cell>
          <cell r="H1055">
            <v>0.1067805802</v>
          </cell>
          <cell r="I1055" t="str">
            <v>Other Household Travel</v>
          </cell>
          <cell r="J1055" t="str">
            <v>2027/28</v>
          </cell>
        </row>
        <row r="1056">
          <cell r="A1056" t="str">
            <v>15 SOUTHLAND</v>
          </cell>
          <cell r="B1056">
            <v>9</v>
          </cell>
          <cell r="C1056">
            <v>2033</v>
          </cell>
          <cell r="D1056">
            <v>3</v>
          </cell>
          <cell r="E1056">
            <v>20</v>
          </cell>
          <cell r="F1056">
            <v>0.55929527649999999</v>
          </cell>
          <cell r="G1056">
            <v>0</v>
          </cell>
          <cell r="H1056">
            <v>0.11265477459999999</v>
          </cell>
          <cell r="I1056" t="str">
            <v>Other Household Travel</v>
          </cell>
          <cell r="J1056" t="str">
            <v>2032/33</v>
          </cell>
        </row>
        <row r="1057">
          <cell r="A1057" t="str">
            <v>15 SOUTHLAND</v>
          </cell>
          <cell r="B1057">
            <v>9</v>
          </cell>
          <cell r="C1057">
            <v>2038</v>
          </cell>
          <cell r="D1057">
            <v>3</v>
          </cell>
          <cell r="E1057">
            <v>20</v>
          </cell>
          <cell r="F1057">
            <v>0.56388493200000001</v>
          </cell>
          <cell r="G1057">
            <v>0</v>
          </cell>
          <cell r="H1057">
            <v>0.1137228052</v>
          </cell>
          <cell r="I1057" t="str">
            <v>Other Household Travel</v>
          </cell>
          <cell r="J1057" t="str">
            <v>2037/38</v>
          </cell>
        </row>
        <row r="1058">
          <cell r="A1058" t="str">
            <v>15 SOUTHLAND</v>
          </cell>
          <cell r="B1058">
            <v>9</v>
          </cell>
          <cell r="C1058">
            <v>2043</v>
          </cell>
          <cell r="D1058">
            <v>3</v>
          </cell>
          <cell r="E1058">
            <v>20</v>
          </cell>
          <cell r="F1058">
            <v>0.5574157636</v>
          </cell>
          <cell r="G1058">
            <v>0</v>
          </cell>
          <cell r="H1058">
            <v>0.11215507199999999</v>
          </cell>
          <cell r="I1058" t="str">
            <v>Other Household Travel</v>
          </cell>
          <cell r="J1058" t="str">
            <v>2042/43</v>
          </cell>
        </row>
        <row r="1059">
          <cell r="A1059" t="str">
            <v>15 SOUTHLAND</v>
          </cell>
          <cell r="B1059">
            <v>10</v>
          </cell>
          <cell r="C1059">
            <v>2013</v>
          </cell>
          <cell r="D1059">
            <v>4</v>
          </cell>
          <cell r="E1059">
            <v>5</v>
          </cell>
          <cell r="F1059">
            <v>0.11858970739999999</v>
          </cell>
          <cell r="G1059">
            <v>7.7216256564999997</v>
          </cell>
          <cell r="H1059">
            <v>0.2054826143</v>
          </cell>
          <cell r="I1059" t="str">
            <v>Air/Non-Local PT</v>
          </cell>
          <cell r="J1059" t="str">
            <v>2012/13</v>
          </cell>
        </row>
        <row r="1060">
          <cell r="A1060" t="str">
            <v>15 SOUTHLAND</v>
          </cell>
          <cell r="B1060">
            <v>10</v>
          </cell>
          <cell r="C1060">
            <v>2018</v>
          </cell>
          <cell r="D1060">
            <v>4</v>
          </cell>
          <cell r="E1060">
            <v>5</v>
          </cell>
          <cell r="F1060">
            <v>0.14338578669999999</v>
          </cell>
          <cell r="G1060">
            <v>7.9601712852000004</v>
          </cell>
          <cell r="H1060">
            <v>0.23899103020000001</v>
          </cell>
          <cell r="I1060" t="str">
            <v>Air/Non-Local PT</v>
          </cell>
          <cell r="J1060" t="str">
            <v>2017/18</v>
          </cell>
        </row>
        <row r="1061">
          <cell r="A1061" t="str">
            <v>15 SOUTHLAND</v>
          </cell>
          <cell r="B1061">
            <v>10</v>
          </cell>
          <cell r="C1061">
            <v>2023</v>
          </cell>
          <cell r="D1061">
            <v>4</v>
          </cell>
          <cell r="E1061">
            <v>5</v>
          </cell>
          <cell r="F1061">
            <v>0.15683271200000001</v>
          </cell>
          <cell r="G1061">
            <v>7.5530780855000001</v>
          </cell>
          <cell r="H1061">
            <v>0.25381557269999999</v>
          </cell>
          <cell r="I1061" t="str">
            <v>Air/Non-Local PT</v>
          </cell>
          <cell r="J1061" t="str">
            <v>2022/23</v>
          </cell>
        </row>
        <row r="1062">
          <cell r="A1062" t="str">
            <v>15 SOUTHLAND</v>
          </cell>
          <cell r="B1062">
            <v>10</v>
          </cell>
          <cell r="C1062">
            <v>2028</v>
          </cell>
          <cell r="D1062">
            <v>4</v>
          </cell>
          <cell r="E1062">
            <v>5</v>
          </cell>
          <cell r="F1062">
            <v>0.16684299089999999</v>
          </cell>
          <cell r="G1062">
            <v>7.1747905595999999</v>
          </cell>
          <cell r="H1062">
            <v>0.26408762889999998</v>
          </cell>
          <cell r="I1062" t="str">
            <v>Air/Non-Local PT</v>
          </cell>
          <cell r="J1062" t="str">
            <v>2027/28</v>
          </cell>
        </row>
        <row r="1063">
          <cell r="A1063" t="str">
            <v>15 SOUTHLAND</v>
          </cell>
          <cell r="B1063">
            <v>10</v>
          </cell>
          <cell r="C1063">
            <v>2033</v>
          </cell>
          <cell r="D1063">
            <v>4</v>
          </cell>
          <cell r="E1063">
            <v>5</v>
          </cell>
          <cell r="F1063">
            <v>0.17156906059999999</v>
          </cell>
          <cell r="G1063">
            <v>7.4432654508000002</v>
          </cell>
          <cell r="H1063">
            <v>0.2722777093</v>
          </cell>
          <cell r="I1063" t="str">
            <v>Air/Non-Local PT</v>
          </cell>
          <cell r="J1063" t="str">
            <v>2032/33</v>
          </cell>
        </row>
        <row r="1064">
          <cell r="A1064" t="str">
            <v>15 SOUTHLAND</v>
          </cell>
          <cell r="B1064">
            <v>10</v>
          </cell>
          <cell r="C1064">
            <v>2038</v>
          </cell>
          <cell r="D1064">
            <v>4</v>
          </cell>
          <cell r="E1064">
            <v>5</v>
          </cell>
          <cell r="F1064">
            <v>0.17730374800000001</v>
          </cell>
          <cell r="G1064">
            <v>7.7172824696999998</v>
          </cell>
          <cell r="H1064">
            <v>0.2834059874</v>
          </cell>
          <cell r="I1064" t="str">
            <v>Air/Non-Local PT</v>
          </cell>
          <cell r="J1064" t="str">
            <v>2037/38</v>
          </cell>
        </row>
        <row r="1065">
          <cell r="A1065" t="str">
            <v>15 SOUTHLAND</v>
          </cell>
          <cell r="B1065">
            <v>10</v>
          </cell>
          <cell r="C1065">
            <v>2043</v>
          </cell>
          <cell r="D1065">
            <v>4</v>
          </cell>
          <cell r="E1065">
            <v>5</v>
          </cell>
          <cell r="F1065">
            <v>0.18245423569999999</v>
          </cell>
          <cell r="G1065">
            <v>7.9508726060999999</v>
          </cell>
          <cell r="H1065">
            <v>0.29339433050000002</v>
          </cell>
          <cell r="I1065" t="str">
            <v>Air/Non-Local PT</v>
          </cell>
          <cell r="J1065" t="str">
            <v>2042/43</v>
          </cell>
        </row>
        <row r="1066">
          <cell r="A1066" t="str">
            <v>15 SOUTHLAND</v>
          </cell>
          <cell r="B1066">
            <v>11</v>
          </cell>
          <cell r="C1066">
            <v>2013</v>
          </cell>
          <cell r="D1066">
            <v>3</v>
          </cell>
          <cell r="E1066">
            <v>9</v>
          </cell>
          <cell r="F1066">
            <v>0.1918163457</v>
          </cell>
          <cell r="G1066">
            <v>7.2518167408999998</v>
          </cell>
          <cell r="H1066">
            <v>0.26579174360000002</v>
          </cell>
          <cell r="I1066" t="str">
            <v>Non-Household Travel</v>
          </cell>
          <cell r="J1066" t="str">
            <v>2012/13</v>
          </cell>
        </row>
        <row r="1067">
          <cell r="A1067" t="str">
            <v>15 SOUTHLAND</v>
          </cell>
          <cell r="B1067">
            <v>11</v>
          </cell>
          <cell r="C1067">
            <v>2018</v>
          </cell>
          <cell r="D1067">
            <v>3</v>
          </cell>
          <cell r="E1067">
            <v>9</v>
          </cell>
          <cell r="F1067">
            <v>0.20413120039999999</v>
          </cell>
          <cell r="G1067">
            <v>8.7392549418000005</v>
          </cell>
          <cell r="H1067">
            <v>0.36389181939999998</v>
          </cell>
          <cell r="I1067" t="str">
            <v>Non-Household Travel</v>
          </cell>
          <cell r="J1067" t="str">
            <v>2017/18</v>
          </cell>
        </row>
        <row r="1068">
          <cell r="A1068" t="str">
            <v>15 SOUTHLAND</v>
          </cell>
          <cell r="B1068">
            <v>11</v>
          </cell>
          <cell r="C1068">
            <v>2023</v>
          </cell>
          <cell r="D1068">
            <v>3</v>
          </cell>
          <cell r="E1068">
            <v>9</v>
          </cell>
          <cell r="F1068">
            <v>0.22124935649999999</v>
          </cell>
          <cell r="G1068">
            <v>10.040484096</v>
          </cell>
          <cell r="H1068">
            <v>0.43052241679999997</v>
          </cell>
          <cell r="I1068" t="str">
            <v>Non-Household Travel</v>
          </cell>
          <cell r="J1068" t="str">
            <v>2022/23</v>
          </cell>
        </row>
        <row r="1069">
          <cell r="A1069" t="str">
            <v>15 SOUTHLAND</v>
          </cell>
          <cell r="B1069">
            <v>11</v>
          </cell>
          <cell r="C1069">
            <v>2028</v>
          </cell>
          <cell r="D1069">
            <v>3</v>
          </cell>
          <cell r="E1069">
            <v>9</v>
          </cell>
          <cell r="F1069">
            <v>0.25744991740000001</v>
          </cell>
          <cell r="G1069">
            <v>11.259271108</v>
          </cell>
          <cell r="H1069">
            <v>0.45811335380000001</v>
          </cell>
          <cell r="I1069" t="str">
            <v>Non-Household Travel</v>
          </cell>
          <cell r="J1069" t="str">
            <v>2027/28</v>
          </cell>
        </row>
        <row r="1070">
          <cell r="A1070" t="str">
            <v>15 SOUTHLAND</v>
          </cell>
          <cell r="B1070">
            <v>11</v>
          </cell>
          <cell r="C1070">
            <v>2033</v>
          </cell>
          <cell r="D1070">
            <v>3</v>
          </cell>
          <cell r="E1070">
            <v>9</v>
          </cell>
          <cell r="F1070">
            <v>0.27555612260000001</v>
          </cell>
          <cell r="G1070">
            <v>12.067522388</v>
          </cell>
          <cell r="H1070">
            <v>0.48602141110000002</v>
          </cell>
          <cell r="I1070" t="str">
            <v>Non-Household Travel</v>
          </cell>
          <cell r="J1070" t="str">
            <v>2032/33</v>
          </cell>
        </row>
        <row r="1071">
          <cell r="A1071" t="str">
            <v>15 SOUTHLAND</v>
          </cell>
          <cell r="B1071">
            <v>11</v>
          </cell>
          <cell r="C1071">
            <v>2038</v>
          </cell>
          <cell r="D1071">
            <v>3</v>
          </cell>
          <cell r="E1071">
            <v>9</v>
          </cell>
          <cell r="F1071">
            <v>0.27613086669999998</v>
          </cell>
          <cell r="G1071">
            <v>12.463551236000001</v>
          </cell>
          <cell r="H1071">
            <v>0.52447497929999998</v>
          </cell>
          <cell r="I1071" t="str">
            <v>Non-Household Travel</v>
          </cell>
          <cell r="J1071" t="str">
            <v>2037/38</v>
          </cell>
        </row>
        <row r="1072">
          <cell r="A1072" t="str">
            <v>15 SOUTHLAND</v>
          </cell>
          <cell r="B1072">
            <v>11</v>
          </cell>
          <cell r="C1072">
            <v>2043</v>
          </cell>
          <cell r="D1072">
            <v>3</v>
          </cell>
          <cell r="E1072">
            <v>9</v>
          </cell>
          <cell r="F1072">
            <v>0.27309210169999998</v>
          </cell>
          <cell r="G1072">
            <v>12.796586151</v>
          </cell>
          <cell r="H1072">
            <v>0.56415384420000003</v>
          </cell>
          <cell r="I1072" t="str">
            <v>Non-Household Travel</v>
          </cell>
          <cell r="J1072" t="str">
            <v>2042/43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5"/>
  <sheetViews>
    <sheetView workbookViewId="0">
      <selection activeCell="A6" sqref="A6"/>
    </sheetView>
  </sheetViews>
  <sheetFormatPr defaultRowHeight="12.75" x14ac:dyDescent="0.2"/>
  <sheetData>
    <row r="3" spans="1:1" x14ac:dyDescent="0.2">
      <c r="A3" t="s">
        <v>117</v>
      </c>
    </row>
    <row r="5" spans="1:1" x14ac:dyDescent="0.2">
      <c r="A5" t="s">
        <v>125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K190"/>
  <sheetViews>
    <sheetView topLeftCell="A92" workbookViewId="0">
      <selection activeCell="K7" sqref="K7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13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OFFSET(Northland_Reference,0,6)</f>
        <v>17.849116999</v>
      </c>
      <c r="C5" s="4">
        <f ca="1">OFFSET(Northland_Reference,1,6)</f>
        <v>18.032544703999999</v>
      </c>
      <c r="D5" s="4">
        <f ca="1">OFFSET(Northland_Reference,2,6)</f>
        <v>17.969776123999999</v>
      </c>
      <c r="E5" s="4">
        <f ca="1">OFFSET(Northland_Reference,3,6)</f>
        <v>17.847356708</v>
      </c>
      <c r="F5" s="4">
        <f ca="1">OFFSET(Northland_Reference,4,6)</f>
        <v>17.407911568999999</v>
      </c>
      <c r="G5" s="4">
        <f ca="1">OFFSET(Northland_Reference,5,6)</f>
        <v>16.757316444000001</v>
      </c>
      <c r="H5" s="4">
        <f ca="1">OFFSET(Northland_Reference,6,6)</f>
        <v>16.057189291</v>
      </c>
      <c r="I5" s="1">
        <f ca="1">H5*('Updated Population'!I$4/'Updated Population'!H$4)</f>
        <v>16.279570115834577</v>
      </c>
      <c r="J5" s="1">
        <f ca="1">I5*('Updated Population'!J$4/'Updated Population'!I$4)</f>
        <v>16.459091481561618</v>
      </c>
      <c r="K5" s="1">
        <f ca="1">J5*('Updated Population'!K$4/'Updated Population'!J$4)</f>
        <v>16.611615295474355</v>
      </c>
    </row>
    <row r="6" spans="1:11" x14ac:dyDescent="0.2">
      <c r="A6" t="str">
        <f ca="1">OFFSET(Northland_Reference,7,2)</f>
        <v>Cyclist</v>
      </c>
      <c r="B6" s="4">
        <f ca="1">OFFSET(Northland_Reference,7,6)</f>
        <v>1.0072239942000001</v>
      </c>
      <c r="C6" s="4">
        <f ca="1">OFFSET(Northland_Reference,8,6)</f>
        <v>0.95920884959999997</v>
      </c>
      <c r="D6" s="4">
        <f ca="1">OFFSET(Northland_Reference,9,6)</f>
        <v>0.98617074579999997</v>
      </c>
      <c r="E6" s="4">
        <f ca="1">OFFSET(Northland_Reference,10,6)</f>
        <v>0.97209749619999997</v>
      </c>
      <c r="F6" s="4">
        <f ca="1">OFFSET(Northland_Reference,11,6)</f>
        <v>0.91888916399999998</v>
      </c>
      <c r="G6" s="4">
        <f ca="1">OFFSET(Northland_Reference,12,6)</f>
        <v>0.77524979869999999</v>
      </c>
      <c r="H6" s="4">
        <f ca="1">OFFSET(Northland_Reference,13,6)</f>
        <v>0.64077790940000001</v>
      </c>
      <c r="I6" s="1">
        <f ca="1">H6*('Updated Population'!I$4/'Updated Population'!H$4)</f>
        <v>0.64965223462876331</v>
      </c>
      <c r="J6" s="1">
        <f ca="1">I6*('Updated Population'!J$4/'Updated Population'!I$4)</f>
        <v>0.65681621104695764</v>
      </c>
      <c r="K6" s="1">
        <f ca="1">J6*('Updated Population'!K$4/'Updated Population'!J$4)</f>
        <v>0.66290282364406383</v>
      </c>
    </row>
    <row r="7" spans="1:11" x14ac:dyDescent="0.2">
      <c r="A7" t="str">
        <f ca="1">OFFSET(Northland_Reference,14,2)</f>
        <v>Light Vehicle Driver</v>
      </c>
      <c r="B7" s="4">
        <f ca="1">OFFSET(Northland_Reference,14,6)</f>
        <v>1011.4273062</v>
      </c>
      <c r="C7" s="4">
        <f ca="1">OFFSET(Northland_Reference,15,6)</f>
        <v>1072.2253321999999</v>
      </c>
      <c r="D7" s="4">
        <f ca="1">OFFSET(Northland_Reference,16,6)</f>
        <v>1105.3844257999999</v>
      </c>
      <c r="E7" s="4">
        <f ca="1">OFFSET(Northland_Reference,17,6)</f>
        <v>1146.9551033</v>
      </c>
      <c r="F7" s="4">
        <f ca="1">OFFSET(Northland_Reference,18,6)</f>
        <v>1185.7144410999999</v>
      </c>
      <c r="G7" s="4">
        <f ca="1">OFFSET(Northland_Reference,19,6)</f>
        <v>1208.7882614</v>
      </c>
      <c r="H7" s="4">
        <f ca="1">OFFSET(Northland_Reference,20,6)</f>
        <v>1226.7759963999999</v>
      </c>
      <c r="I7" s="1">
        <f ca="1">H7*('Updated Population'!I$4/'Updated Population'!H$4)</f>
        <v>1243.765984686406</v>
      </c>
      <c r="J7" s="1">
        <f ca="1">I7*('Updated Population'!J$4/'Updated Population'!I$4)</f>
        <v>1257.4814923212521</v>
      </c>
      <c r="K7" s="1">
        <f ca="1">J7*('Updated Population'!K$4/'Updated Population'!J$4)</f>
        <v>1269.1343756744054</v>
      </c>
    </row>
    <row r="8" spans="1:11" x14ac:dyDescent="0.2">
      <c r="A8" t="str">
        <f ca="1">OFFSET(Northland_Reference,21,2)</f>
        <v>Light Vehicle Passenger</v>
      </c>
      <c r="B8" s="4">
        <f ca="1">OFFSET(Northland_Reference,21,6)</f>
        <v>666.23785996000004</v>
      </c>
      <c r="C8" s="4">
        <f ca="1">OFFSET(Northland_Reference,22,6)</f>
        <v>679.52550068999994</v>
      </c>
      <c r="D8" s="4">
        <f ca="1">OFFSET(Northland_Reference,23,6)</f>
        <v>685.33432728000002</v>
      </c>
      <c r="E8" s="4">
        <f ca="1">OFFSET(Northland_Reference,24,6)</f>
        <v>699.07251783000004</v>
      </c>
      <c r="F8" s="4">
        <f ca="1">OFFSET(Northland_Reference,25,6)</f>
        <v>708.60279621999996</v>
      </c>
      <c r="G8" s="4">
        <f ca="1">OFFSET(Northland_Reference,26,6)</f>
        <v>714.65398909999999</v>
      </c>
      <c r="H8" s="4">
        <f ca="1">OFFSET(Northland_Reference,27,6)</f>
        <v>718.34429895999995</v>
      </c>
      <c r="I8" s="1">
        <f ca="1">H8*('Updated Population'!I$4/'Updated Population'!H$4)</f>
        <v>728.29286435478411</v>
      </c>
      <c r="J8" s="1">
        <f ca="1">I8*('Updated Population'!J$4/'Updated Population'!I$4)</f>
        <v>736.32404261857982</v>
      </c>
      <c r="K8" s="1">
        <f ca="1">J8*('Updated Population'!K$4/'Updated Population'!J$4)</f>
        <v>743.14744179475201</v>
      </c>
    </row>
    <row r="9" spans="1:11" x14ac:dyDescent="0.2">
      <c r="A9" t="str">
        <f ca="1">OFFSET(Northland_Reference,28,2)</f>
        <v>Taxi/Vehicle Share</v>
      </c>
      <c r="B9" s="4">
        <f ca="1">OFFSET(Northland_Reference,28,6)</f>
        <v>0.75976041549999995</v>
      </c>
      <c r="C9" s="4">
        <f ca="1">OFFSET(Northland_Reference,29,6)</f>
        <v>0.78198399110000005</v>
      </c>
      <c r="D9" s="4">
        <f ca="1">OFFSET(Northland_Reference,30,6)</f>
        <v>0.86476589940000004</v>
      </c>
      <c r="E9" s="4">
        <f ca="1">OFFSET(Northland_Reference,31,6)</f>
        <v>1.0293937885</v>
      </c>
      <c r="F9" s="4">
        <f ca="1">OFFSET(Northland_Reference,32,6)</f>
        <v>1.1494157753000001</v>
      </c>
      <c r="G9" s="4">
        <f ca="1">OFFSET(Northland_Reference,33,6)</f>
        <v>1.1589046382999999</v>
      </c>
      <c r="H9" s="4">
        <f ca="1">OFFSET(Northland_Reference,34,6)</f>
        <v>1.1584447639</v>
      </c>
      <c r="I9" s="1">
        <f ca="1">H9*('Updated Population'!I$4/'Updated Population'!H$4)</f>
        <v>1.1744884124771375</v>
      </c>
      <c r="J9" s="1">
        <f ca="1">I9*('Updated Population'!J$4/'Updated Population'!I$4)</f>
        <v>1.1874399684665304</v>
      </c>
      <c r="K9" s="1">
        <f ca="1">J9*('Updated Population'!K$4/'Updated Population'!J$4)</f>
        <v>1.1984437880264271</v>
      </c>
    </row>
    <row r="10" spans="1:11" x14ac:dyDescent="0.2">
      <c r="A10" t="str">
        <f ca="1">OFFSET(Northland_Reference,35,2)</f>
        <v>Motorcyclist</v>
      </c>
      <c r="B10" s="4">
        <f ca="1">OFFSET(Northland_Reference,35,6)</f>
        <v>9.2423909657000003</v>
      </c>
      <c r="C10" s="4">
        <f ca="1">OFFSET(Northland_Reference,36,6)</f>
        <v>9.7002967839000007</v>
      </c>
      <c r="D10" s="4">
        <f ca="1">OFFSET(Northland_Reference,37,6)</f>
        <v>9.5856546256000001</v>
      </c>
      <c r="E10" s="4">
        <f ca="1">OFFSET(Northland_Reference,38,6)</f>
        <v>9.4499772945</v>
      </c>
      <c r="F10" s="4">
        <f ca="1">OFFSET(Northland_Reference,39,6)</f>
        <v>9.4937218836999993</v>
      </c>
      <c r="G10" s="4">
        <f ca="1">OFFSET(Northland_Reference,40,6)</f>
        <v>9.7473099071</v>
      </c>
      <c r="H10" s="4">
        <f ca="1">OFFSET(Northland_Reference,41,6)</f>
        <v>9.8358111036999993</v>
      </c>
      <c r="I10" s="1">
        <f ca="1">H10*('Updated Population'!I$4/'Updated Population'!H$4)</f>
        <v>9.9720301982450135</v>
      </c>
      <c r="J10" s="1">
        <f ca="1">I10*('Updated Population'!J$4/'Updated Population'!I$4)</f>
        <v>10.081995785021718</v>
      </c>
      <c r="K10" s="1">
        <f ca="1">J10*('Updated Population'!K$4/'Updated Population'!J$4)</f>
        <v>10.175424055391703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OFFSET(Northland_Reference,42,6)</f>
        <v>44.734594063999999</v>
      </c>
      <c r="C12" s="4">
        <f ca="1">OFFSET(Northland_Reference,43,6)</f>
        <v>39.941067166000003</v>
      </c>
      <c r="D12" s="4">
        <f ca="1">OFFSET(Northland_Reference,44,6)</f>
        <v>37.020023074000001</v>
      </c>
      <c r="E12" s="4">
        <f ca="1">OFFSET(Northland_Reference,45,6)</f>
        <v>35.153467608</v>
      </c>
      <c r="F12" s="4">
        <f ca="1">OFFSET(Northland_Reference,46,6)</f>
        <v>33.119119822000002</v>
      </c>
      <c r="G12" s="4">
        <f ca="1">OFFSET(Northland_Reference,47,6)</f>
        <v>31.470100347999999</v>
      </c>
      <c r="H12" s="4">
        <f ca="1">OFFSET(Northland_Reference,48,6)</f>
        <v>29.699513847999999</v>
      </c>
      <c r="I12" s="1">
        <f ca="1">H12*('Updated Population'!I$4/'Updated Population'!H$4)</f>
        <v>30.110831312533225</v>
      </c>
      <c r="J12" s="1">
        <f ca="1">I12*('Updated Population'!J$4/'Updated Population'!I$4)</f>
        <v>30.442875557064273</v>
      </c>
      <c r="K12" s="1">
        <f ca="1">J12*('Updated Population'!K$4/'Updated Population'!J$4)</f>
        <v>30.724984900197576</v>
      </c>
    </row>
    <row r="13" spans="1:11" x14ac:dyDescent="0.2">
      <c r="A13" t="str">
        <f ca="1">OFFSET(Northland_Reference,49,2)</f>
        <v>Local Ferry</v>
      </c>
      <c r="B13" s="4">
        <f ca="1">OFFSET(Northland_Reference,49,6)</f>
        <v>0</v>
      </c>
      <c r="C13" s="4">
        <f ca="1">OFFSET(Northland_Reference,50,6)</f>
        <v>0</v>
      </c>
      <c r="D13" s="4">
        <f ca="1">OFFSET(Northland_Reference,51,6)</f>
        <v>0</v>
      </c>
      <c r="E13" s="4">
        <f ca="1">OFFSET(Northland_Reference,52,6)</f>
        <v>0</v>
      </c>
      <c r="F13" s="4">
        <f ca="1">OFFSET(Northland_Reference,53,6)</f>
        <v>0</v>
      </c>
      <c r="G13" s="4">
        <f ca="1">OFFSET(Northland_Reference,54,6)</f>
        <v>0</v>
      </c>
      <c r="H13" s="4">
        <f ca="1">OFFSET(Northland_Reference,55,6)</f>
        <v>0</v>
      </c>
      <c r="I13" s="1">
        <f ca="1">H13*('Updated Population'!I$4/'Updated Population'!H$4)</f>
        <v>0</v>
      </c>
      <c r="J13" s="1">
        <f ca="1">I13*('Updated Population'!J$4/'Updated Population'!I$4)</f>
        <v>0</v>
      </c>
      <c r="K13" s="1">
        <f ca="1">J13*('Updated Population'!K$4/'Updated Population'!J$4)</f>
        <v>0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OFFSET(Northland_Reference,56,6)</f>
        <v>0</v>
      </c>
      <c r="C14" s="4">
        <f ca="1">OFFSET(Northland_Reference,57,6)</f>
        <v>0</v>
      </c>
      <c r="D14" s="4">
        <f ca="1">OFFSET(Northland_Reference,58,6)</f>
        <v>0</v>
      </c>
      <c r="E14" s="4">
        <f ca="1">OFFSET(Northland_Reference,59,6)</f>
        <v>0</v>
      </c>
      <c r="F14" s="4">
        <f ca="1">OFFSET(Northland_Reference,60,6)</f>
        <v>0</v>
      </c>
      <c r="G14" s="4">
        <f ca="1">OFFSET(Northland_Reference,61,6)</f>
        <v>0</v>
      </c>
      <c r="H14" s="4">
        <f ca="1">OFFSET(Northland_Reference,62,6)</f>
        <v>0</v>
      </c>
      <c r="I14" s="1">
        <f ca="1">H14*('Updated Population'!I$4/'Updated Population'!H$4)</f>
        <v>0</v>
      </c>
      <c r="J14" s="1">
        <f ca="1">I14*('Updated Population'!J$4/'Updated Population'!I$4)</f>
        <v>0</v>
      </c>
      <c r="K14" s="1">
        <f ca="1">J14*('Updated Population'!K$4/'Updated Population'!J$4)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OFFSET(Auckland_Reference,0,6)</f>
        <v>294.55939388000002</v>
      </c>
      <c r="C16" s="4">
        <f ca="1">OFFSET(Auckland_Reference,1,6)</f>
        <v>311.51424893000001</v>
      </c>
      <c r="D16" s="4">
        <f ca="1">OFFSET(Auckland_Reference,2,6)</f>
        <v>321.19773973000002</v>
      </c>
      <c r="E16" s="4">
        <f ca="1">OFFSET(Auckland_Reference,3,6)</f>
        <v>326.32615634000001</v>
      </c>
      <c r="F16" s="4">
        <f ca="1">OFFSET(Auckland_Reference,4,6)</f>
        <v>328.97262988</v>
      </c>
      <c r="G16" s="4">
        <f ca="1">OFFSET(Auckland_Reference,5,6)</f>
        <v>331.35353219000001</v>
      </c>
      <c r="H16" s="4">
        <f ca="1">OFFSET(Auckland_Reference,6,6)</f>
        <v>331.73674390999997</v>
      </c>
      <c r="I16" s="1">
        <f ca="1">H16*('Updated Population'!I$15/'Updated Population'!H$15)</f>
        <v>342.68404458185921</v>
      </c>
      <c r="J16" s="1">
        <f ca="1">I16*('Updated Population'!J$15/'Updated Population'!I$15)</f>
        <v>352.94409901359126</v>
      </c>
      <c r="K16" s="1">
        <f ca="1">J16*('Updated Population'!K$15/'Updated Population'!J$15)</f>
        <v>362.8090214924265</v>
      </c>
    </row>
    <row r="17" spans="1:11" x14ac:dyDescent="0.2">
      <c r="A17" t="str">
        <f ca="1">OFFSET(Auckland_Reference,7,2)</f>
        <v>Cyclist</v>
      </c>
      <c r="B17" s="4">
        <f ca="1">OFFSET(Auckland_Reference,7,6)</f>
        <v>55.843008154000003</v>
      </c>
      <c r="C17" s="4">
        <f ca="1">OFFSET(Auckland_Reference,8,6)</f>
        <v>61.870468318</v>
      </c>
      <c r="D17" s="4">
        <f ca="1">OFFSET(Auckland_Reference,9,6)</f>
        <v>65.724543562999997</v>
      </c>
      <c r="E17" s="4">
        <f ca="1">OFFSET(Auckland_Reference,10,6)</f>
        <v>68.830142468000005</v>
      </c>
      <c r="F17" s="4">
        <f ca="1">OFFSET(Auckland_Reference,11,6)</f>
        <v>72.882048549000004</v>
      </c>
      <c r="G17" s="4">
        <f ca="1">OFFSET(Auckland_Reference,12,6)</f>
        <v>79.116988981000006</v>
      </c>
      <c r="H17" s="4">
        <f ca="1">OFFSET(Auckland_Reference,13,6)</f>
        <v>85.378907386999998</v>
      </c>
      <c r="I17" s="1">
        <f ca="1">H17*('Updated Population'!I$15/'Updated Population'!H$15)</f>
        <v>88.196408273949942</v>
      </c>
      <c r="J17" s="1">
        <f ca="1">I17*('Updated Population'!J$15/'Updated Population'!I$15)</f>
        <v>90.837032965648518</v>
      </c>
      <c r="K17" s="1">
        <f ca="1">J17*('Updated Population'!K$15/'Updated Population'!J$15)</f>
        <v>93.375962759114245</v>
      </c>
    </row>
    <row r="18" spans="1:11" x14ac:dyDescent="0.2">
      <c r="A18" t="str">
        <f ca="1">OFFSET(Auckland_Reference,14,2)</f>
        <v>Light Vehicle Driver</v>
      </c>
      <c r="B18" s="4">
        <f ca="1">OFFSET(Auckland_Reference,14,6)</f>
        <v>9374.4733825999992</v>
      </c>
      <c r="C18" s="4">
        <f ca="1">OFFSET(Auckland_Reference,15,6)</f>
        <v>10264.424131</v>
      </c>
      <c r="D18" s="4">
        <f ca="1">OFFSET(Auckland_Reference,16,6)</f>
        <v>10744.648424999999</v>
      </c>
      <c r="E18" s="4">
        <f ca="1">OFFSET(Auckland_Reference,17,6)</f>
        <v>11246.466146999999</v>
      </c>
      <c r="F18" s="4">
        <f ca="1">OFFSET(Auckland_Reference,18,6)</f>
        <v>11759.957747</v>
      </c>
      <c r="G18" s="4">
        <f ca="1">OFFSET(Auckland_Reference,19,6)</f>
        <v>12190.171695999999</v>
      </c>
      <c r="H18" s="4">
        <f ca="1">OFFSET(Auckland_Reference,20,6)</f>
        <v>12560.076225000001</v>
      </c>
      <c r="I18" s="1">
        <f ca="1">H18*('Updated Population'!I$15/'Updated Population'!H$15)</f>
        <v>12974.558290736586</v>
      </c>
      <c r="J18" s="1">
        <f ca="1">I18*('Updated Population'!J$15/'Updated Population'!I$15)</f>
        <v>13363.020130134651</v>
      </c>
      <c r="K18" s="1">
        <f ca="1">J18*('Updated Population'!K$15/'Updated Population'!J$15)</f>
        <v>13736.521650730458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OFFSET(Auckland_Reference,21,6)</f>
        <v>4814.6436660999998</v>
      </c>
      <c r="C19" s="4">
        <f ca="1">OFFSET(Auckland_Reference,22,6)</f>
        <v>5097.2481027000003</v>
      </c>
      <c r="D19" s="4">
        <f ca="1">OFFSET(Auckland_Reference,23,6)</f>
        <v>5280.8785778000001</v>
      </c>
      <c r="E19" s="4">
        <f ca="1">OFFSET(Auckland_Reference,24,6)</f>
        <v>5468.7506031000003</v>
      </c>
      <c r="F19" s="4">
        <f ca="1">OFFSET(Auckland_Reference,25,6)</f>
        <v>5619.1195944999999</v>
      </c>
      <c r="G19" s="4">
        <f ca="1">OFFSET(Auckland_Reference,26,6)</f>
        <v>5750.5572048000004</v>
      </c>
      <c r="H19" s="4">
        <f ca="1">OFFSET(Auckland_Reference,27,6)</f>
        <v>5848.2069058999996</v>
      </c>
      <c r="I19" s="1">
        <f ca="1">H19*('Updated Population'!I$15/'Updated Population'!H$15)</f>
        <v>6041.1975244113455</v>
      </c>
      <c r="J19" s="1">
        <f ca="1">I19*('Updated Population'!J$15/'Updated Population'!I$15)</f>
        <v>6222.072637838166</v>
      </c>
      <c r="K19" s="1">
        <f ca="1">J19*('Updated Population'!K$15/'Updated Population'!J$15)</f>
        <v>6395.9819464269794</v>
      </c>
    </row>
    <row r="20" spans="1:11" x14ac:dyDescent="0.2">
      <c r="A20" t="str">
        <f ca="1">OFFSET(Auckland_Reference,28,2)</f>
        <v>Taxi/Vehicle Share</v>
      </c>
      <c r="B20" s="4">
        <f ca="1">OFFSET(Auckland_Reference,28,6)</f>
        <v>41.157157814999998</v>
      </c>
      <c r="C20" s="4">
        <f ca="1">OFFSET(Auckland_Reference,29,6)</f>
        <v>48.017781049</v>
      </c>
      <c r="D20" s="4">
        <f ca="1">OFFSET(Auckland_Reference,30,6)</f>
        <v>55.039313737999997</v>
      </c>
      <c r="E20" s="4">
        <f ca="1">OFFSET(Auckland_Reference,31,6)</f>
        <v>62.235598541999998</v>
      </c>
      <c r="F20" s="4">
        <f ca="1">OFFSET(Auckland_Reference,32,6)</f>
        <v>68.66387039</v>
      </c>
      <c r="G20" s="4">
        <f ca="1">OFFSET(Auckland_Reference,33,6)</f>
        <v>73.887661131000002</v>
      </c>
      <c r="H20" s="4">
        <f ca="1">OFFSET(Auckland_Reference,34,6)</f>
        <v>79.037543726999999</v>
      </c>
      <c r="I20" s="1">
        <f ca="1">H20*('Updated Population'!I$15/'Updated Population'!H$15)</f>
        <v>81.645779840209784</v>
      </c>
      <c r="J20" s="1">
        <f ca="1">I20*('Updated Population'!J$15/'Updated Population'!I$15)</f>
        <v>84.090276917113115</v>
      </c>
      <c r="K20" s="1">
        <f ca="1">J20*('Updated Population'!K$15/'Updated Population'!J$15)</f>
        <v>86.440632300103005</v>
      </c>
    </row>
    <row r="21" spans="1:11" x14ac:dyDescent="0.2">
      <c r="A21" t="str">
        <f ca="1">OFFSET(Auckland_Reference,35,2)</f>
        <v>Motorcyclist</v>
      </c>
      <c r="B21" s="4">
        <f ca="1">OFFSET(Auckland_Reference,35,6)</f>
        <v>43.570185572</v>
      </c>
      <c r="C21" s="4">
        <f ca="1">OFFSET(Auckland_Reference,36,6)</f>
        <v>47.902958554000001</v>
      </c>
      <c r="D21" s="4">
        <f ca="1">OFFSET(Auckland_Reference,37,6)</f>
        <v>50.326634493999997</v>
      </c>
      <c r="E21" s="4">
        <f ca="1">OFFSET(Auckland_Reference,38,6)</f>
        <v>53.134763675000002</v>
      </c>
      <c r="F21" s="4">
        <f ca="1">OFFSET(Auckland_Reference,39,6)</f>
        <v>55.966714375000002</v>
      </c>
      <c r="G21" s="4">
        <f ca="1">OFFSET(Auckland_Reference,40,6)</f>
        <v>57.226880764999997</v>
      </c>
      <c r="H21" s="4">
        <f ca="1">OFFSET(Auckland_Reference,41,6)</f>
        <v>58.313721774999998</v>
      </c>
      <c r="I21" s="1">
        <f ca="1">H21*('Updated Population'!I$15/'Updated Population'!H$15)</f>
        <v>60.238072505768791</v>
      </c>
      <c r="J21" s="1">
        <f ca="1">I21*('Updated Population'!J$15/'Updated Population'!I$15)</f>
        <v>62.041616944279042</v>
      </c>
      <c r="K21" s="1">
        <f ca="1">J21*('Updated Population'!K$15/'Updated Population'!J$15)</f>
        <v>63.775703853020183</v>
      </c>
    </row>
    <row r="22" spans="1:11" x14ac:dyDescent="0.2">
      <c r="A22" t="str">
        <f ca="1">OFFSET(Auckland_Reference,42,2)</f>
        <v>Local Train</v>
      </c>
      <c r="B22" s="4">
        <f ca="1">OFFSET(Auckland_Reference,42,6)</f>
        <v>126.27968744</v>
      </c>
      <c r="C22" s="4">
        <f ca="1">OFFSET(Auckland_Reference,43,6)</f>
        <v>138.03400911</v>
      </c>
      <c r="D22" s="4">
        <f ca="1">OFFSET(Auckland_Reference,44,6)</f>
        <v>144.14984676</v>
      </c>
      <c r="E22" s="4">
        <f ca="1">OFFSET(Auckland_Reference,45,6)</f>
        <v>148.45929380999999</v>
      </c>
      <c r="F22" s="4">
        <f ca="1">OFFSET(Auckland_Reference,46,6)</f>
        <v>151.83225386999999</v>
      </c>
      <c r="G22" s="4">
        <f ca="1">OFFSET(Auckland_Reference,47,6)</f>
        <v>152.95424098999999</v>
      </c>
      <c r="H22" s="4">
        <f ca="1">OFFSET(Auckland_Reference,48,6)</f>
        <v>152.99772264000001</v>
      </c>
      <c r="I22" s="1">
        <f ca="1">H22*('Updated Population'!I$15/'Updated Population'!H$15)</f>
        <v>158.04664200934249</v>
      </c>
      <c r="J22" s="1">
        <f ca="1">I22*('Updated Population'!J$15/'Updated Population'!I$15)</f>
        <v>162.77860188727306</v>
      </c>
      <c r="K22" s="1">
        <f ca="1">J22*('Updated Population'!K$15/'Updated Population'!J$15)</f>
        <v>167.32832603146196</v>
      </c>
    </row>
    <row r="23" spans="1:11" x14ac:dyDescent="0.2">
      <c r="A23" t="str">
        <f ca="1">OFFSET(Auckland_Reference,49,2)</f>
        <v>Local Bus</v>
      </c>
      <c r="B23" s="4">
        <f ca="1">OFFSET(Auckland_Reference,49,6)</f>
        <v>439.27566032999999</v>
      </c>
      <c r="C23" s="4">
        <f ca="1">OFFSET(Auckland_Reference,50,6)</f>
        <v>464.53696092000001</v>
      </c>
      <c r="D23" s="4">
        <f ca="1">OFFSET(Auckland_Reference,51,6)</f>
        <v>474.39419737999998</v>
      </c>
      <c r="E23" s="4">
        <f ca="1">OFFSET(Auckland_Reference,52,6)</f>
        <v>476.37799767000001</v>
      </c>
      <c r="F23" s="4">
        <f ca="1">OFFSET(Auckland_Reference,53,6)</f>
        <v>468.51053669999999</v>
      </c>
      <c r="G23" s="4">
        <f ca="1">OFFSET(Auckland_Reference,54,6)</f>
        <v>459.35218421000002</v>
      </c>
      <c r="H23" s="4">
        <f ca="1">OFFSET(Auckland_Reference,55,6)</f>
        <v>447.02881789999998</v>
      </c>
      <c r="I23" s="1">
        <f ca="1">H23*('Updated Population'!I$15/'Updated Population'!H$15)</f>
        <v>461.780752885727</v>
      </c>
      <c r="J23" s="1">
        <f ca="1">I23*('Updated Population'!J$15/'Updated Population'!I$15)</f>
        <v>475.60659548051404</v>
      </c>
      <c r="K23" s="1">
        <f ca="1">J23*('Updated Population'!K$15/'Updated Population'!J$15)</f>
        <v>488.89998162282592</v>
      </c>
    </row>
    <row r="24" spans="1:11" x14ac:dyDescent="0.2">
      <c r="A24" t="str">
        <f ca="1">OFFSET(Auckland_Reference,56,2)</f>
        <v>Local Ferry</v>
      </c>
      <c r="B24" s="4">
        <f ca="1">OFFSET(Auckland_Reference,56,6)</f>
        <v>0</v>
      </c>
      <c r="C24" s="4">
        <f ca="1">OFFSET(Auckland_Reference,57,6)</f>
        <v>0</v>
      </c>
      <c r="D24" s="4">
        <f ca="1">OFFSET(Auckland_Reference,58,6)</f>
        <v>0</v>
      </c>
      <c r="E24" s="4">
        <f ca="1">OFFSET(Auckland_Reference,59,6)</f>
        <v>0</v>
      </c>
      <c r="F24" s="4">
        <f ca="1">OFFSET(Auckland_Reference,60,6)</f>
        <v>0</v>
      </c>
      <c r="G24" s="4">
        <f ca="1">OFFSET(Auckland_Reference,61,6)</f>
        <v>0</v>
      </c>
      <c r="H24" s="4">
        <f ca="1">OFFSET(Auckland_Reference,62,6)</f>
        <v>0</v>
      </c>
      <c r="I24" s="1">
        <f ca="1">H24*('Updated Population'!I$15/'Updated Population'!H$15)</f>
        <v>0</v>
      </c>
      <c r="J24" s="1">
        <f ca="1">I24*('Updated Population'!J$15/'Updated Population'!I$15)</f>
        <v>0</v>
      </c>
      <c r="K24" s="1">
        <f ca="1">J24*('Updated Population'!K$15/'Updated Population'!J$15)</f>
        <v>0</v>
      </c>
    </row>
    <row r="25" spans="1:11" x14ac:dyDescent="0.2">
      <c r="A25" t="str">
        <f ca="1">OFFSET(Auckland_Reference,63,2)</f>
        <v>Other Household Travel</v>
      </c>
      <c r="B25" s="4">
        <f ca="1">OFFSET(Auckland_Reference,63,6)</f>
        <v>1.8241938706</v>
      </c>
      <c r="C25" s="4">
        <f ca="1">OFFSET(Auckland_Reference,64,6)</f>
        <v>1.7774694251000001</v>
      </c>
      <c r="D25" s="4">
        <f ca="1">OFFSET(Auckland_Reference,65,6)</f>
        <v>1.6812944196999999</v>
      </c>
      <c r="E25" s="4">
        <f ca="1">OFFSET(Auckland_Reference,66,6)</f>
        <v>1.9308307612</v>
      </c>
      <c r="F25" s="4">
        <f ca="1">OFFSET(Auckland_Reference,67,6)</f>
        <v>2.0597820572000001</v>
      </c>
      <c r="G25" s="4">
        <f ca="1">OFFSET(Auckland_Reference,68,6)</f>
        <v>2.0472325805999998</v>
      </c>
      <c r="H25" s="4">
        <f ca="1">OFFSET(Auckland_Reference,69,6)</f>
        <v>1.9888879017000001</v>
      </c>
      <c r="I25" s="1">
        <f ca="1">H25*('Updated Population'!I$15/'Updated Population'!H$15)</f>
        <v>2.0545211312479457</v>
      </c>
      <c r="J25" s="1">
        <f ca="1">I25*('Updated Population'!J$15/'Updated Population'!I$15)</f>
        <v>2.1160340583043213</v>
      </c>
      <c r="K25" s="1">
        <f ca="1">J25*('Updated Population'!K$15/'Updated Population'!J$15)</f>
        <v>2.1751780190790937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OFFSET(Waikato_Reference,0,6)</f>
        <v>52.675735545000002</v>
      </c>
      <c r="C27" s="4">
        <f ca="1">OFFSET(Waikato_Reference,1,6)</f>
        <v>55.208684005000002</v>
      </c>
      <c r="D27" s="4">
        <f ca="1">OFFSET(Waikato_Reference,2,6)</f>
        <v>56.795656989999998</v>
      </c>
      <c r="E27" s="4">
        <f ca="1">OFFSET(Waikato_Reference,3,6)</f>
        <v>57.514702135</v>
      </c>
      <c r="F27" s="4">
        <f ca="1">OFFSET(Waikato_Reference,4,6)</f>
        <v>57.542433349</v>
      </c>
      <c r="G27" s="4">
        <f ca="1">OFFSET(Waikato_Reference,5,6)</f>
        <v>57.249177396</v>
      </c>
      <c r="H27" s="4">
        <f ca="1">OFFSET(Waikato_Reference,6,6)</f>
        <v>56.789133544999999</v>
      </c>
      <c r="I27" s="1">
        <f ca="1">H27*('Updated Population'!I$26/'Updated Population'!H$26)</f>
        <v>57.741881470667252</v>
      </c>
      <c r="J27" s="1">
        <f ca="1">I27*('Updated Population'!J$26/'Updated Population'!I$26)</f>
        <v>58.519437615317209</v>
      </c>
      <c r="K27" s="1">
        <f ca="1">J27*('Updated Population'!K$26/'Updated Population'!J$26)</f>
        <v>59.175480262561614</v>
      </c>
    </row>
    <row r="28" spans="1:11" x14ac:dyDescent="0.2">
      <c r="A28" t="str">
        <f ca="1">OFFSET(Waikato_Reference,7,2)</f>
        <v>Cyclist</v>
      </c>
      <c r="B28" s="4">
        <f ca="1">OFFSET(Waikato_Reference,7,6)</f>
        <v>21.829422874999999</v>
      </c>
      <c r="C28" s="4">
        <f ca="1">OFFSET(Waikato_Reference,8,6)</f>
        <v>22.632745491000001</v>
      </c>
      <c r="D28" s="4">
        <f ca="1">OFFSET(Waikato_Reference,9,6)</f>
        <v>23.324990079999999</v>
      </c>
      <c r="E28" s="4">
        <f ca="1">OFFSET(Waikato_Reference,10,6)</f>
        <v>23.438016534999999</v>
      </c>
      <c r="F28" s="4">
        <f ca="1">OFFSET(Waikato_Reference,11,6)</f>
        <v>23.609239747</v>
      </c>
      <c r="G28" s="4">
        <f ca="1">OFFSET(Waikato_Reference,12,6)</f>
        <v>23.773394965000001</v>
      </c>
      <c r="H28" s="4">
        <f ca="1">OFFSET(Waikato_Reference,13,6)</f>
        <v>23.845457355000001</v>
      </c>
      <c r="I28" s="1">
        <f ca="1">H28*('Updated Population'!I$26/'Updated Population'!H$26)</f>
        <v>24.245511178916171</v>
      </c>
      <c r="J28" s="1">
        <f ca="1">I28*('Updated Population'!J$26/'Updated Population'!I$26)</f>
        <v>24.572002898915326</v>
      </c>
      <c r="K28" s="1">
        <f ca="1">J28*('Updated Population'!K$26/'Updated Population'!J$26)</f>
        <v>24.847471742889354</v>
      </c>
    </row>
    <row r="29" spans="1:11" x14ac:dyDescent="0.2">
      <c r="A29" t="str">
        <f ca="1">OFFSET(Waikato_Reference,14,2)</f>
        <v>Light Vehicle Driver</v>
      </c>
      <c r="B29" s="4">
        <f ca="1">OFFSET(Waikato_Reference,14,6)</f>
        <v>3709.9843593000001</v>
      </c>
      <c r="C29" s="4">
        <f ca="1">OFFSET(Waikato_Reference,15,6)</f>
        <v>4002.4446392</v>
      </c>
      <c r="D29" s="4">
        <f ca="1">OFFSET(Waikato_Reference,16,6)</f>
        <v>4182.2287169000001</v>
      </c>
      <c r="E29" s="4">
        <f ca="1">OFFSET(Waikato_Reference,17,6)</f>
        <v>4359.7222639000001</v>
      </c>
      <c r="F29" s="4">
        <f ca="1">OFFSET(Waikato_Reference,18,6)</f>
        <v>4510.7520056000003</v>
      </c>
      <c r="G29" s="4">
        <f ca="1">OFFSET(Waikato_Reference,19,6)</f>
        <v>4600.8706493999998</v>
      </c>
      <c r="H29" s="4">
        <f ca="1">OFFSET(Waikato_Reference,20,6)</f>
        <v>4670.4442607999999</v>
      </c>
      <c r="I29" s="1">
        <f ca="1">H29*('Updated Population'!I$26/'Updated Population'!H$26)</f>
        <v>4748.8000271878727</v>
      </c>
      <c r="J29" s="1">
        <f ca="1">I29*('Updated Population'!J$26/'Updated Population'!I$26)</f>
        <v>4812.7476947526984</v>
      </c>
      <c r="K29" s="1">
        <f ca="1">J29*('Updated Population'!K$26/'Updated Population'!J$26)</f>
        <v>4866.7018656546852</v>
      </c>
    </row>
    <row r="30" spans="1:11" x14ac:dyDescent="0.2">
      <c r="A30" t="str">
        <f ca="1">OFFSET(Waikato_Reference,21,2)</f>
        <v>Light Vehicle Passenger</v>
      </c>
      <c r="B30" s="4">
        <f ca="1">OFFSET(Waikato_Reference,21,6)</f>
        <v>1955.0668243</v>
      </c>
      <c r="C30" s="4">
        <f ca="1">OFFSET(Waikato_Reference,22,6)</f>
        <v>2033.7490640000001</v>
      </c>
      <c r="D30" s="4">
        <f ca="1">OFFSET(Waikato_Reference,23,6)</f>
        <v>2076.9316530999999</v>
      </c>
      <c r="E30" s="4">
        <f ca="1">OFFSET(Waikato_Reference,24,6)</f>
        <v>2108.1734858999998</v>
      </c>
      <c r="F30" s="4">
        <f ca="1">OFFSET(Waikato_Reference,25,6)</f>
        <v>2139.4295701999999</v>
      </c>
      <c r="G30" s="4">
        <f ca="1">OFFSET(Waikato_Reference,26,6)</f>
        <v>2144.2184969</v>
      </c>
      <c r="H30" s="4">
        <f ca="1">OFFSET(Waikato_Reference,27,6)</f>
        <v>2134.7262110000001</v>
      </c>
      <c r="I30" s="1">
        <f ca="1">H30*('Updated Population'!I$26/'Updated Population'!H$26)</f>
        <v>2170.540386044353</v>
      </c>
      <c r="J30" s="1">
        <f ca="1">I30*('Updated Population'!J$26/'Updated Population'!I$26)</f>
        <v>2199.7690320703236</v>
      </c>
      <c r="K30" s="1">
        <f ca="1">J30*('Updated Population'!K$26/'Updated Population'!J$26)</f>
        <v>2224.4299371974766</v>
      </c>
    </row>
    <row r="31" spans="1:11" x14ac:dyDescent="0.2">
      <c r="A31" t="str">
        <f ca="1">OFFSET(Waikato_Reference,28,2)</f>
        <v>Taxi/Vehicle Share</v>
      </c>
      <c r="B31" s="4">
        <f ca="1">OFFSET(Waikato_Reference,28,6)</f>
        <v>2.4426175743999998</v>
      </c>
      <c r="C31" s="4">
        <f ca="1">OFFSET(Waikato_Reference,29,6)</f>
        <v>2.9879469715</v>
      </c>
      <c r="D31" s="4">
        <f ca="1">OFFSET(Waikato_Reference,30,6)</f>
        <v>3.3605150725000001</v>
      </c>
      <c r="E31" s="4">
        <f ca="1">OFFSET(Waikato_Reference,31,6)</f>
        <v>3.6563511143</v>
      </c>
      <c r="F31" s="4">
        <f ca="1">OFFSET(Waikato_Reference,32,6)</f>
        <v>3.8724128494999999</v>
      </c>
      <c r="G31" s="4">
        <f ca="1">OFFSET(Waikato_Reference,33,6)</f>
        <v>3.9639561427999999</v>
      </c>
      <c r="H31" s="4">
        <f ca="1">OFFSET(Waikato_Reference,34,6)</f>
        <v>4.0583560696000003</v>
      </c>
      <c r="I31" s="1">
        <f ca="1">H31*('Updated Population'!I$26/'Updated Population'!H$26)</f>
        <v>4.1264428687033288</v>
      </c>
      <c r="J31" s="1">
        <f ca="1">I31*('Updated Population'!J$26/'Updated Population'!I$26)</f>
        <v>4.1820098319956003</v>
      </c>
      <c r="K31" s="1">
        <f ca="1">J31*('Updated Population'!K$26/'Updated Population'!J$26)</f>
        <v>4.22889300300315</v>
      </c>
    </row>
    <row r="32" spans="1:11" x14ac:dyDescent="0.2">
      <c r="A32" t="str">
        <f ca="1">OFFSET(Waikato_Reference,35,2)</f>
        <v>Motorcyclist</v>
      </c>
      <c r="B32" s="4">
        <f ca="1">OFFSET(Waikato_Reference,35,6)</f>
        <v>38.030338682999997</v>
      </c>
      <c r="C32" s="4">
        <f ca="1">OFFSET(Waikato_Reference,36,6)</f>
        <v>39.067269113999998</v>
      </c>
      <c r="D32" s="4">
        <f ca="1">OFFSET(Waikato_Reference,37,6)</f>
        <v>39.341600004</v>
      </c>
      <c r="E32" s="4">
        <f ca="1">OFFSET(Waikato_Reference,38,6)</f>
        <v>38.273178999000002</v>
      </c>
      <c r="F32" s="4">
        <f ca="1">OFFSET(Waikato_Reference,39,6)</f>
        <v>35.986495767000001</v>
      </c>
      <c r="G32" s="4">
        <f ca="1">OFFSET(Waikato_Reference,40,6)</f>
        <v>32.244708412000001</v>
      </c>
      <c r="H32" s="4">
        <f ca="1">OFFSET(Waikato_Reference,41,6)</f>
        <v>28.540054794</v>
      </c>
      <c r="I32" s="1">
        <f ca="1">H32*('Updated Population'!I$26/'Updated Population'!H$26)</f>
        <v>29.018869600742327</v>
      </c>
      <c r="J32" s="1">
        <f ca="1">I32*('Updated Population'!J$26/'Updated Population'!I$26)</f>
        <v>29.409639693336477</v>
      </c>
      <c r="K32" s="1">
        <f ca="1">J32*('Updated Population'!K$26/'Updated Population'!J$26)</f>
        <v>29.73934173192665</v>
      </c>
    </row>
    <row r="33" spans="1:11" x14ac:dyDescent="0.2">
      <c r="A33" t="str">
        <f ca="1">OFFSET(Waikato_Reference,42,2)</f>
        <v>Local Train</v>
      </c>
      <c r="B33" s="4">
        <f ca="1">OFFSET(Waikato_Reference,42,6)</f>
        <v>2.9773519310999998</v>
      </c>
      <c r="C33" s="4">
        <f ca="1">OFFSET(Waikato_Reference,43,6)</f>
        <v>3.2247440363000002</v>
      </c>
      <c r="D33" s="4">
        <f ca="1">OFFSET(Waikato_Reference,44,6)</f>
        <v>3.7852317361000001</v>
      </c>
      <c r="E33" s="4">
        <f ca="1">OFFSET(Waikato_Reference,45,6)</f>
        <v>4.2715674273999999</v>
      </c>
      <c r="F33" s="4">
        <f ca="1">OFFSET(Waikato_Reference,46,6)</f>
        <v>4.5838057079999999</v>
      </c>
      <c r="G33" s="4">
        <f ca="1">OFFSET(Waikato_Reference,47,6)</f>
        <v>4.8505736543999998</v>
      </c>
      <c r="H33" s="4">
        <f ca="1">OFFSET(Waikato_Reference,48,6)</f>
        <v>5.0637603946</v>
      </c>
      <c r="I33" s="1">
        <f ca="1">H33*('Updated Population'!I$26/'Updated Population'!H$26)</f>
        <v>5.1487148024394545</v>
      </c>
      <c r="J33" s="1">
        <f ca="1">I33*('Updated Population'!J$26/'Updated Population'!I$26)</f>
        <v>5.2180477498551134</v>
      </c>
      <c r="K33" s="1">
        <f ca="1">J33*('Updated Population'!K$26/'Updated Population'!J$26)</f>
        <v>5.2765456096904346</v>
      </c>
    </row>
    <row r="34" spans="1:11" x14ac:dyDescent="0.2">
      <c r="A34" t="str">
        <f ca="1">OFFSET(Waikato_Reference,49,2)</f>
        <v>Local Bus</v>
      </c>
      <c r="B34" s="4">
        <f ca="1">OFFSET(Waikato_Reference,49,6)</f>
        <v>54.303948532</v>
      </c>
      <c r="C34" s="4">
        <f ca="1">OFFSET(Waikato_Reference,50,6)</f>
        <v>51.536525441000002</v>
      </c>
      <c r="D34" s="4">
        <f ca="1">OFFSET(Waikato_Reference,51,6)</f>
        <v>50.132294424999998</v>
      </c>
      <c r="E34" s="4">
        <f ca="1">OFFSET(Waikato_Reference,52,6)</f>
        <v>49.492534735</v>
      </c>
      <c r="F34" s="4">
        <f ca="1">OFFSET(Waikato_Reference,53,6)</f>
        <v>48.566042340000003</v>
      </c>
      <c r="G34" s="4">
        <f ca="1">OFFSET(Waikato_Reference,54,6)</f>
        <v>47.671426746999998</v>
      </c>
      <c r="H34" s="4">
        <f ca="1">OFFSET(Waikato_Reference,55,6)</f>
        <v>46.578065094000003</v>
      </c>
      <c r="I34" s="1">
        <f ca="1">H34*('Updated Population'!I$26/'Updated Population'!H$26)</f>
        <v>47.359502529821036</v>
      </c>
      <c r="J34" s="1">
        <f ca="1">I34*('Updated Population'!J$26/'Updated Population'!I$26)</f>
        <v>47.99724884604273</v>
      </c>
      <c r="K34" s="1">
        <f ca="1">J34*('Updated Population'!K$26/'Updated Population'!J$26)</f>
        <v>48.535330609582516</v>
      </c>
    </row>
    <row r="35" spans="1:11" x14ac:dyDescent="0.2">
      <c r="A35" t="str">
        <f ca="1">OFFSET(Waikato_Reference,56,2)</f>
        <v>Local Ferry</v>
      </c>
      <c r="B35" s="4">
        <f ca="1">OFFSET(Waikato_Reference,56,6)</f>
        <v>0</v>
      </c>
      <c r="C35" s="4">
        <f ca="1">OFFSET(Waikato_Reference,57,6)</f>
        <v>0</v>
      </c>
      <c r="D35" s="4">
        <f ca="1">OFFSET(Waikato_Reference,58,6)</f>
        <v>0</v>
      </c>
      <c r="E35" s="4">
        <f ca="1">OFFSET(Waikato_Reference,59,6)</f>
        <v>0</v>
      </c>
      <c r="F35" s="4">
        <f ca="1">OFFSET(Waikato_Reference,60,6)</f>
        <v>0</v>
      </c>
      <c r="G35" s="4">
        <f ca="1">OFFSET(Waikato_Reference,61,6)</f>
        <v>0</v>
      </c>
      <c r="H35" s="4">
        <f ca="1">OFFSET(Waikato_Reference,62,6)</f>
        <v>0</v>
      </c>
      <c r="I35" s="1">
        <f ca="1">H35*('Updated Population'!I$26/'Updated Population'!H$26)</f>
        <v>0</v>
      </c>
      <c r="J35" s="1">
        <f ca="1">I35*('Updated Population'!J$26/'Updated Population'!I$26)</f>
        <v>0</v>
      </c>
      <c r="K35" s="1">
        <f ca="1">J35*('Updated Population'!K$26/'Updated Population'!J$26)</f>
        <v>0</v>
      </c>
    </row>
    <row r="36" spans="1:11" x14ac:dyDescent="0.2">
      <c r="A36" t="str">
        <f ca="1">OFFSET(Waikato_Reference,63,2)</f>
        <v>Other Household Travel</v>
      </c>
      <c r="B36" s="4">
        <f ca="1">OFFSET(Waikato_Reference,63,6)</f>
        <v>0</v>
      </c>
      <c r="C36" s="4">
        <f ca="1">OFFSET(Waikato_Reference,64,6)</f>
        <v>0</v>
      </c>
      <c r="D36" s="4">
        <f ca="1">OFFSET(Waikato_Reference,65,6)</f>
        <v>0</v>
      </c>
      <c r="E36" s="4">
        <f ca="1">OFFSET(Waikato_Reference,66,6)</f>
        <v>0</v>
      </c>
      <c r="F36" s="4">
        <f ca="1">OFFSET(Waikato_Reference,67,6)</f>
        <v>0</v>
      </c>
      <c r="G36" s="4">
        <f ca="1">OFFSET(Waikato_Reference,68,6)</f>
        <v>0</v>
      </c>
      <c r="H36" s="4">
        <f ca="1">OFFSET(Waikato_Reference,69,6)</f>
        <v>0</v>
      </c>
      <c r="I36" s="1">
        <f ca="1">H36*('Updated Population'!I$26/'Updated Population'!H$26)</f>
        <v>0</v>
      </c>
      <c r="J36" s="1">
        <f ca="1">I36*('Updated Population'!J$26/'Updated Population'!I$26)</f>
        <v>0</v>
      </c>
      <c r="K36" s="1">
        <f ca="1">J36*('Updated Population'!K$26/'Updated Population'!J$26)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OFFSET(BOP_Reference,0,6)</f>
        <v>35.579183637</v>
      </c>
      <c r="C38" s="4">
        <f ca="1">OFFSET(BOP_Reference,1,6)</f>
        <v>35.029163228000002</v>
      </c>
      <c r="D38" s="4">
        <f ca="1">OFFSET(BOP_Reference,2,6)</f>
        <v>34.956622230999997</v>
      </c>
      <c r="E38" s="4">
        <f ca="1">OFFSET(BOP_Reference,3,6)</f>
        <v>34.989895302000001</v>
      </c>
      <c r="F38" s="4">
        <f ca="1">OFFSET(BOP_Reference,4,6)</f>
        <v>34.515843705999998</v>
      </c>
      <c r="G38" s="4">
        <f ca="1">OFFSET(BOP_Reference,5,6)</f>
        <v>34.139319307999997</v>
      </c>
      <c r="H38" s="4">
        <f ca="1">OFFSET(BOP_Reference,6,6)</f>
        <v>33.689295264999998</v>
      </c>
      <c r="I38" s="1">
        <f ca="1">H38*('Updated Population'!I$37/'Updated Population'!H$37)</f>
        <v>34.001682586471993</v>
      </c>
      <c r="J38" s="1">
        <f ca="1">I38*('Updated Population'!J$37/'Updated Population'!I$37)</f>
        <v>34.203342695890612</v>
      </c>
      <c r="K38" s="1">
        <f ca="1">J38*('Updated Population'!K$37/'Updated Population'!J$37)</f>
        <v>34.327676752811904</v>
      </c>
    </row>
    <row r="39" spans="1:11" x14ac:dyDescent="0.2">
      <c r="A39" t="str">
        <f ca="1">OFFSET(BOP_Reference,7,2)</f>
        <v>Cyclist</v>
      </c>
      <c r="B39" s="4">
        <f ca="1">OFFSET(BOP_Reference,7,6)</f>
        <v>8.5028812633000008</v>
      </c>
      <c r="C39" s="4">
        <f ca="1">OFFSET(BOP_Reference,8,6)</f>
        <v>8.2315490368000006</v>
      </c>
      <c r="D39" s="4">
        <f ca="1">OFFSET(BOP_Reference,9,6)</f>
        <v>8.0982222264000008</v>
      </c>
      <c r="E39" s="4">
        <f ca="1">OFFSET(BOP_Reference,10,6)</f>
        <v>8.2095150522000004</v>
      </c>
      <c r="F39" s="4">
        <f ca="1">OFFSET(BOP_Reference,11,6)</f>
        <v>8.1483671742000006</v>
      </c>
      <c r="G39" s="4">
        <f ca="1">OFFSET(BOP_Reference,12,6)</f>
        <v>8.1552031444999997</v>
      </c>
      <c r="H39" s="4">
        <f ca="1">OFFSET(BOP_Reference,13,6)</f>
        <v>8.1458586698000008</v>
      </c>
      <c r="I39" s="1">
        <f ca="1">H39*('Updated Population'!I$37/'Updated Population'!H$37)</f>
        <v>8.2213919497612444</v>
      </c>
      <c r="J39" s="1">
        <f ca="1">I39*('Updated Population'!J$37/'Updated Population'!I$37)</f>
        <v>8.2701520896733154</v>
      </c>
      <c r="K39" s="1">
        <f ca="1">J39*('Updated Population'!K$37/'Updated Population'!J$37)</f>
        <v>8.3002152788126846</v>
      </c>
    </row>
    <row r="40" spans="1:11" x14ac:dyDescent="0.2">
      <c r="A40" t="str">
        <f ca="1">OFFSET(BOP_Reference,14,2)</f>
        <v>Light Vehicle Driver</v>
      </c>
      <c r="B40" s="4">
        <f ca="1">OFFSET(BOP_Reference,14,6)</f>
        <v>1972.0747595</v>
      </c>
      <c r="C40" s="4">
        <f ca="1">OFFSET(BOP_Reference,15,6)</f>
        <v>2056.0025636999999</v>
      </c>
      <c r="D40" s="4">
        <f ca="1">OFFSET(BOP_Reference,16,6)</f>
        <v>2154.2082433</v>
      </c>
      <c r="E40" s="4">
        <f ca="1">OFFSET(BOP_Reference,17,6)</f>
        <v>2285.9314626999999</v>
      </c>
      <c r="F40" s="4">
        <f ca="1">OFFSET(BOP_Reference,18,6)</f>
        <v>2374.3156632</v>
      </c>
      <c r="G40" s="4">
        <f ca="1">OFFSET(BOP_Reference,19,6)</f>
        <v>2410.4551999999999</v>
      </c>
      <c r="H40" s="4">
        <f ca="1">OFFSET(BOP_Reference,20,6)</f>
        <v>2435.6388357999999</v>
      </c>
      <c r="I40" s="1">
        <f ca="1">H40*('Updated Population'!I$37/'Updated Population'!H$37)</f>
        <v>2458.2235377358456</v>
      </c>
      <c r="J40" s="1">
        <f ca="1">I40*('Updated Population'!J$37/'Updated Population'!I$37)</f>
        <v>2472.8029817481975</v>
      </c>
      <c r="K40" s="1">
        <f ca="1">J40*('Updated Population'!K$37/'Updated Population'!J$37)</f>
        <v>2481.7919752925263</v>
      </c>
    </row>
    <row r="41" spans="1:11" x14ac:dyDescent="0.2">
      <c r="A41" t="str">
        <f ca="1">OFFSET(BOP_Reference,21,2)</f>
        <v>Light Vehicle Passenger</v>
      </c>
      <c r="B41" s="4">
        <f ca="1">OFFSET(BOP_Reference,21,6)</f>
        <v>1385.2330090999999</v>
      </c>
      <c r="C41" s="4">
        <f ca="1">OFFSET(BOP_Reference,22,6)</f>
        <v>1446.0898532000001</v>
      </c>
      <c r="D41" s="4">
        <f ca="1">OFFSET(BOP_Reference,23,6)</f>
        <v>1498.4200486</v>
      </c>
      <c r="E41" s="4">
        <f ca="1">OFFSET(BOP_Reference,24,6)</f>
        <v>1554.5235935999999</v>
      </c>
      <c r="F41" s="4">
        <f ca="1">OFFSET(BOP_Reference,25,6)</f>
        <v>1579.7949521999999</v>
      </c>
      <c r="G41" s="4">
        <f ca="1">OFFSET(BOP_Reference,26,6)</f>
        <v>1590.506359</v>
      </c>
      <c r="H41" s="4">
        <f ca="1">OFFSET(BOP_Reference,27,6)</f>
        <v>1595.193364</v>
      </c>
      <c r="I41" s="1">
        <f ca="1">H41*('Updated Population'!I$37/'Updated Population'!H$37)</f>
        <v>1609.9849521970841</v>
      </c>
      <c r="J41" s="1">
        <f ca="1">I41*('Updated Population'!J$37/'Updated Population'!I$37)</f>
        <v>1619.533589703381</v>
      </c>
      <c r="K41" s="1">
        <f ca="1">J41*('Updated Population'!K$37/'Updated Population'!J$37)</f>
        <v>1625.4208266123139</v>
      </c>
    </row>
    <row r="42" spans="1:11" x14ac:dyDescent="0.2">
      <c r="A42" t="str">
        <f ca="1">OFFSET(BOP_Reference,28,2)</f>
        <v>Taxi/Vehicle Share</v>
      </c>
      <c r="B42" s="4">
        <f ca="1">OFFSET(BOP_Reference,28,6)</f>
        <v>0.98369936449999995</v>
      </c>
      <c r="C42" s="4">
        <f ca="1">OFFSET(BOP_Reference,29,6)</f>
        <v>0.89351436979999999</v>
      </c>
      <c r="D42" s="4">
        <f ca="1">OFFSET(BOP_Reference,30,6)</f>
        <v>0.85966123189999999</v>
      </c>
      <c r="E42" s="4">
        <f ca="1">OFFSET(BOP_Reference,31,6)</f>
        <v>0.8724248711</v>
      </c>
      <c r="F42" s="4">
        <f ca="1">OFFSET(BOP_Reference,32,6)</f>
        <v>0.84285550490000005</v>
      </c>
      <c r="G42" s="4">
        <f ca="1">OFFSET(BOP_Reference,33,6)</f>
        <v>0.8182133506</v>
      </c>
      <c r="H42" s="4">
        <f ca="1">OFFSET(BOP_Reference,34,6)</f>
        <v>0.78926405300000002</v>
      </c>
      <c r="I42" s="1">
        <f ca="1">H42*('Updated Population'!I$37/'Updated Population'!H$37)</f>
        <v>0.79658258197222664</v>
      </c>
      <c r="J42" s="1">
        <f ca="1">I42*('Updated Population'!J$37/'Updated Population'!I$37)</f>
        <v>0.80130702260050879</v>
      </c>
      <c r="K42" s="1">
        <f ca="1">J42*('Updated Population'!K$37/'Updated Population'!J$37)</f>
        <v>0.80421988856934912</v>
      </c>
    </row>
    <row r="43" spans="1:11" x14ac:dyDescent="0.2">
      <c r="A43" t="str">
        <f ca="1">OFFSET(BOP_Reference,35,2)</f>
        <v>Motorcyclist</v>
      </c>
      <c r="B43" s="4">
        <f ca="1">OFFSET(BOP_Reference,35,6)</f>
        <v>35.608960758999999</v>
      </c>
      <c r="C43" s="4">
        <f ca="1">OFFSET(BOP_Reference,36,6)</f>
        <v>38.225260372000001</v>
      </c>
      <c r="D43" s="4">
        <f ca="1">OFFSET(BOP_Reference,37,6)</f>
        <v>39.383273011999997</v>
      </c>
      <c r="E43" s="4">
        <f ca="1">OFFSET(BOP_Reference,38,6)</f>
        <v>40.676002734000001</v>
      </c>
      <c r="F43" s="4">
        <f ca="1">OFFSET(BOP_Reference,39,6)</f>
        <v>40.772050935999999</v>
      </c>
      <c r="G43" s="4">
        <f ca="1">OFFSET(BOP_Reference,40,6)</f>
        <v>40.133745939000001</v>
      </c>
      <c r="H43" s="4">
        <f ca="1">OFFSET(BOP_Reference,41,6)</f>
        <v>39.234323132999997</v>
      </c>
      <c r="I43" s="1">
        <f ca="1">H43*('Updated Population'!I$37/'Updated Population'!H$37)</f>
        <v>39.598127273658818</v>
      </c>
      <c r="J43" s="1">
        <f ca="1">I43*('Updated Population'!J$37/'Updated Population'!I$37)</f>
        <v>39.83297925954129</v>
      </c>
      <c r="K43" s="1">
        <f ca="1">J43*('Updated Population'!K$37/'Updated Population'!J$37)</f>
        <v>39.977777852902037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">
      <c r="A45" t="str">
        <f ca="1">OFFSET(BOP_Reference,42,2)</f>
        <v>Local Bus</v>
      </c>
      <c r="B45" s="4">
        <f ca="1">OFFSET(BOP_Reference,42,6)</f>
        <v>52.669440211999998</v>
      </c>
      <c r="C45" s="4">
        <f ca="1">OFFSET(BOP_Reference,43,6)</f>
        <v>49.998238008999998</v>
      </c>
      <c r="D45" s="4">
        <f ca="1">OFFSET(BOP_Reference,44,6)</f>
        <v>48.204225807999997</v>
      </c>
      <c r="E45" s="4">
        <f ca="1">OFFSET(BOP_Reference,45,6)</f>
        <v>46.578744061999998</v>
      </c>
      <c r="F45" s="4">
        <f ca="1">OFFSET(BOP_Reference,46,6)</f>
        <v>44.546903673000003</v>
      </c>
      <c r="G45" s="4">
        <f ca="1">OFFSET(BOP_Reference,47,6)</f>
        <v>43.075124041999999</v>
      </c>
      <c r="H45" s="4">
        <f ca="1">OFFSET(BOP_Reference,48,6)</f>
        <v>41.474494905999997</v>
      </c>
      <c r="I45" s="1">
        <f ca="1">H45*('Updated Population'!I$37/'Updated Population'!H$37)</f>
        <v>41.859071260927472</v>
      </c>
      <c r="J45" s="1">
        <f ca="1">I45*('Updated Population'!J$37/'Updated Population'!I$37)</f>
        <v>42.107332648262428</v>
      </c>
      <c r="K45" s="1">
        <f ca="1">J45*('Updated Population'!K$37/'Updated Population'!J$37)</f>
        <v>42.260398842430696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OFFSET(BOP_Reference,49,6)</f>
        <v>0</v>
      </c>
      <c r="C47" s="4">
        <f ca="1">OFFSET(BOP_Reference,50,6)</f>
        <v>0</v>
      </c>
      <c r="D47" s="4">
        <f ca="1">OFFSET(BOP_Reference,51,6)</f>
        <v>0</v>
      </c>
      <c r="E47" s="4">
        <f ca="1">OFFSET(BOP_Reference,52,6)</f>
        <v>0</v>
      </c>
      <c r="F47" s="4">
        <f ca="1">OFFSET(BOP_Reference,53,6)</f>
        <v>0</v>
      </c>
      <c r="G47" s="4">
        <f ca="1">OFFSET(BOP_Reference,54,6)</f>
        <v>0</v>
      </c>
      <c r="H47" s="4">
        <f ca="1">OFFSET(BOP_Reference,55,6)</f>
        <v>0</v>
      </c>
      <c r="I47" s="1">
        <f ca="1">H47*('Updated Population'!I$37/'Updated Population'!H$37)</f>
        <v>0</v>
      </c>
      <c r="J47" s="1">
        <f ca="1">I47*('Updated Population'!J$37/'Updated Population'!I$37)</f>
        <v>0</v>
      </c>
      <c r="K47" s="1">
        <f ca="1">J47*('Updated Population'!K$37/'Updated Population'!J$37)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OFFSET(Gisborne_Reference,0,6)</f>
        <v>7.5635235767999998</v>
      </c>
      <c r="C49" s="4">
        <f ca="1">OFFSET(Gisborne_Reference,1,6)</f>
        <v>7.2528211206000002</v>
      </c>
      <c r="D49" s="4">
        <f ca="1">OFFSET(Gisborne_Reference,2,6)</f>
        <v>6.9979999291999997</v>
      </c>
      <c r="E49" s="4">
        <f ca="1">OFFSET(Gisborne_Reference,3,6)</f>
        <v>6.8955779729</v>
      </c>
      <c r="F49" s="4">
        <f ca="1">OFFSET(Gisborne_Reference,4,6)</f>
        <v>6.7623229240000002</v>
      </c>
      <c r="G49" s="4">
        <f ca="1">OFFSET(Gisborne_Reference,5,6)</f>
        <v>6.5479053763000001</v>
      </c>
      <c r="H49" s="4">
        <f ca="1">OFFSET(Gisborne_Reference,6,6)</f>
        <v>6.3593151610999996</v>
      </c>
      <c r="I49" s="1">
        <f ca="1">H49*('Updated Population'!I$48/'Updated Population'!H$48)</f>
        <v>6.299629827915358</v>
      </c>
      <c r="J49" s="1">
        <f ca="1">I49*('Updated Population'!J$48/'Updated Population'!I$48)</f>
        <v>6.2206400696098161</v>
      </c>
      <c r="K49" s="1">
        <f ca="1">J49*('Updated Population'!K$48/'Updated Population'!J$48)</f>
        <v>6.1294398159003585</v>
      </c>
    </row>
    <row r="50" spans="1:11" x14ac:dyDescent="0.2">
      <c r="A50" t="str">
        <f ca="1">OFFSET(Gisborne_Reference,7,2)</f>
        <v>Cyclist</v>
      </c>
      <c r="B50" s="4">
        <f ca="1">OFFSET(Gisborne_Reference,7,6)</f>
        <v>3.8031873472000002</v>
      </c>
      <c r="C50" s="4">
        <f ca="1">OFFSET(Gisborne_Reference,8,6)</f>
        <v>3.4117002201000002</v>
      </c>
      <c r="D50" s="4">
        <f ca="1">OFFSET(Gisborne_Reference,9,6)</f>
        <v>3.1850713970000002</v>
      </c>
      <c r="E50" s="4">
        <f ca="1">OFFSET(Gisborne_Reference,10,6)</f>
        <v>2.8557916342</v>
      </c>
      <c r="F50" s="4">
        <f ca="1">OFFSET(Gisborne_Reference,11,6)</f>
        <v>2.5178031110000001</v>
      </c>
      <c r="G50" s="4">
        <f ca="1">OFFSET(Gisborne_Reference,12,6)</f>
        <v>2.1958084669</v>
      </c>
      <c r="H50" s="4">
        <f ca="1">OFFSET(Gisborne_Reference,13,6)</f>
        <v>1.9230287718000001</v>
      </c>
      <c r="I50" s="1">
        <f ca="1">H50*('Updated Population'!I$48/'Updated Population'!H$48)</f>
        <v>1.9049801910863682</v>
      </c>
      <c r="J50" s="1">
        <f ca="1">I50*('Updated Population'!J$48/'Updated Population'!I$48)</f>
        <v>1.8810940376168475</v>
      </c>
      <c r="K50" s="1">
        <f ca="1">J50*('Updated Population'!K$48/'Updated Population'!J$48)</f>
        <v>1.8535154843550823</v>
      </c>
    </row>
    <row r="51" spans="1:11" x14ac:dyDescent="0.2">
      <c r="A51" t="str">
        <f ca="1">OFFSET(Gisborne_Reference,14,2)</f>
        <v>Light Vehicle Driver</v>
      </c>
      <c r="B51" s="4">
        <f ca="1">OFFSET(Gisborne_Reference,14,6)</f>
        <v>241.40144318</v>
      </c>
      <c r="C51" s="4">
        <f ca="1">OFFSET(Gisborne_Reference,15,6)</f>
        <v>249.01406451</v>
      </c>
      <c r="D51" s="4">
        <f ca="1">OFFSET(Gisborne_Reference,16,6)</f>
        <v>248.86502960999999</v>
      </c>
      <c r="E51" s="4">
        <f ca="1">OFFSET(Gisborne_Reference,17,6)</f>
        <v>247.77573294000001</v>
      </c>
      <c r="F51" s="4">
        <f ca="1">OFFSET(Gisborne_Reference,18,6)</f>
        <v>245.75296420999999</v>
      </c>
      <c r="G51" s="4">
        <f ca="1">OFFSET(Gisborne_Reference,19,6)</f>
        <v>243.45413425999999</v>
      </c>
      <c r="H51" s="4">
        <f ca="1">OFFSET(Gisborne_Reference,20,6)</f>
        <v>240.38093218</v>
      </c>
      <c r="I51" s="1">
        <f ca="1">H51*('Updated Population'!I$48/'Updated Population'!H$48)</f>
        <v>238.12483766904381</v>
      </c>
      <c r="J51" s="1">
        <f ca="1">I51*('Updated Population'!J$48/'Updated Population'!I$48)</f>
        <v>235.13903947330309</v>
      </c>
      <c r="K51" s="1">
        <f ca="1">J51*('Updated Population'!K$48/'Updated Population'!J$48)</f>
        <v>231.69168681875408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OFFSET(Gisborne_Reference,21,6)</f>
        <v>174.74236519999999</v>
      </c>
      <c r="C52" s="4">
        <f ca="1">OFFSET(Gisborne_Reference,22,6)</f>
        <v>164.37102755000001</v>
      </c>
      <c r="D52" s="4">
        <f ca="1">OFFSET(Gisborne_Reference,23,6)</f>
        <v>155.63407165999999</v>
      </c>
      <c r="E52" s="4">
        <f ca="1">OFFSET(Gisborne_Reference,24,6)</f>
        <v>148.26253584</v>
      </c>
      <c r="F52" s="4">
        <f ca="1">OFFSET(Gisborne_Reference,25,6)</f>
        <v>139.59158424</v>
      </c>
      <c r="G52" s="4">
        <f ca="1">OFFSET(Gisborne_Reference,26,6)</f>
        <v>132.46024281000001</v>
      </c>
      <c r="H52" s="4">
        <f ca="1">OFFSET(Gisborne_Reference,27,6)</f>
        <v>125.51128602999999</v>
      </c>
      <c r="I52" s="1">
        <f ca="1">H52*('Updated Population'!I$48/'Updated Population'!H$48)</f>
        <v>124.33330023508971</v>
      </c>
      <c r="J52" s="1">
        <f ca="1">I52*('Updated Population'!J$48/'Updated Population'!I$48)</f>
        <v>122.77431064313301</v>
      </c>
      <c r="K52" s="1">
        <f ca="1">J52*('Updated Population'!K$48/'Updated Population'!J$48)</f>
        <v>120.97432733685568</v>
      </c>
    </row>
    <row r="53" spans="1:11" x14ac:dyDescent="0.2">
      <c r="A53" t="str">
        <f ca="1">OFFSET(Gisborne_Reference,28,2)</f>
        <v>Taxi/Vehicle Share</v>
      </c>
      <c r="B53" s="4">
        <f ca="1">OFFSET(Gisborne_Reference,28,6)</f>
        <v>0.1174510768</v>
      </c>
      <c r="C53" s="4">
        <f ca="1">OFFSET(Gisborne_Reference,29,6)</f>
        <v>0.16236521579999999</v>
      </c>
      <c r="D53" s="4">
        <f ca="1">OFFSET(Gisborne_Reference,30,6)</f>
        <v>0.2325307405</v>
      </c>
      <c r="E53" s="4">
        <f ca="1">OFFSET(Gisborne_Reference,31,6)</f>
        <v>0.33604516559999997</v>
      </c>
      <c r="F53" s="4">
        <f ca="1">OFFSET(Gisborne_Reference,32,6)</f>
        <v>0.44887741889999999</v>
      </c>
      <c r="G53" s="4">
        <f ca="1">OFFSET(Gisborne_Reference,33,6)</f>
        <v>0.5283648675</v>
      </c>
      <c r="H53" s="4">
        <f ca="1">OFFSET(Gisborne_Reference,34,6)</f>
        <v>0.62030354070000004</v>
      </c>
      <c r="I53" s="1">
        <f ca="1">H53*('Updated Population'!I$48/'Updated Population'!H$48)</f>
        <v>0.6144816836974154</v>
      </c>
      <c r="J53" s="1">
        <f ca="1">I53*('Updated Population'!J$48/'Updated Population'!I$48)</f>
        <v>0.60677682468119876</v>
      </c>
      <c r="K53" s="1">
        <f ca="1">J53*('Updated Population'!K$48/'Updated Population'!J$48)</f>
        <v>0.59788092333717269</v>
      </c>
    </row>
    <row r="54" spans="1:11" x14ac:dyDescent="0.2">
      <c r="A54" t="str">
        <f ca="1">OFFSET(Gisborne_Reference,35,2)</f>
        <v>Motorcyclist</v>
      </c>
      <c r="B54" s="4">
        <f ca="1">OFFSET(Gisborne_Reference,35,6)</f>
        <v>0.95186353219999997</v>
      </c>
      <c r="C54" s="4">
        <f ca="1">OFFSET(Gisborne_Reference,36,6)</f>
        <v>0.97544022939999997</v>
      </c>
      <c r="D54" s="4">
        <f ca="1">OFFSET(Gisborne_Reference,37,6)</f>
        <v>0.94498969830000001</v>
      </c>
      <c r="E54" s="4">
        <f ca="1">OFFSET(Gisborne_Reference,38,6)</f>
        <v>0.89218041510000001</v>
      </c>
      <c r="F54" s="4">
        <f ca="1">OFFSET(Gisborne_Reference,39,6)</f>
        <v>0.82323159990000006</v>
      </c>
      <c r="G54" s="4">
        <f ca="1">OFFSET(Gisborne_Reference,40,6)</f>
        <v>0.75770159410000004</v>
      </c>
      <c r="H54" s="4">
        <f ca="1">OFFSET(Gisborne_Reference,41,6)</f>
        <v>0.69292214129999996</v>
      </c>
      <c r="I54" s="1">
        <f ca="1">H54*('Updated Population'!I$48/'Updated Population'!H$48)</f>
        <v>0.68641872264141723</v>
      </c>
      <c r="J54" s="1">
        <f ca="1">I54*('Updated Population'!J$48/'Updated Population'!I$48)</f>
        <v>0.67781185994012316</v>
      </c>
      <c r="K54" s="1">
        <f ca="1">J54*('Updated Population'!K$48/'Updated Population'!J$48)</f>
        <v>0.66787452022876193</v>
      </c>
    </row>
    <row r="55" spans="1:11" x14ac:dyDescent="0.2">
      <c r="A55" t="str">
        <f ca="1">OFFSET(Gisborne_Reference,42,2)</f>
        <v>Local Train</v>
      </c>
      <c r="B55" s="4">
        <f ca="1">OFFSET(Gisborne_Reference,42,6)</f>
        <v>0</v>
      </c>
      <c r="C55" s="4">
        <f ca="1">OFFSET(Gisborne_Reference,43,6)</f>
        <v>0</v>
      </c>
      <c r="D55" s="4">
        <f ca="1">OFFSET(Gisborne_Reference,44,6)</f>
        <v>0</v>
      </c>
      <c r="E55" s="4">
        <f ca="1">OFFSET(Gisborne_Reference,45,6)</f>
        <v>0</v>
      </c>
      <c r="F55" s="4">
        <f ca="1">OFFSET(Gisborne_Reference,46,6)</f>
        <v>0</v>
      </c>
      <c r="G55" s="4">
        <f ca="1">OFFSET(Gisborne_Reference,47,6)</f>
        <v>0</v>
      </c>
      <c r="H55" s="4">
        <f ca="1">OFFSET(Gisborne_Reference,48,6)</f>
        <v>0</v>
      </c>
      <c r="I55" s="1">
        <f ca="1">H55*('Updated Population'!I$48/'Updated Population'!H$48)</f>
        <v>0</v>
      </c>
      <c r="J55" s="1">
        <f ca="1">I55*('Updated Population'!J$48/'Updated Population'!I$48)</f>
        <v>0</v>
      </c>
      <c r="K55" s="1">
        <f ca="1">J55*('Updated Population'!K$48/'Updated Population'!J$48)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OFFSET(Gisborne_Reference,49,6)</f>
        <v>4.8778387282000004</v>
      </c>
      <c r="C56" s="4">
        <f ca="1">OFFSET(Gisborne_Reference,50,6)</f>
        <v>4.3373156583999997</v>
      </c>
      <c r="D56" s="4">
        <f ca="1">OFFSET(Gisborne_Reference,51,6)</f>
        <v>3.9663064626</v>
      </c>
      <c r="E56" s="4">
        <f ca="1">OFFSET(Gisborne_Reference,52,6)</f>
        <v>3.7064099867000002</v>
      </c>
      <c r="F56" s="4">
        <f ca="1">OFFSET(Gisborne_Reference,53,6)</f>
        <v>3.3067011892</v>
      </c>
      <c r="G56" s="4">
        <f ca="1">OFFSET(Gisborne_Reference,54,6)</f>
        <v>3.1261455210000002</v>
      </c>
      <c r="H56" s="4">
        <f ca="1">OFFSET(Gisborne_Reference,55,6)</f>
        <v>2.9586368315999998</v>
      </c>
      <c r="I56" s="1">
        <f ca="1">H56*('Updated Population'!I$48/'Updated Population'!H$48)</f>
        <v>2.9308685545775641</v>
      </c>
      <c r="J56" s="1">
        <f ca="1">I56*('Updated Population'!J$48/'Updated Population'!I$48)</f>
        <v>2.8941189986392901</v>
      </c>
      <c r="K56" s="1">
        <f ca="1">J56*('Updated Population'!K$48/'Updated Population'!J$48)</f>
        <v>2.8516885760480952</v>
      </c>
    </row>
    <row r="57" spans="1:11" x14ac:dyDescent="0.2">
      <c r="A57" t="str">
        <f ca="1">OFFSET(Gisborne_Reference,56,2)</f>
        <v>Local Ferry</v>
      </c>
      <c r="B57" s="4">
        <f ca="1">OFFSET(Gisborne_Reference,56,6)</f>
        <v>0</v>
      </c>
      <c r="C57" s="4">
        <f ca="1">OFFSET(Gisborne_Reference,57,6)</f>
        <v>0</v>
      </c>
      <c r="D57" s="4">
        <f ca="1">OFFSET(Gisborne_Reference,58,6)</f>
        <v>0</v>
      </c>
      <c r="E57" s="4">
        <f ca="1">OFFSET(Gisborne_Reference,59,6)</f>
        <v>0</v>
      </c>
      <c r="F57" s="4">
        <f ca="1">OFFSET(Gisborne_Reference,60,6)</f>
        <v>0</v>
      </c>
      <c r="G57" s="4">
        <f ca="1">OFFSET(Gisborne_Reference,61,6)</f>
        <v>0</v>
      </c>
      <c r="H57" s="4">
        <f ca="1">OFFSET(Gisborne_Reference,62,6)</f>
        <v>0</v>
      </c>
      <c r="I57" s="1">
        <f ca="1">H57*('Updated Population'!I$48/'Updated Population'!H$48)</f>
        <v>0</v>
      </c>
      <c r="J57" s="1">
        <f ca="1">I57*('Updated Population'!J$48/'Updated Population'!I$48)</f>
        <v>0</v>
      </c>
      <c r="K57" s="1">
        <f ca="1">J57*('Updated Population'!K$48/'Updated Population'!J$48)</f>
        <v>0</v>
      </c>
    </row>
    <row r="58" spans="1:11" x14ac:dyDescent="0.2">
      <c r="A58" t="str">
        <f ca="1">OFFSET(Gisborne_Reference,63,2)</f>
        <v>Other Household Travel</v>
      </c>
      <c r="B58" s="4">
        <f ca="1">OFFSET(Gisborne_Reference,63,6)</f>
        <v>0</v>
      </c>
      <c r="C58" s="4">
        <f ca="1">OFFSET(Gisborne_Reference,64,6)</f>
        <v>0</v>
      </c>
      <c r="D58" s="4">
        <f ca="1">OFFSET(Gisborne_Reference,65,6)</f>
        <v>0</v>
      </c>
      <c r="E58" s="4">
        <f ca="1">OFFSET(Gisborne_Reference,66,6)</f>
        <v>0</v>
      </c>
      <c r="F58" s="4">
        <f ca="1">OFFSET(Gisborne_Reference,67,6)</f>
        <v>0</v>
      </c>
      <c r="G58" s="4">
        <f ca="1">OFFSET(Gisborne_Reference,68,6)</f>
        <v>0</v>
      </c>
      <c r="H58" s="4">
        <f ca="1">OFFSET(Gisborne_Reference,69,6)</f>
        <v>0</v>
      </c>
      <c r="I58" s="1">
        <f ca="1">H58*('Updated Population'!I$48/'Updated Population'!H$48)</f>
        <v>0</v>
      </c>
      <c r="J58" s="1">
        <f ca="1">I58*('Updated Population'!J$48/'Updated Population'!I$48)</f>
        <v>0</v>
      </c>
      <c r="K58" s="1">
        <f ca="1">J58*('Updated Population'!K$48/'Updated Population'!J$48)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OFFSET(Hawkes_Bay_Reference,0,6)</f>
        <v>22.691613215</v>
      </c>
      <c r="C60" s="4">
        <f ca="1">OFFSET(Hawkes_Bay_Reference,1,6)</f>
        <v>23.630409191999998</v>
      </c>
      <c r="D60" s="4">
        <f ca="1">OFFSET(Hawkes_Bay_Reference,2,6)</f>
        <v>24.358757362999999</v>
      </c>
      <c r="E60" s="4">
        <f ca="1">OFFSET(Hawkes_Bay_Reference,3,6)</f>
        <v>24.726975710000001</v>
      </c>
      <c r="F60" s="4">
        <f ca="1">OFFSET(Hawkes_Bay_Reference,4,6)</f>
        <v>24.863531463000001</v>
      </c>
      <c r="G60" s="4">
        <f ca="1">OFFSET(Hawkes_Bay_Reference,5,6)</f>
        <v>25.193683757999999</v>
      </c>
      <c r="H60" s="4">
        <f ca="1">OFFSET(Hawkes_Bay_Reference,6,6)</f>
        <v>25.427207582000001</v>
      </c>
      <c r="I60" s="1">
        <f ca="1">H60*('Updated Population'!I$59/'Updated Population'!H$59)</f>
        <v>25.744271066778811</v>
      </c>
      <c r="J60" s="1">
        <f ca="1">I60*('Updated Population'!J$59/'Updated Population'!I$59)</f>
        <v>25.998382660393609</v>
      </c>
      <c r="K60" s="1">
        <f ca="1">J60*('Updated Population'!K$59/'Updated Population'!J$59)</f>
        <v>26.214869504809478</v>
      </c>
    </row>
    <row r="61" spans="1:11" x14ac:dyDescent="0.2">
      <c r="A61" t="str">
        <f ca="1">OFFSET(Hawkes_Bay_Reference,7,2)</f>
        <v>Cyclist</v>
      </c>
      <c r="B61" s="4">
        <f ca="1">OFFSET(Hawkes_Bay_Reference,7,6)</f>
        <v>9.5482363540000001</v>
      </c>
      <c r="C61" s="4">
        <f ca="1">OFFSET(Hawkes_Bay_Reference,8,6)</f>
        <v>10.217483173</v>
      </c>
      <c r="D61" s="4">
        <f ca="1">OFFSET(Hawkes_Bay_Reference,9,6)</f>
        <v>10.611232829</v>
      </c>
      <c r="E61" s="4">
        <f ca="1">OFFSET(Hawkes_Bay_Reference,10,6)</f>
        <v>11.118484731000001</v>
      </c>
      <c r="F61" s="4">
        <f ca="1">OFFSET(Hawkes_Bay_Reference,11,6)</f>
        <v>11.596009892</v>
      </c>
      <c r="G61" s="4">
        <f ca="1">OFFSET(Hawkes_Bay_Reference,12,6)</f>
        <v>11.796850336</v>
      </c>
      <c r="H61" s="4">
        <f ca="1">OFFSET(Hawkes_Bay_Reference,13,6)</f>
        <v>11.925964628999999</v>
      </c>
      <c r="I61" s="1">
        <f ca="1">H61*('Updated Population'!I$59/'Updated Population'!H$59)</f>
        <v>12.074674938318289</v>
      </c>
      <c r="J61" s="1">
        <f ca="1">I61*('Updated Population'!J$59/'Updated Population'!I$59)</f>
        <v>12.193859314640218</v>
      </c>
      <c r="K61" s="1">
        <f ca="1">J61*('Updated Population'!K$59/'Updated Population'!J$59)</f>
        <v>12.295396789442412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OFFSET(Hawkes_Bay_Reference,14,6)</f>
        <v>1001.7566771</v>
      </c>
      <c r="C62" s="4">
        <f ca="1">OFFSET(Hawkes_Bay_Reference,15,6)</f>
        <v>1083.6110593999999</v>
      </c>
      <c r="D62" s="4">
        <f ca="1">OFFSET(Hawkes_Bay_Reference,16,6)</f>
        <v>1141.0195093</v>
      </c>
      <c r="E62" s="4">
        <f ca="1">OFFSET(Hawkes_Bay_Reference,17,6)</f>
        <v>1206.5571324</v>
      </c>
      <c r="F62" s="4">
        <f ca="1">OFFSET(Hawkes_Bay_Reference,18,6)</f>
        <v>1265.5454279</v>
      </c>
      <c r="G62" s="4">
        <f ca="1">OFFSET(Hawkes_Bay_Reference,19,6)</f>
        <v>1306.2214097999999</v>
      </c>
      <c r="H62" s="4">
        <f ca="1">OFFSET(Hawkes_Bay_Reference,20,6)</f>
        <v>1341.5247523999999</v>
      </c>
      <c r="I62" s="1">
        <f ca="1">H62*('Updated Population'!I$59/'Updated Population'!H$59)</f>
        <v>1358.2528383111749</v>
      </c>
      <c r="J62" s="1">
        <f ca="1">I62*('Updated Population'!J$59/'Updated Population'!I$59)</f>
        <v>1371.6596188869305</v>
      </c>
      <c r="K62" s="1">
        <f ca="1">J62*('Updated Population'!K$59/'Updated Population'!J$59)</f>
        <v>1383.0813394756453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OFFSET(Hawkes_Bay_Reference,21,6)</f>
        <v>607.82570181000006</v>
      </c>
      <c r="C63" s="4">
        <f ca="1">OFFSET(Hawkes_Bay_Reference,22,6)</f>
        <v>642.95162944000003</v>
      </c>
      <c r="D63" s="4">
        <f ca="1">OFFSET(Hawkes_Bay_Reference,23,6)</f>
        <v>669.58509643000002</v>
      </c>
      <c r="E63" s="4">
        <f ca="1">OFFSET(Hawkes_Bay_Reference,24,6)</f>
        <v>690.44868241999995</v>
      </c>
      <c r="F63" s="4">
        <f ca="1">OFFSET(Hawkes_Bay_Reference,25,6)</f>
        <v>700.39420789999997</v>
      </c>
      <c r="G63" s="4">
        <f ca="1">OFFSET(Hawkes_Bay_Reference,26,6)</f>
        <v>703.60689643000001</v>
      </c>
      <c r="H63" s="4">
        <f ca="1">OFFSET(Hawkes_Bay_Reference,27,6)</f>
        <v>703.44850716999997</v>
      </c>
      <c r="I63" s="1">
        <f ca="1">H63*('Updated Population'!I$59/'Updated Population'!H$59)</f>
        <v>712.22012844718893</v>
      </c>
      <c r="J63" s="1">
        <f ca="1">I63*('Updated Population'!J$59/'Updated Population'!I$59)</f>
        <v>719.25017374832771</v>
      </c>
      <c r="K63" s="1">
        <f ca="1">J63*('Updated Population'!K$59/'Updated Population'!J$59)</f>
        <v>725.23932324636746</v>
      </c>
    </row>
    <row r="64" spans="1:11" x14ac:dyDescent="0.2">
      <c r="A64" t="str">
        <f ca="1">OFFSET(Hawkes_Bay_Reference,28,2)</f>
        <v>Taxi/Vehicle Share</v>
      </c>
      <c r="B64" s="4">
        <f ca="1">OFFSET(Hawkes_Bay_Reference,28,6)</f>
        <v>1.7589425135000001</v>
      </c>
      <c r="C64" s="4">
        <f ca="1">OFFSET(Hawkes_Bay_Reference,29,6)</f>
        <v>1.7235216927000001</v>
      </c>
      <c r="D64" s="4">
        <f ca="1">OFFSET(Hawkes_Bay_Reference,30,6)</f>
        <v>1.7173274164000001</v>
      </c>
      <c r="E64" s="4">
        <f ca="1">OFFSET(Hawkes_Bay_Reference,31,6)</f>
        <v>1.7400284588999999</v>
      </c>
      <c r="F64" s="4">
        <f ca="1">OFFSET(Hawkes_Bay_Reference,32,6)</f>
        <v>1.7771933863</v>
      </c>
      <c r="G64" s="4">
        <f ca="1">OFFSET(Hawkes_Bay_Reference,33,6)</f>
        <v>1.7378360394000001</v>
      </c>
      <c r="H64" s="4">
        <f ca="1">OFFSET(Hawkes_Bay_Reference,34,6)</f>
        <v>1.6757688264999999</v>
      </c>
      <c r="I64" s="1">
        <f ca="1">H64*('Updated Population'!I$59/'Updated Population'!H$59)</f>
        <v>1.696664754694251</v>
      </c>
      <c r="J64" s="1">
        <f ca="1">I64*('Updated Population'!J$59/'Updated Population'!I$59)</f>
        <v>1.7134118664507683</v>
      </c>
      <c r="K64" s="1">
        <f ca="1">J64*('Updated Population'!K$59/'Updated Population'!J$59)</f>
        <v>1.7276793358159959</v>
      </c>
    </row>
    <row r="65" spans="1:11" x14ac:dyDescent="0.2">
      <c r="A65" t="str">
        <f ca="1">OFFSET(Hawkes_Bay_Reference,35,2)</f>
        <v>Motorcyclist</v>
      </c>
      <c r="B65" s="4">
        <f ca="1">OFFSET(Hawkes_Bay_Reference,35,6)</f>
        <v>3.0321841239</v>
      </c>
      <c r="C65" s="4">
        <f ca="1">OFFSET(Hawkes_Bay_Reference,36,6)</f>
        <v>3.1875832787</v>
      </c>
      <c r="D65" s="4">
        <f ca="1">OFFSET(Hawkes_Bay_Reference,37,6)</f>
        <v>3.2548629714000001</v>
      </c>
      <c r="E65" s="4">
        <f ca="1">OFFSET(Hawkes_Bay_Reference,38,6)</f>
        <v>3.1261074221</v>
      </c>
      <c r="F65" s="4">
        <f ca="1">OFFSET(Hawkes_Bay_Reference,39,6)</f>
        <v>2.9348747708</v>
      </c>
      <c r="G65" s="4">
        <f ca="1">OFFSET(Hawkes_Bay_Reference,40,6)</f>
        <v>2.8298672750999998</v>
      </c>
      <c r="H65" s="4">
        <f ca="1">OFFSET(Hawkes_Bay_Reference,41,6)</f>
        <v>2.7254703494000001</v>
      </c>
      <c r="I65" s="1">
        <f ca="1">H65*('Updated Population'!I$59/'Updated Population'!H$59)</f>
        <v>2.7594554861420235</v>
      </c>
      <c r="J65" s="1">
        <f ca="1">I65*('Updated Population'!J$59/'Updated Population'!I$59)</f>
        <v>2.7866929880030691</v>
      </c>
      <c r="K65" s="1">
        <f ca="1">J65*('Updated Population'!K$59/'Updated Population'!J$59)</f>
        <v>2.8098975995825297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OFFSET(Hawkes_Bay_Reference,42,6)</f>
        <v>39.591997026999998</v>
      </c>
      <c r="C67" s="4">
        <f ca="1">OFFSET(Hawkes_Bay_Reference,43,6)</f>
        <v>39.067154361999997</v>
      </c>
      <c r="D67" s="4">
        <f ca="1">OFFSET(Hawkes_Bay_Reference,44,6)</f>
        <v>38.783810535000001</v>
      </c>
      <c r="E67" s="4">
        <f ca="1">OFFSET(Hawkes_Bay_Reference,45,6)</f>
        <v>39.982796995999998</v>
      </c>
      <c r="F67" s="4">
        <f ca="1">OFFSET(Hawkes_Bay_Reference,46,6)</f>
        <v>39.927268466999998</v>
      </c>
      <c r="G67" s="4">
        <f ca="1">OFFSET(Hawkes_Bay_Reference,47,6)</f>
        <v>40.523380023999998</v>
      </c>
      <c r="H67" s="4">
        <f ca="1">OFFSET(Hawkes_Bay_Reference,48,6)</f>
        <v>40.891760185999999</v>
      </c>
      <c r="I67" s="1">
        <f ca="1">H67*('Updated Population'!I$59/'Updated Population'!H$59)</f>
        <v>41.401658252529757</v>
      </c>
      <c r="J67" s="1">
        <f ca="1">I67*('Updated Population'!J$59/'Updated Population'!I$59)</f>
        <v>41.810317768643294</v>
      </c>
      <c r="K67" s="1">
        <f ca="1">J67*('Updated Population'!K$59/'Updated Population'!J$59)</f>
        <v>42.158469570083902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OFFSET(Hawkes_Bay_Reference,49,6)</f>
        <v>0</v>
      </c>
      <c r="C69" s="4">
        <f ca="1">OFFSET(Hawkes_Bay_Reference,50,6)</f>
        <v>0</v>
      </c>
      <c r="D69" s="4">
        <f ca="1">OFFSET(Hawkes_Bay_Reference,51,6)</f>
        <v>0</v>
      </c>
      <c r="E69" s="4">
        <f ca="1">OFFSET(Hawkes_Bay_Reference,52,6)</f>
        <v>0</v>
      </c>
      <c r="F69" s="4">
        <f ca="1">OFFSET(Hawkes_Bay_Reference,53,6)</f>
        <v>0</v>
      </c>
      <c r="G69" s="4">
        <f ca="1">OFFSET(Hawkes_Bay_Reference,54,6)</f>
        <v>0</v>
      </c>
      <c r="H69" s="4">
        <f ca="1">OFFSET(Hawkes_Bay_Reference,55,6)</f>
        <v>0</v>
      </c>
      <c r="I69" s="1">
        <f ca="1">H69*('Updated Population'!I$59/'Updated Population'!H$59)</f>
        <v>0</v>
      </c>
      <c r="J69" s="1">
        <f ca="1">I69*('Updated Population'!J$59/'Updated Population'!I$59)</f>
        <v>0</v>
      </c>
      <c r="K69" s="1">
        <f ca="1">J69*('Updated Population'!K$59/'Updated Population'!J$59)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OFFSET(Taranaki_Reference,0,6)</f>
        <v>16.820589198</v>
      </c>
      <c r="C71" s="4">
        <f ca="1">OFFSET(Taranaki_Reference,1,6)</f>
        <v>17.989530228</v>
      </c>
      <c r="D71" s="4">
        <f ca="1">OFFSET(Taranaki_Reference,2,6)</f>
        <v>18.667505445</v>
      </c>
      <c r="E71" s="4">
        <f ca="1">OFFSET(Taranaki_Reference,3,6)</f>
        <v>19.145151000999999</v>
      </c>
      <c r="F71" s="4">
        <f ca="1">OFFSET(Taranaki_Reference,4,6)</f>
        <v>19.415343363000002</v>
      </c>
      <c r="G71" s="4">
        <f ca="1">OFFSET(Taranaki_Reference,5,6)</f>
        <v>19.642559527</v>
      </c>
      <c r="H71" s="4">
        <f ca="1">OFFSET(Taranaki_Reference,6,6)</f>
        <v>19.837306814000002</v>
      </c>
      <c r="I71" s="1">
        <f ca="1">H71*('Updated Population'!I$70/'Updated Population'!H$70)</f>
        <v>20.254208621508681</v>
      </c>
      <c r="J71" s="1">
        <f ca="1">I71*('Updated Population'!J$70/'Updated Population'!I$70)</f>
        <v>20.622892064009299</v>
      </c>
      <c r="K71" s="1">
        <f ca="1">J71*('Updated Population'!K$70/'Updated Population'!J$70)</f>
        <v>20.962172368872789</v>
      </c>
    </row>
    <row r="72" spans="1:11" x14ac:dyDescent="0.2">
      <c r="A72" t="str">
        <f ca="1">OFFSET(Taranaki_Reference,7,2)</f>
        <v>Cyclist</v>
      </c>
      <c r="B72" s="4">
        <f ca="1">OFFSET(Taranaki_Reference,7,6)</f>
        <v>5.5737915155</v>
      </c>
      <c r="C72" s="4">
        <f ca="1">OFFSET(Taranaki_Reference,8,6)</f>
        <v>5.8278757674000001</v>
      </c>
      <c r="D72" s="4">
        <f ca="1">OFFSET(Taranaki_Reference,9,6)</f>
        <v>5.9734360370999999</v>
      </c>
      <c r="E72" s="4">
        <f ca="1">OFFSET(Taranaki_Reference,10,6)</f>
        <v>5.8476829164000002</v>
      </c>
      <c r="F72" s="4">
        <f ca="1">OFFSET(Taranaki_Reference,11,6)</f>
        <v>5.8855402990999997</v>
      </c>
      <c r="G72" s="4">
        <f ca="1">OFFSET(Taranaki_Reference,12,6)</f>
        <v>6.0333285656999998</v>
      </c>
      <c r="H72" s="4">
        <f ca="1">OFFSET(Taranaki_Reference,13,6)</f>
        <v>6.2130300219999999</v>
      </c>
      <c r="I72" s="1">
        <f ca="1">H72*('Updated Population'!I$70/'Updated Population'!H$70)</f>
        <v>6.3436033639644167</v>
      </c>
      <c r="J72" s="1">
        <f ca="1">I72*('Updated Population'!J$70/'Updated Population'!I$70)</f>
        <v>6.4590747491856222</v>
      </c>
      <c r="K72" s="1">
        <f ca="1">J72*('Updated Population'!K$70/'Updated Population'!J$70)</f>
        <v>6.5653370931496982</v>
      </c>
    </row>
    <row r="73" spans="1:11" x14ac:dyDescent="0.2">
      <c r="A73" t="str">
        <f ca="1">OFFSET(Taranaki_Reference,14,2)</f>
        <v>Light Vehicle Driver</v>
      </c>
      <c r="B73" s="4">
        <f ca="1">OFFSET(Taranaki_Reference,14,6)</f>
        <v>933.36875414999997</v>
      </c>
      <c r="C73" s="4">
        <f ca="1">OFFSET(Taranaki_Reference,15,6)</f>
        <v>1030.4070336</v>
      </c>
      <c r="D73" s="4">
        <f ca="1">OFFSET(Taranaki_Reference,16,6)</f>
        <v>1096.7968025</v>
      </c>
      <c r="E73" s="4">
        <f ca="1">OFFSET(Taranaki_Reference,17,6)</f>
        <v>1146.8859440000001</v>
      </c>
      <c r="F73" s="4">
        <f ca="1">OFFSET(Taranaki_Reference,18,6)</f>
        <v>1173.6042184</v>
      </c>
      <c r="G73" s="4">
        <f ca="1">OFFSET(Taranaki_Reference,19,6)</f>
        <v>1206.7224369999999</v>
      </c>
      <c r="H73" s="4">
        <f ca="1">OFFSET(Taranaki_Reference,20,6)</f>
        <v>1233.6395829000001</v>
      </c>
      <c r="I73" s="1">
        <f ca="1">H73*('Updated Population'!I$70/'Updated Population'!H$70)</f>
        <v>1259.565812541329</v>
      </c>
      <c r="J73" s="1">
        <f ca="1">I73*('Updated Population'!J$70/'Updated Population'!I$70)</f>
        <v>1282.4934454349036</v>
      </c>
      <c r="K73" s="1">
        <f ca="1">J73*('Updated Population'!K$70/'Updated Population'!J$70)</f>
        <v>1303.5925602342265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OFFSET(Taranaki_Reference,21,6)</f>
        <v>656.25872372000003</v>
      </c>
      <c r="C74" s="4">
        <f ca="1">OFFSET(Taranaki_Reference,22,6)</f>
        <v>671.37100128999998</v>
      </c>
      <c r="D74" s="4">
        <f ca="1">OFFSET(Taranaki_Reference,23,6)</f>
        <v>680.81954009000003</v>
      </c>
      <c r="E74" s="4">
        <f ca="1">OFFSET(Taranaki_Reference,24,6)</f>
        <v>694.11377503000006</v>
      </c>
      <c r="F74" s="4">
        <f ca="1">OFFSET(Taranaki_Reference,25,6)</f>
        <v>707.75371662999999</v>
      </c>
      <c r="G74" s="4">
        <f ca="1">OFFSET(Taranaki_Reference,26,6)</f>
        <v>711.29695937999998</v>
      </c>
      <c r="H74" s="4">
        <f ca="1">OFFSET(Taranaki_Reference,27,6)</f>
        <v>710.24495374000003</v>
      </c>
      <c r="I74" s="1">
        <f ca="1">H74*('Updated Population'!I$70/'Updated Population'!H$70)</f>
        <v>725.17149632788562</v>
      </c>
      <c r="J74" s="1">
        <f ca="1">I74*('Updated Population'!J$70/'Updated Population'!I$70)</f>
        <v>738.37165283193042</v>
      </c>
      <c r="K74" s="1">
        <f ca="1">J74*('Updated Population'!K$70/'Updated Population'!J$70)</f>
        <v>750.51907418766598</v>
      </c>
    </row>
    <row r="75" spans="1:11" x14ac:dyDescent="0.2">
      <c r="A75" t="str">
        <f ca="1">OFFSET(Taranaki_Reference,28,2)</f>
        <v>Taxi/Vehicle Share</v>
      </c>
      <c r="B75" s="4">
        <f ca="1">OFFSET(Taranaki_Reference,28,6)</f>
        <v>1.1335038904000001</v>
      </c>
      <c r="C75" s="4">
        <f ca="1">OFFSET(Taranaki_Reference,29,6)</f>
        <v>1.4207678231</v>
      </c>
      <c r="D75" s="4">
        <f ca="1">OFFSET(Taranaki_Reference,30,6)</f>
        <v>1.5558763804</v>
      </c>
      <c r="E75" s="4">
        <f ca="1">OFFSET(Taranaki_Reference,31,6)</f>
        <v>1.7045988148</v>
      </c>
      <c r="F75" s="4">
        <f ca="1">OFFSET(Taranaki_Reference,32,6)</f>
        <v>1.7592393729</v>
      </c>
      <c r="G75" s="4">
        <f ca="1">OFFSET(Taranaki_Reference,33,6)</f>
        <v>1.7847134055</v>
      </c>
      <c r="H75" s="4">
        <f ca="1">OFFSET(Taranaki_Reference,34,6)</f>
        <v>1.7974090323</v>
      </c>
      <c r="I75" s="1">
        <f ca="1">H75*('Updated Population'!I$70/'Updated Population'!H$70)</f>
        <v>1.8351834681860979</v>
      </c>
      <c r="J75" s="1">
        <f ca="1">I75*('Updated Population'!J$70/'Updated Population'!I$70)</f>
        <v>1.8685889579445358</v>
      </c>
      <c r="K75" s="1">
        <f ca="1">J75*('Updated Population'!K$70/'Updated Population'!J$70)</f>
        <v>1.89933030253133</v>
      </c>
    </row>
    <row r="76" spans="1:11" x14ac:dyDescent="0.2">
      <c r="A76" t="str">
        <f ca="1">OFFSET(Taranaki_Reference,35,2)</f>
        <v>Motorcyclist</v>
      </c>
      <c r="B76" s="4">
        <f ca="1">OFFSET(Taranaki_Reference,35,6)</f>
        <v>7.0100687938000004</v>
      </c>
      <c r="C76" s="4">
        <f ca="1">OFFSET(Taranaki_Reference,36,6)</f>
        <v>7.4807696833000001</v>
      </c>
      <c r="D76" s="4">
        <f ca="1">OFFSET(Taranaki_Reference,37,6)</f>
        <v>7.6268182706000003</v>
      </c>
      <c r="E76" s="4">
        <f ca="1">OFFSET(Taranaki_Reference,38,6)</f>
        <v>7.6921804641999998</v>
      </c>
      <c r="F76" s="4">
        <f ca="1">OFFSET(Taranaki_Reference,39,6)</f>
        <v>7.4629217925000004</v>
      </c>
      <c r="G76" s="4">
        <f ca="1">OFFSET(Taranaki_Reference,40,6)</f>
        <v>7.1663810935000001</v>
      </c>
      <c r="H76" s="4">
        <f ca="1">OFFSET(Taranaki_Reference,41,6)</f>
        <v>6.8511943505000001</v>
      </c>
      <c r="I76" s="1">
        <f ca="1">H76*('Updated Population'!I$70/'Updated Population'!H$70)</f>
        <v>6.9951793851167414</v>
      </c>
      <c r="J76" s="1">
        <f ca="1">I76*('Updated Population'!J$70/'Updated Population'!I$70)</f>
        <v>7.1225112826402741</v>
      </c>
      <c r="K76" s="1">
        <f ca="1">J76*('Updated Population'!K$70/'Updated Population'!J$70)</f>
        <v>7.2396882426838713</v>
      </c>
    </row>
    <row r="77" spans="1:11" x14ac:dyDescent="0.2">
      <c r="A77" t="str">
        <f ca="1">OFFSET(Taranaki_Reference,42,2)</f>
        <v>Local Train</v>
      </c>
      <c r="B77" s="4">
        <f ca="1">OFFSET(Taranaki_Reference,42,6)</f>
        <v>0.36455468079999997</v>
      </c>
      <c r="C77" s="4">
        <f ca="1">OFFSET(Taranaki_Reference,43,6)</f>
        <v>0.3600800992</v>
      </c>
      <c r="D77" s="4">
        <f ca="1">OFFSET(Taranaki_Reference,44,6)</f>
        <v>0.33788547660000001</v>
      </c>
      <c r="E77" s="4">
        <f ca="1">OFFSET(Taranaki_Reference,45,6)</f>
        <v>0.34076973049999998</v>
      </c>
      <c r="F77" s="4">
        <f ca="1">OFFSET(Taranaki_Reference,46,6)</f>
        <v>0.38482320399999997</v>
      </c>
      <c r="G77" s="4">
        <f ca="1">OFFSET(Taranaki_Reference,47,6)</f>
        <v>0.46166990299999999</v>
      </c>
      <c r="H77" s="4">
        <f ca="1">OFFSET(Taranaki_Reference,48,6)</f>
        <v>0.53978679330000001</v>
      </c>
      <c r="I77" s="1">
        <f ca="1">H77*('Updated Population'!I$70/'Updated Population'!H$70)</f>
        <v>0.55113097887448859</v>
      </c>
      <c r="J77" s="1">
        <f ca="1">I77*('Updated Population'!J$70/'Updated Population'!I$70)</f>
        <v>0.5611631094976719</v>
      </c>
      <c r="K77" s="1">
        <f ca="1">J77*('Updated Population'!K$70/'Updated Population'!J$70)</f>
        <v>0.57039516047663141</v>
      </c>
    </row>
    <row r="78" spans="1:11" x14ac:dyDescent="0.2">
      <c r="A78" t="str">
        <f ca="1">OFFSET(Taranaki_Reference,49,2)</f>
        <v>Local Bus</v>
      </c>
      <c r="B78" s="4">
        <f ca="1">OFFSET(Taranaki_Reference,49,6)</f>
        <v>14.084735078</v>
      </c>
      <c r="C78" s="4">
        <f ca="1">OFFSET(Taranaki_Reference,50,6)</f>
        <v>15.572626061999999</v>
      </c>
      <c r="D78" s="4">
        <f ca="1">OFFSET(Taranaki_Reference,51,6)</f>
        <v>16.507949225000001</v>
      </c>
      <c r="E78" s="4">
        <f ca="1">OFFSET(Taranaki_Reference,52,6)</f>
        <v>16.684962707</v>
      </c>
      <c r="F78" s="4">
        <f ca="1">OFFSET(Taranaki_Reference,53,6)</f>
        <v>16.600354116999998</v>
      </c>
      <c r="G78" s="4">
        <f ca="1">OFFSET(Taranaki_Reference,54,6)</f>
        <v>17.625484579999998</v>
      </c>
      <c r="H78" s="4">
        <f ca="1">OFFSET(Taranaki_Reference,55,6)</f>
        <v>18.629388036999998</v>
      </c>
      <c r="I78" s="1">
        <f ca="1">H78*('Updated Population'!I$70/'Updated Population'!H$70)</f>
        <v>19.020904164578599</v>
      </c>
      <c r="J78" s="1">
        <f ca="1">I78*('Updated Population'!J$70/'Updated Population'!I$70)</f>
        <v>19.367138004563053</v>
      </c>
      <c r="K78" s="1">
        <f ca="1">J78*('Updated Population'!K$70/'Updated Population'!J$70)</f>
        <v>19.685759101261162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OFFSET(Taranaki_Reference,56,6)</f>
        <v>0</v>
      </c>
      <c r="C80" s="4">
        <f ca="1">OFFSET(Taranaki_Reference,57,6)</f>
        <v>0</v>
      </c>
      <c r="D80" s="4">
        <f ca="1">OFFSET(Taranaki_Reference,58,6)</f>
        <v>0</v>
      </c>
      <c r="E80" s="4">
        <f ca="1">OFFSET(Taranaki_Reference,59,6)</f>
        <v>0</v>
      </c>
      <c r="F80" s="4">
        <f ca="1">OFFSET(Taranaki_Reference,60,6)</f>
        <v>0</v>
      </c>
      <c r="G80" s="4">
        <f ca="1">OFFSET(Taranaki_Reference,61,6)</f>
        <v>0</v>
      </c>
      <c r="H80" s="4">
        <f ca="1">OFFSET(Taranaki_Reference,62,6)</f>
        <v>0</v>
      </c>
      <c r="I80" s="1">
        <f ca="1">H80*('Updated Population'!I$70/'Updated Population'!H$70)</f>
        <v>0</v>
      </c>
      <c r="J80" s="1">
        <f ca="1">I80*('Updated Population'!J$70/'Updated Population'!I$70)</f>
        <v>0</v>
      </c>
      <c r="K80" s="1">
        <f ca="1">J80*('Updated Population'!K$70/'Updated Population'!J$70)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OFFSET(Manawatu_Reference,0,6)</f>
        <v>32.265609755</v>
      </c>
      <c r="C82" s="4">
        <f ca="1">OFFSET(Manawatu_Reference,1,6)</f>
        <v>32.472223206999999</v>
      </c>
      <c r="D82" s="4">
        <f ca="1">OFFSET(Manawatu_Reference,2,6)</f>
        <v>31.9342158</v>
      </c>
      <c r="E82" s="4">
        <f ca="1">OFFSET(Manawatu_Reference,3,6)</f>
        <v>30.370979938000001</v>
      </c>
      <c r="F82" s="4">
        <f ca="1">OFFSET(Manawatu_Reference,4,6)</f>
        <v>28.795993660000001</v>
      </c>
      <c r="G82" s="4">
        <f ca="1">OFFSET(Manawatu_Reference,5,6)</f>
        <v>27.397459894000001</v>
      </c>
      <c r="H82" s="4">
        <f ca="1">OFFSET(Manawatu_Reference,6,6)</f>
        <v>26.146995049000001</v>
      </c>
      <c r="I82" s="1">
        <f ca="1">H82*('Updated Population'!I$81/'Updated Population'!H$81)</f>
        <v>26.176003234224595</v>
      </c>
      <c r="J82" s="1">
        <f ca="1">I82*('Updated Population'!J$81/'Updated Population'!I$81)</f>
        <v>26.136244887546837</v>
      </c>
      <c r="K82" s="1">
        <f ca="1">J82*('Updated Population'!K$81/'Updated Population'!J$81)</f>
        <v>26.055543358114928</v>
      </c>
    </row>
    <row r="83" spans="1:11" x14ac:dyDescent="0.2">
      <c r="A83" t="str">
        <f ca="1">OFFSET(Manawatu_Reference,7,2)</f>
        <v>Cyclist</v>
      </c>
      <c r="B83" s="4">
        <f ca="1">OFFSET(Manawatu_Reference,7,6)</f>
        <v>20.722330986999999</v>
      </c>
      <c r="C83" s="4">
        <f ca="1">OFFSET(Manawatu_Reference,8,6)</f>
        <v>23.232432227</v>
      </c>
      <c r="D83" s="4">
        <f ca="1">OFFSET(Manawatu_Reference,9,6)</f>
        <v>24.825460721999999</v>
      </c>
      <c r="E83" s="4">
        <f ca="1">OFFSET(Manawatu_Reference,10,6)</f>
        <v>25.330350829</v>
      </c>
      <c r="F83" s="4">
        <f ca="1">OFFSET(Manawatu_Reference,11,6)</f>
        <v>25.676322209999999</v>
      </c>
      <c r="G83" s="4">
        <f ca="1">OFFSET(Manawatu_Reference,12,6)</f>
        <v>25.955105951</v>
      </c>
      <c r="H83" s="4">
        <f ca="1">OFFSET(Manawatu_Reference,13,6)</f>
        <v>26.151864316000001</v>
      </c>
      <c r="I83" s="1">
        <f ca="1">H83*('Updated Population'!I$81/'Updated Population'!H$81)</f>
        <v>26.180877903321424</v>
      </c>
      <c r="J83" s="1">
        <f ca="1">I83*('Updated Population'!J$81/'Updated Population'!I$81)</f>
        <v>26.141112152580405</v>
      </c>
      <c r="K83" s="1">
        <f ca="1">J83*('Updated Population'!K$81/'Updated Population'!J$81)</f>
        <v>26.060395594373933</v>
      </c>
    </row>
    <row r="84" spans="1:11" x14ac:dyDescent="0.2">
      <c r="A84" t="str">
        <f ca="1">OFFSET(Manawatu_Reference,14,2)</f>
        <v>Light Vehicle Driver</v>
      </c>
      <c r="B84" s="4">
        <f ca="1">OFFSET(Manawatu_Reference,14,6)</f>
        <v>1782.4745101999999</v>
      </c>
      <c r="C84" s="4">
        <f ca="1">OFFSET(Manawatu_Reference,15,6)</f>
        <v>1929.1908393000001</v>
      </c>
      <c r="D84" s="4">
        <f ca="1">OFFSET(Manawatu_Reference,16,6)</f>
        <v>2016.6095092999999</v>
      </c>
      <c r="E84" s="4">
        <f ca="1">OFFSET(Manawatu_Reference,17,6)</f>
        <v>2083.5801848999999</v>
      </c>
      <c r="F84" s="4">
        <f ca="1">OFFSET(Manawatu_Reference,18,6)</f>
        <v>2133.9133953999999</v>
      </c>
      <c r="G84" s="4">
        <f ca="1">OFFSET(Manawatu_Reference,19,6)</f>
        <v>2151.8758292000002</v>
      </c>
      <c r="H84" s="4">
        <f ca="1">OFFSET(Manawatu_Reference,20,6)</f>
        <v>2157.6105106</v>
      </c>
      <c r="I84" s="1">
        <f ca="1">H84*('Updated Population'!I$81/'Updated Population'!H$81)</f>
        <v>2160.004222199238</v>
      </c>
      <c r="J84" s="1">
        <f ca="1">I84*('Updated Population'!J$81/'Updated Population'!I$81)</f>
        <v>2156.7234235256142</v>
      </c>
      <c r="K84" s="1">
        <f ca="1">J84*('Updated Population'!K$81/'Updated Population'!J$81)</f>
        <v>2150.0640552962068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OFFSET(Manawatu_Reference,21,6)</f>
        <v>885.65568203999999</v>
      </c>
      <c r="C85" s="4">
        <f ca="1">OFFSET(Manawatu_Reference,22,6)</f>
        <v>911.73408013000005</v>
      </c>
      <c r="D85" s="4">
        <f ca="1">OFFSET(Manawatu_Reference,23,6)</f>
        <v>920.50579416999994</v>
      </c>
      <c r="E85" s="4">
        <f ca="1">OFFSET(Manawatu_Reference,24,6)</f>
        <v>925.69040325000003</v>
      </c>
      <c r="F85" s="4">
        <f ca="1">OFFSET(Manawatu_Reference,25,6)</f>
        <v>938.19745219000004</v>
      </c>
      <c r="G85" s="4">
        <f ca="1">OFFSET(Manawatu_Reference,26,6)</f>
        <v>944.42787668999995</v>
      </c>
      <c r="H85" s="4">
        <f ca="1">OFFSET(Manawatu_Reference,27,6)</f>
        <v>947.52497196000002</v>
      </c>
      <c r="I85" s="1">
        <f ca="1">H85*('Updated Population'!I$81/'Updated Population'!H$81)</f>
        <v>948.57618185391073</v>
      </c>
      <c r="J85" s="1">
        <f ca="1">I85*('Updated Population'!J$81/'Updated Population'!I$81)</f>
        <v>947.13540342983481</v>
      </c>
      <c r="K85" s="1">
        <f ca="1">J85*('Updated Population'!K$81/'Updated Population'!J$81)</f>
        <v>944.21091003130857</v>
      </c>
    </row>
    <row r="86" spans="1:11" x14ac:dyDescent="0.2">
      <c r="A86" t="str">
        <f ca="1">OFFSET(Manawatu_Reference,28,2)</f>
        <v>Taxi/Vehicle Share</v>
      </c>
      <c r="B86" s="4">
        <f ca="1">OFFSET(Manawatu_Reference,28,6)</f>
        <v>5.6344181790999999</v>
      </c>
      <c r="C86" s="4">
        <f ca="1">OFFSET(Manawatu_Reference,29,6)</f>
        <v>6.8174429943000003</v>
      </c>
      <c r="D86" s="4">
        <f ca="1">OFFSET(Manawatu_Reference,30,6)</f>
        <v>7.5063117402000001</v>
      </c>
      <c r="E86" s="4">
        <f ca="1">OFFSET(Manawatu_Reference,31,6)</f>
        <v>7.7062494359000002</v>
      </c>
      <c r="F86" s="4">
        <f ca="1">OFFSET(Manawatu_Reference,32,6)</f>
        <v>7.8481765190999999</v>
      </c>
      <c r="G86" s="4">
        <f ca="1">OFFSET(Manawatu_Reference,33,6)</f>
        <v>8.4384813474999998</v>
      </c>
      <c r="H86" s="4">
        <f ca="1">OFFSET(Manawatu_Reference,34,6)</f>
        <v>9.0666923347000008</v>
      </c>
      <c r="I86" s="1">
        <f ca="1">H86*('Updated Population'!I$81/'Updated Population'!H$81)</f>
        <v>9.0767511689991807</v>
      </c>
      <c r="J86" s="1">
        <f ca="1">I86*('Updated Population'!J$81/'Updated Population'!I$81)</f>
        <v>9.062964625023934</v>
      </c>
      <c r="K86" s="1">
        <f ca="1">J86*('Updated Population'!K$81/'Updated Population'!J$81)</f>
        <v>9.0349806851131476</v>
      </c>
    </row>
    <row r="87" spans="1:11" x14ac:dyDescent="0.2">
      <c r="A87" t="str">
        <f ca="1">OFFSET(Manawatu_Reference,35,2)</f>
        <v>Motorcyclist</v>
      </c>
      <c r="B87" s="4">
        <f ca="1">OFFSET(Manawatu_Reference,35,6)</f>
        <v>3.8744282972000001</v>
      </c>
      <c r="C87" s="4">
        <f ca="1">OFFSET(Manawatu_Reference,36,6)</f>
        <v>4.2424287413000004</v>
      </c>
      <c r="D87" s="4">
        <f ca="1">OFFSET(Manawatu_Reference,37,6)</f>
        <v>4.3634941353999999</v>
      </c>
      <c r="E87" s="4">
        <f ca="1">OFFSET(Manawatu_Reference,38,6)</f>
        <v>4.2154012295000003</v>
      </c>
      <c r="F87" s="4">
        <f ca="1">OFFSET(Manawatu_Reference,39,6)</f>
        <v>4.0530033268999999</v>
      </c>
      <c r="G87" s="4">
        <f ca="1">OFFSET(Manawatu_Reference,40,6)</f>
        <v>3.9717111073</v>
      </c>
      <c r="H87" s="4">
        <f ca="1">OFFSET(Manawatu_Reference,41,6)</f>
        <v>3.8647357322000002</v>
      </c>
      <c r="I87" s="1">
        <f ca="1">H87*('Updated Population'!I$81/'Updated Population'!H$81)</f>
        <v>3.8690233748049598</v>
      </c>
      <c r="J87" s="1">
        <f ca="1">I87*('Updated Population'!J$81/'Updated Population'!I$81)</f>
        <v>3.8631467720530654</v>
      </c>
      <c r="K87" s="1">
        <f ca="1">J87*('Updated Population'!K$81/'Updated Population'!J$81)</f>
        <v>3.8512184382673209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OFFSET(Manawatu_Reference,42,6)</f>
        <v>39.768452936000003</v>
      </c>
      <c r="C89" s="4">
        <f ca="1">OFFSET(Manawatu_Reference,43,6)</f>
        <v>35.463637843000001</v>
      </c>
      <c r="D89" s="4">
        <f ca="1">OFFSET(Manawatu_Reference,44,6)</f>
        <v>32.262616164000001</v>
      </c>
      <c r="E89" s="4">
        <f ca="1">OFFSET(Manawatu_Reference,45,6)</f>
        <v>29.967091243999999</v>
      </c>
      <c r="F89" s="4">
        <f ca="1">OFFSET(Manawatu_Reference,46,6)</f>
        <v>27.641163957</v>
      </c>
      <c r="G89" s="4">
        <f ca="1">OFFSET(Manawatu_Reference,47,6)</f>
        <v>25.645375153</v>
      </c>
      <c r="H89" s="4">
        <f ca="1">OFFSET(Manawatu_Reference,48,6)</f>
        <v>23.567949271</v>
      </c>
      <c r="I89" s="1">
        <f ca="1">H89*('Updated Population'!I$81/'Updated Population'!H$81)</f>
        <v>23.594096192913426</v>
      </c>
      <c r="J89" s="1">
        <f ca="1">I89*('Updated Population'!J$81/'Updated Population'!I$81)</f>
        <v>23.558259466901728</v>
      </c>
      <c r="K89" s="1">
        <f ca="1">J89*('Updated Population'!K$81/'Updated Population'!J$81)</f>
        <v>23.485518046781404</v>
      </c>
    </row>
    <row r="90" spans="1:11" x14ac:dyDescent="0.2">
      <c r="A90" t="str">
        <f ca="1">OFFSET(Manawatu_Reference,49,2)</f>
        <v>Local Ferry</v>
      </c>
      <c r="B90" s="4">
        <f ca="1">OFFSET(Manawatu_Reference,49,6)</f>
        <v>0</v>
      </c>
      <c r="C90" s="4">
        <f ca="1">OFFSET(Manawatu_Reference,50,6)</f>
        <v>0</v>
      </c>
      <c r="D90" s="4">
        <f ca="1">OFFSET(Manawatu_Reference,51,6)</f>
        <v>0</v>
      </c>
      <c r="E90" s="4">
        <f ca="1">OFFSET(Manawatu_Reference,52,6)</f>
        <v>0</v>
      </c>
      <c r="F90" s="4">
        <f ca="1">OFFSET(Manawatu_Reference,53,6)</f>
        <v>0</v>
      </c>
      <c r="G90" s="4">
        <f ca="1">OFFSET(Manawatu_Reference,54,6)</f>
        <v>0</v>
      </c>
      <c r="H90" s="4">
        <f ca="1">OFFSET(Manawatu_Reference,55,6)</f>
        <v>0</v>
      </c>
      <c r="I90" s="1">
        <f ca="1">H90*('Updated Population'!I$81/'Updated Population'!H$81)</f>
        <v>0</v>
      </c>
      <c r="J90" s="1">
        <f ca="1">I90*('Updated Population'!J$81/'Updated Population'!I$81)</f>
        <v>0</v>
      </c>
      <c r="K90" s="1">
        <f ca="1">J90*('Updated Population'!K$81/'Updated Population'!J$81)</f>
        <v>0</v>
      </c>
    </row>
    <row r="91" spans="1:11" x14ac:dyDescent="0.2">
      <c r="A91" t="str">
        <f ca="1">OFFSET(Manawatu_Reference,56,2)</f>
        <v>Other Household Travel</v>
      </c>
      <c r="B91" s="4">
        <f ca="1">OFFSET(Manawatu_Reference,56,6)</f>
        <v>0</v>
      </c>
      <c r="C91" s="4">
        <f ca="1">OFFSET(Manawatu_Reference,57,6)</f>
        <v>0</v>
      </c>
      <c r="D91" s="4">
        <f ca="1">OFFSET(Manawatu_Reference,58,6)</f>
        <v>0</v>
      </c>
      <c r="E91" s="4">
        <f ca="1">OFFSET(Manawatu_Reference,59,6)</f>
        <v>0</v>
      </c>
      <c r="F91" s="4">
        <f ca="1">OFFSET(Manawatu_Reference,60,6)</f>
        <v>0</v>
      </c>
      <c r="G91" s="4">
        <f ca="1">OFFSET(Manawatu_Reference,61,6)</f>
        <v>0</v>
      </c>
      <c r="H91" s="4">
        <f ca="1">OFFSET(Manawatu_Reference,62,6)</f>
        <v>0</v>
      </c>
      <c r="I91" s="1">
        <f ca="1">H91*('Updated Population'!I$81/'Updated Population'!H$81)</f>
        <v>0</v>
      </c>
      <c r="J91" s="1">
        <f ca="1">I91*('Updated Population'!J$81/'Updated Population'!I$81)</f>
        <v>0</v>
      </c>
      <c r="K91" s="1">
        <f ca="1">J91*('Updated Population'!K$81/'Updated Population'!J$81)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OFFSET(Wellington_Reference,0,6)</f>
        <v>126.13499251</v>
      </c>
      <c r="C93" s="4">
        <f ca="1">OFFSET(Wellington_Reference,1,6)</f>
        <v>135.98196798000001</v>
      </c>
      <c r="D93" s="4">
        <f ca="1">OFFSET(Wellington_Reference,2,6)</f>
        <v>141.19355490000001</v>
      </c>
      <c r="E93" s="4">
        <f ca="1">OFFSET(Wellington_Reference,3,6)</f>
        <v>146.41929726000001</v>
      </c>
      <c r="F93" s="4">
        <f ca="1">OFFSET(Wellington_Reference,4,6)</f>
        <v>151.29976058</v>
      </c>
      <c r="G93" s="4">
        <f ca="1">OFFSET(Wellington_Reference,5,6)</f>
        <v>156.43219998000001</v>
      </c>
      <c r="H93" s="4">
        <f ca="1">OFFSET(Wellington_Reference,6,6)</f>
        <v>161.16905208</v>
      </c>
      <c r="I93" s="1">
        <f ca="1">H93*('Updated Population'!I$92/'Updated Population'!H$92)</f>
        <v>164.7231767821616</v>
      </c>
      <c r="J93" s="1">
        <f ca="1">I93*('Updated Population'!J$92/'Updated Population'!I$92)</f>
        <v>167.85951963057309</v>
      </c>
      <c r="K93" s="1">
        <f ca="1">J93*('Updated Population'!K$92/'Updated Population'!J$92)</f>
        <v>170.72942184418238</v>
      </c>
    </row>
    <row r="94" spans="1:11" x14ac:dyDescent="0.2">
      <c r="A94" t="str">
        <f ca="1">OFFSET(Wellington_Reference,7,2)</f>
        <v>Cyclist</v>
      </c>
      <c r="B94" s="4">
        <f ca="1">OFFSET(Wellington_Reference,7,6)</f>
        <v>52.092312808000003</v>
      </c>
      <c r="C94" s="4">
        <f ca="1">OFFSET(Wellington_Reference,8,6)</f>
        <v>56.208191462000002</v>
      </c>
      <c r="D94" s="4">
        <f ca="1">OFFSET(Wellington_Reference,9,6)</f>
        <v>58.267945685999997</v>
      </c>
      <c r="E94" s="4">
        <f ca="1">OFFSET(Wellington_Reference,10,6)</f>
        <v>60.828494468000002</v>
      </c>
      <c r="F94" s="4">
        <f ca="1">OFFSET(Wellington_Reference,11,6)</f>
        <v>66.012993046000005</v>
      </c>
      <c r="G94" s="4">
        <f ca="1">OFFSET(Wellington_Reference,12,6)</f>
        <v>73.308999201000006</v>
      </c>
      <c r="H94" s="4">
        <f ca="1">OFFSET(Wellington_Reference,13,6)</f>
        <v>81.016922836000006</v>
      </c>
      <c r="I94" s="1">
        <f ca="1">H94*('Updated Population'!I$92/'Updated Population'!H$92)</f>
        <v>82.803520467669514</v>
      </c>
      <c r="J94" s="1">
        <f ca="1">I94*('Updated Population'!J$92/'Updated Population'!I$92)</f>
        <v>84.380106314999964</v>
      </c>
      <c r="K94" s="1">
        <f ca="1">J94*('Updated Population'!K$92/'Updated Population'!J$92)</f>
        <v>85.822757017390629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OFFSET(Wellington_Reference,14,6)</f>
        <v>3481.4296611999998</v>
      </c>
      <c r="C95" s="4">
        <f ca="1">OFFSET(Wellington_Reference,15,6)</f>
        <v>3734.7458326999999</v>
      </c>
      <c r="D95" s="4">
        <f ca="1">OFFSET(Wellington_Reference,16,6)</f>
        <v>3893.8505936000001</v>
      </c>
      <c r="E95" s="4">
        <f ca="1">OFFSET(Wellington_Reference,17,6)</f>
        <v>4126.3290004999999</v>
      </c>
      <c r="F95" s="4">
        <f ca="1">OFFSET(Wellington_Reference,18,6)</f>
        <v>4361.1903928000002</v>
      </c>
      <c r="G95" s="4">
        <f ca="1">OFFSET(Wellington_Reference,19,6)</f>
        <v>4559.8959955</v>
      </c>
      <c r="H95" s="4">
        <f ca="1">OFFSET(Wellington_Reference,20,6)</f>
        <v>4739.7416266999999</v>
      </c>
      <c r="I95" s="1">
        <f ca="1">H95*('Updated Population'!I$92/'Updated Population'!H$92)</f>
        <v>4844.2631373741233</v>
      </c>
      <c r="J95" s="1">
        <f ca="1">I95*('Updated Population'!J$92/'Updated Population'!I$92)</f>
        <v>4936.4983063620248</v>
      </c>
      <c r="K95" s="1">
        <f ca="1">J95*('Updated Population'!K$92/'Updated Population'!J$92)</f>
        <v>5020.8978533646987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OFFSET(Wellington_Reference,21,6)</f>
        <v>2005.8850408000001</v>
      </c>
      <c r="C96" s="4">
        <f ca="1">OFFSET(Wellington_Reference,22,6)</f>
        <v>2061.3885857</v>
      </c>
      <c r="D96" s="4">
        <f ca="1">OFFSET(Wellington_Reference,23,6)</f>
        <v>2081.6169740999999</v>
      </c>
      <c r="E96" s="4">
        <f ca="1">OFFSET(Wellington_Reference,24,6)</f>
        <v>2127.1259315000002</v>
      </c>
      <c r="F96" s="4">
        <f ca="1">OFFSET(Wellington_Reference,25,6)</f>
        <v>2173.2460959</v>
      </c>
      <c r="G96" s="4">
        <f ca="1">OFFSET(Wellington_Reference,26,6)</f>
        <v>2203.7873046999998</v>
      </c>
      <c r="H96" s="4">
        <f ca="1">OFFSET(Wellington_Reference,27,6)</f>
        <v>2221.8873815000002</v>
      </c>
      <c r="I96" s="1">
        <f ca="1">H96*('Updated Population'!I$92/'Updated Population'!H$92)</f>
        <v>2270.8847834583521</v>
      </c>
      <c r="J96" s="1">
        <f ca="1">I96*('Updated Population'!J$92/'Updated Population'!I$92)</f>
        <v>2314.1226167086475</v>
      </c>
      <c r="K96" s="1">
        <f ca="1">J96*('Updated Population'!K$92/'Updated Population'!J$92)</f>
        <v>2353.6872814644607</v>
      </c>
    </row>
    <row r="97" spans="1:11" x14ac:dyDescent="0.2">
      <c r="A97" t="str">
        <f ca="1">OFFSET(Wellington_Reference,28,2)</f>
        <v>Taxi/Vehicle Share</v>
      </c>
      <c r="B97" s="4">
        <f ca="1">OFFSET(Wellington_Reference,28,6)</f>
        <v>19.359252680000001</v>
      </c>
      <c r="C97" s="4">
        <f ca="1">OFFSET(Wellington_Reference,29,6)</f>
        <v>20.870338469</v>
      </c>
      <c r="D97" s="4">
        <f ca="1">OFFSET(Wellington_Reference,30,6)</f>
        <v>22.262005342999998</v>
      </c>
      <c r="E97" s="4">
        <f ca="1">OFFSET(Wellington_Reference,31,6)</f>
        <v>24.309593308</v>
      </c>
      <c r="F97" s="4">
        <f ca="1">OFFSET(Wellington_Reference,32,6)</f>
        <v>26.326827371</v>
      </c>
      <c r="G97" s="4">
        <f ca="1">OFFSET(Wellington_Reference,33,6)</f>
        <v>27.969559895</v>
      </c>
      <c r="H97" s="4">
        <f ca="1">OFFSET(Wellington_Reference,34,6)</f>
        <v>29.409127783999999</v>
      </c>
      <c r="I97" s="1">
        <f ca="1">H97*('Updated Population'!I$92/'Updated Population'!H$92)</f>
        <v>30.057662388982713</v>
      </c>
      <c r="J97" s="1">
        <f ca="1">I97*('Updated Population'!J$92/'Updated Population'!I$92)</f>
        <v>30.629962755665911</v>
      </c>
      <c r="K97" s="1">
        <f ca="1">J97*('Updated Population'!K$92/'Updated Population'!J$92)</f>
        <v>31.153644689873264</v>
      </c>
    </row>
    <row r="98" spans="1:11" x14ac:dyDescent="0.2">
      <c r="A98" t="str">
        <f ca="1">OFFSET(Wellington_Reference,35,2)</f>
        <v>Motorcyclist</v>
      </c>
      <c r="B98" s="4">
        <f ca="1">OFFSET(Wellington_Reference,35,6)</f>
        <v>24.444631151999999</v>
      </c>
      <c r="C98" s="4">
        <f ca="1">OFFSET(Wellington_Reference,36,6)</f>
        <v>24.915436018000001</v>
      </c>
      <c r="D98" s="4">
        <f ca="1">OFFSET(Wellington_Reference,37,6)</f>
        <v>24.889414937000002</v>
      </c>
      <c r="E98" s="4">
        <f ca="1">OFFSET(Wellington_Reference,38,6)</f>
        <v>25.78215307</v>
      </c>
      <c r="F98" s="4">
        <f ca="1">OFFSET(Wellington_Reference,39,6)</f>
        <v>27.432653900999998</v>
      </c>
      <c r="G98" s="4">
        <f ca="1">OFFSET(Wellington_Reference,40,6)</f>
        <v>28.798171240999999</v>
      </c>
      <c r="H98" s="4">
        <f ca="1">OFFSET(Wellington_Reference,41,6)</f>
        <v>29.808710197</v>
      </c>
      <c r="I98" s="1">
        <f ca="1">H98*('Updated Population'!I$92/'Updated Population'!H$92)</f>
        <v>30.466056454755158</v>
      </c>
      <c r="J98" s="1">
        <f ca="1">I98*('Updated Population'!J$92/'Updated Population'!I$92)</f>
        <v>31.046132678075782</v>
      </c>
      <c r="K98" s="1">
        <f ca="1">J98*('Updated Population'!K$92/'Updated Population'!J$92)</f>
        <v>31.576929889296856</v>
      </c>
    </row>
    <row r="99" spans="1:11" x14ac:dyDescent="0.2">
      <c r="A99" t="str">
        <f ca="1">OFFSET(Wellington_Reference,42,2)</f>
        <v>Local Train</v>
      </c>
      <c r="B99" s="4">
        <f ca="1">OFFSET(Wellington_Reference,42,6)</f>
        <v>251.12727889999999</v>
      </c>
      <c r="C99" s="4">
        <f ca="1">OFFSET(Wellington_Reference,43,6)</f>
        <v>272.30099767000002</v>
      </c>
      <c r="D99" s="4">
        <f ca="1">OFFSET(Wellington_Reference,44,6)</f>
        <v>287.57689847</v>
      </c>
      <c r="E99" s="4">
        <f ca="1">OFFSET(Wellington_Reference,45,6)</f>
        <v>299.35808040000001</v>
      </c>
      <c r="F99" s="4">
        <f ca="1">OFFSET(Wellington_Reference,46,6)</f>
        <v>304.57215048</v>
      </c>
      <c r="G99" s="4">
        <f ca="1">OFFSET(Wellington_Reference,47,6)</f>
        <v>311.21015441999998</v>
      </c>
      <c r="H99" s="4">
        <f ca="1">OFFSET(Wellington_Reference,48,6)</f>
        <v>315.94281543</v>
      </c>
      <c r="I99" s="1">
        <f ca="1">H99*('Updated Population'!I$92/'Updated Population'!H$92)</f>
        <v>322.91003494453105</v>
      </c>
      <c r="J99" s="1">
        <f ca="1">I99*('Updated Population'!J$92/'Updated Population'!I$92)</f>
        <v>329.05826859666553</v>
      </c>
      <c r="K99" s="1">
        <f ca="1">J99*('Updated Population'!K$92/'Updated Population'!J$92)</f>
        <v>334.68419351013114</v>
      </c>
    </row>
    <row r="100" spans="1:11" x14ac:dyDescent="0.2">
      <c r="A100" t="str">
        <f ca="1">OFFSET(Wellington_Reference,49,2)</f>
        <v>Local Bus</v>
      </c>
      <c r="B100" s="4">
        <f ca="1">OFFSET(Wellington_Reference,49,6)</f>
        <v>187.412398</v>
      </c>
      <c r="C100" s="4">
        <f ca="1">OFFSET(Wellington_Reference,50,6)</f>
        <v>199.36998972000001</v>
      </c>
      <c r="D100" s="4">
        <f ca="1">OFFSET(Wellington_Reference,51,6)</f>
        <v>204.78550231</v>
      </c>
      <c r="E100" s="4">
        <f ca="1">OFFSET(Wellington_Reference,52,6)</f>
        <v>208.60145833000001</v>
      </c>
      <c r="F100" s="4">
        <f ca="1">OFFSET(Wellington_Reference,53,6)</f>
        <v>210.43878918999999</v>
      </c>
      <c r="G100" s="4">
        <f ca="1">OFFSET(Wellington_Reference,54,6)</f>
        <v>211.45580906999999</v>
      </c>
      <c r="H100" s="4">
        <f ca="1">OFFSET(Wellington_Reference,55,6)</f>
        <v>211.28452615</v>
      </c>
      <c r="I100" s="1">
        <f ca="1">H100*('Updated Population'!I$92/'Updated Population'!H$92)</f>
        <v>215.94380498723905</v>
      </c>
      <c r="J100" s="1">
        <f ca="1">I100*('Updated Population'!J$92/'Updated Population'!I$92)</f>
        <v>220.0553928139245</v>
      </c>
      <c r="K100" s="1">
        <f ca="1">J100*('Updated Population'!K$92/'Updated Population'!J$92)</f>
        <v>223.81769036096406</v>
      </c>
    </row>
    <row r="101" spans="1:11" x14ac:dyDescent="0.2">
      <c r="A101" t="str">
        <f ca="1">OFFSET(Wellington_Reference,56,2)</f>
        <v>Local Ferry</v>
      </c>
      <c r="B101" s="4">
        <f ca="1">OFFSET(Wellington_Reference,56,6)</f>
        <v>0</v>
      </c>
      <c r="C101" s="4">
        <f ca="1">OFFSET(Wellington_Reference,57,6)</f>
        <v>0</v>
      </c>
      <c r="D101" s="4">
        <f ca="1">OFFSET(Wellington_Reference,58,6)</f>
        <v>0</v>
      </c>
      <c r="E101" s="4">
        <f ca="1">OFFSET(Wellington_Reference,59,6)</f>
        <v>0</v>
      </c>
      <c r="F101" s="4">
        <f ca="1">OFFSET(Wellington_Reference,60,6)</f>
        <v>0</v>
      </c>
      <c r="G101" s="4">
        <f ca="1">OFFSET(Wellington_Reference,61,6)</f>
        <v>0</v>
      </c>
      <c r="H101" s="4">
        <f ca="1">OFFSET(Wellington_Reference,62,6)</f>
        <v>0</v>
      </c>
      <c r="I101" s="1">
        <f ca="1">H101*('Updated Population'!I$92/'Updated Population'!H$92)</f>
        <v>0</v>
      </c>
      <c r="J101" s="1">
        <f ca="1">I101*('Updated Population'!J$92/'Updated Population'!I$92)</f>
        <v>0</v>
      </c>
      <c r="K101" s="1">
        <f ca="1">J101*('Updated Population'!K$92/'Updated Population'!J$92)</f>
        <v>0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OFFSET(Wellington_Reference,63,6)</f>
        <v>0</v>
      </c>
      <c r="C102" s="4">
        <f ca="1">OFFSET(Wellington_Reference,64,6)</f>
        <v>0</v>
      </c>
      <c r="D102" s="4">
        <f ca="1">OFFSET(Wellington_Reference,65,6)</f>
        <v>0</v>
      </c>
      <c r="E102" s="4">
        <f ca="1">OFFSET(Wellington_Reference,66,6)</f>
        <v>0</v>
      </c>
      <c r="F102" s="4">
        <f ca="1">OFFSET(Wellington_Reference,67,6)</f>
        <v>0</v>
      </c>
      <c r="G102" s="4">
        <f ca="1">OFFSET(Wellington_Reference,68,6)</f>
        <v>0</v>
      </c>
      <c r="H102" s="4">
        <f ca="1">OFFSET(Wellington_Reference,69,6)</f>
        <v>0</v>
      </c>
      <c r="I102" s="1">
        <f ca="1">H102*('Updated Population'!I$92/'Updated Population'!H$92)</f>
        <v>0</v>
      </c>
      <c r="J102" s="1">
        <f ca="1">I102*('Updated Population'!J$92/'Updated Population'!I$92)</f>
        <v>0</v>
      </c>
      <c r="K102" s="1">
        <f ca="1">J102*('Updated Population'!K$92/'Updated Population'!J$92)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OFFSET(Nelson_Reference,0,6)</f>
        <v>28.582749250999999</v>
      </c>
      <c r="C104" s="4">
        <f ca="1">OFFSET(Nelson_Reference,1,6)</f>
        <v>29.223003223999999</v>
      </c>
      <c r="D104" s="4">
        <f ca="1">OFFSET(Nelson_Reference,2,6)</f>
        <v>29.909322236000001</v>
      </c>
      <c r="E104" s="4">
        <f ca="1">OFFSET(Nelson_Reference,3,6)</f>
        <v>30.705946702999999</v>
      </c>
      <c r="F104" s="4">
        <f ca="1">OFFSET(Nelson_Reference,4,6)</f>
        <v>30.792554568</v>
      </c>
      <c r="G104" s="4">
        <f ca="1">OFFSET(Nelson_Reference,5,6)</f>
        <v>30.26086823</v>
      </c>
      <c r="H104" s="4">
        <f ca="1">OFFSET(Nelson_Reference,6,6)</f>
        <v>29.572586281</v>
      </c>
      <c r="I104" s="1">
        <f ca="1">H104*('Updated Population'!I$103/'Updated Population'!H$103)</f>
        <v>29.527565385999278</v>
      </c>
      <c r="J104" s="1">
        <f ca="1">I104*('Updated Population'!J$103/'Updated Population'!I$103)</f>
        <v>29.390152294000316</v>
      </c>
      <c r="K104" s="1">
        <f ca="1">J104*('Updated Population'!K$103/'Updated Population'!J$103)</f>
        <v>29.191890926266758</v>
      </c>
    </row>
    <row r="105" spans="1:11" x14ac:dyDescent="0.2">
      <c r="A105" t="str">
        <f ca="1">OFFSET(Nelson_Reference,7,2)</f>
        <v>Cyclist</v>
      </c>
      <c r="B105" s="4">
        <f ca="1">OFFSET(Nelson_Reference,7,6)</f>
        <v>10.809874027999999</v>
      </c>
      <c r="C105" s="4">
        <f ca="1">OFFSET(Nelson_Reference,8,6)</f>
        <v>10.927844695999999</v>
      </c>
      <c r="D105" s="4">
        <f ca="1">OFFSET(Nelson_Reference,9,6)</f>
        <v>11.048346832</v>
      </c>
      <c r="E105" s="4">
        <f ca="1">OFFSET(Nelson_Reference,10,6)</f>
        <v>11.202897709</v>
      </c>
      <c r="F105" s="4">
        <f ca="1">OFFSET(Nelson_Reference,11,6)</f>
        <v>11.484674853</v>
      </c>
      <c r="G105" s="4">
        <f ca="1">OFFSET(Nelson_Reference,12,6)</f>
        <v>11.990854323000001</v>
      </c>
      <c r="H105" s="4">
        <f ca="1">OFFSET(Nelson_Reference,13,6)</f>
        <v>12.537835664999999</v>
      </c>
      <c r="I105" s="1">
        <f ca="1">H105*('Updated Population'!I$103/'Updated Population'!H$103)</f>
        <v>12.51874823796042</v>
      </c>
      <c r="J105" s="1">
        <f ca="1">I105*('Updated Population'!J$103/'Updated Population'!I$103)</f>
        <v>12.460489459058508</v>
      </c>
      <c r="K105" s="1">
        <f ca="1">J105*('Updated Population'!K$103/'Updated Population'!J$103)</f>
        <v>12.376432947269461</v>
      </c>
    </row>
    <row r="106" spans="1:11" x14ac:dyDescent="0.2">
      <c r="A106" t="str">
        <f ca="1">OFFSET(Nelson_Reference,14,2)</f>
        <v>Light Vehicle Driver</v>
      </c>
      <c r="B106" s="4">
        <f ca="1">OFFSET(Nelson_Reference,14,6)</f>
        <v>1012.1329009999999</v>
      </c>
      <c r="C106" s="4">
        <f ca="1">OFFSET(Nelson_Reference,15,6)</f>
        <v>1028.5948108</v>
      </c>
      <c r="D106" s="4">
        <f ca="1">OFFSET(Nelson_Reference,16,6)</f>
        <v>1024.2315793</v>
      </c>
      <c r="E106" s="4">
        <f ca="1">OFFSET(Nelson_Reference,17,6)</f>
        <v>1019.5234944</v>
      </c>
      <c r="F106" s="4">
        <f ca="1">OFFSET(Nelson_Reference,18,6)</f>
        <v>1012.1796174999999</v>
      </c>
      <c r="G106" s="4">
        <f ca="1">OFFSET(Nelson_Reference,19,6)</f>
        <v>995.71386820999999</v>
      </c>
      <c r="H106" s="4">
        <f ca="1">OFFSET(Nelson_Reference,20,6)</f>
        <v>976.86665338</v>
      </c>
      <c r="I106" s="1">
        <f ca="1">H106*('Updated Population'!I$103/'Updated Population'!H$103)</f>
        <v>975.37948514203686</v>
      </c>
      <c r="J106" s="1">
        <f ca="1">I106*('Updated Population'!J$103/'Updated Population'!I$103)</f>
        <v>970.84033979857156</v>
      </c>
      <c r="K106" s="1">
        <f ca="1">J106*('Updated Population'!K$103/'Updated Population'!J$103)</f>
        <v>964.29120280554309</v>
      </c>
    </row>
    <row r="107" spans="1:11" x14ac:dyDescent="0.2">
      <c r="A107" t="str">
        <f ca="1">OFFSET(Nelson_Reference,21,2)</f>
        <v>Light Vehicle Passenger</v>
      </c>
      <c r="B107" s="4">
        <f ca="1">OFFSET(Nelson_Reference,21,6)</f>
        <v>528.66856442999995</v>
      </c>
      <c r="C107" s="4">
        <f ca="1">OFFSET(Nelson_Reference,22,6)</f>
        <v>518.69765365000001</v>
      </c>
      <c r="D107" s="4">
        <f ca="1">OFFSET(Nelson_Reference,23,6)</f>
        <v>505.09320416000003</v>
      </c>
      <c r="E107" s="4">
        <f ca="1">OFFSET(Nelson_Reference,24,6)</f>
        <v>496.04773997000001</v>
      </c>
      <c r="F107" s="4">
        <f ca="1">OFFSET(Nelson_Reference,25,6)</f>
        <v>482.45954670999998</v>
      </c>
      <c r="G107" s="4">
        <f ca="1">OFFSET(Nelson_Reference,26,6)</f>
        <v>462.00135805999997</v>
      </c>
      <c r="H107" s="4">
        <f ca="1">OFFSET(Nelson_Reference,27,6)</f>
        <v>441.12408691000002</v>
      </c>
      <c r="I107" s="1">
        <f ca="1">H107*('Updated Population'!I$103/'Updated Population'!H$103)</f>
        <v>440.45252572118966</v>
      </c>
      <c r="J107" s="1">
        <f ca="1">I107*('Updated Population'!J$103/'Updated Population'!I$103)</f>
        <v>438.40278194289635</v>
      </c>
      <c r="K107" s="1">
        <f ca="1">J107*('Updated Population'!K$103/'Updated Population'!J$103)</f>
        <v>435.445385387182</v>
      </c>
    </row>
    <row r="108" spans="1:11" x14ac:dyDescent="0.2">
      <c r="A108" t="str">
        <f ca="1">OFFSET(Nelson_Reference,28,2)</f>
        <v>Taxi/Vehicle Share</v>
      </c>
      <c r="B108" s="4">
        <f ca="1">OFFSET(Nelson_Reference,28,6)</f>
        <v>2.5483198348</v>
      </c>
      <c r="C108" s="4">
        <f ca="1">OFFSET(Nelson_Reference,29,6)</f>
        <v>2.8940678991</v>
      </c>
      <c r="D108" s="4">
        <f ca="1">OFFSET(Nelson_Reference,30,6)</f>
        <v>3.1140356643999998</v>
      </c>
      <c r="E108" s="4">
        <f ca="1">OFFSET(Nelson_Reference,31,6)</f>
        <v>3.2140099964000002</v>
      </c>
      <c r="F108" s="4">
        <f ca="1">OFFSET(Nelson_Reference,32,6)</f>
        <v>3.2916756289000002</v>
      </c>
      <c r="G108" s="4">
        <f ca="1">OFFSET(Nelson_Reference,33,6)</f>
        <v>3.2651894737</v>
      </c>
      <c r="H108" s="4">
        <f ca="1">OFFSET(Nelson_Reference,34,6)</f>
        <v>3.2335409019000001</v>
      </c>
      <c r="I108" s="1">
        <f ca="1">H108*('Updated Population'!I$103/'Updated Population'!H$103)</f>
        <v>3.2286182041000275</v>
      </c>
      <c r="J108" s="1">
        <f ca="1">I108*('Updated Population'!J$103/'Updated Population'!I$103)</f>
        <v>3.2135931112923459</v>
      </c>
      <c r="K108" s="1">
        <f ca="1">J108*('Updated Population'!K$103/'Updated Population'!J$103)</f>
        <v>3.1919147150999576</v>
      </c>
    </row>
    <row r="109" spans="1:11" x14ac:dyDescent="0.2">
      <c r="A109" t="str">
        <f ca="1">OFFSET(Nelson_Reference,35,2)</f>
        <v>Motorcyclist</v>
      </c>
      <c r="B109" s="4">
        <f ca="1">OFFSET(Nelson_Reference,35,6)</f>
        <v>34.127286998000002</v>
      </c>
      <c r="C109" s="4">
        <f ca="1">OFFSET(Nelson_Reference,36,6)</f>
        <v>34.721545933000002</v>
      </c>
      <c r="D109" s="4">
        <f ca="1">OFFSET(Nelson_Reference,37,6)</f>
        <v>35.043246846999999</v>
      </c>
      <c r="E109" s="4">
        <f ca="1">OFFSET(Nelson_Reference,38,6)</f>
        <v>34.757693033999999</v>
      </c>
      <c r="F109" s="4">
        <f ca="1">OFFSET(Nelson_Reference,39,6)</f>
        <v>34.948549298000003</v>
      </c>
      <c r="G109" s="4">
        <f ca="1">OFFSET(Nelson_Reference,40,6)</f>
        <v>34.895553888999999</v>
      </c>
      <c r="H109" s="4">
        <f ca="1">OFFSET(Nelson_Reference,41,6)</f>
        <v>34.684591892</v>
      </c>
      <c r="I109" s="1">
        <f ca="1">H109*('Updated Population'!I$103/'Updated Population'!H$103)</f>
        <v>34.63178855059202</v>
      </c>
      <c r="J109" s="1">
        <f ca="1">I109*('Updated Population'!J$103/'Updated Population'!I$103)</f>
        <v>34.470621820996101</v>
      </c>
      <c r="K109" s="1">
        <f ca="1">J109*('Updated Population'!K$103/'Updated Population'!J$103)</f>
        <v>34.238088400941244</v>
      </c>
    </row>
    <row r="110" spans="1:11" x14ac:dyDescent="0.2">
      <c r="A110" t="str">
        <f ca="1">OFFSET(Nelson_Reference,42,2)</f>
        <v>Local Train</v>
      </c>
      <c r="B110" s="4">
        <f ca="1">OFFSET(Nelson_Reference,42,6)</f>
        <v>5.3733082988999996</v>
      </c>
      <c r="C110" s="4">
        <f ca="1">OFFSET(Nelson_Reference,43,6)</f>
        <v>4.7452869850999999</v>
      </c>
      <c r="D110" s="4">
        <f ca="1">OFFSET(Nelson_Reference,44,6)</f>
        <v>3.9403736078999998</v>
      </c>
      <c r="E110" s="4">
        <f ca="1">OFFSET(Nelson_Reference,45,6)</f>
        <v>2.9623433819999998</v>
      </c>
      <c r="F110" s="4">
        <f ca="1">OFFSET(Nelson_Reference,46,6)</f>
        <v>2.4208706455</v>
      </c>
      <c r="G110" s="4">
        <f ca="1">OFFSET(Nelson_Reference,47,6)</f>
        <v>2.1472153604000002</v>
      </c>
      <c r="H110" s="4">
        <f ca="1">OFFSET(Nelson_Reference,48,6)</f>
        <v>1.7956708403999999</v>
      </c>
      <c r="I110" s="1">
        <f ca="1">H110*('Updated Population'!I$103/'Updated Population'!H$103)</f>
        <v>1.7929371360295625</v>
      </c>
      <c r="J110" s="1">
        <f ca="1">I110*('Updated Population'!J$103/'Updated Population'!I$103)</f>
        <v>1.7845933043454776</v>
      </c>
      <c r="K110" s="1">
        <f ca="1">J110*('Updated Population'!K$103/'Updated Population'!J$103)</f>
        <v>1.7725547172082508</v>
      </c>
    </row>
    <row r="111" spans="1:11" x14ac:dyDescent="0.2">
      <c r="A111" t="str">
        <f ca="1">OFFSET(Nelson_Reference,49,2)</f>
        <v>Local Bus</v>
      </c>
      <c r="B111" s="4">
        <f ca="1">OFFSET(Nelson_Reference,49,6)</f>
        <v>19.807462209000001</v>
      </c>
      <c r="C111" s="4">
        <f ca="1">OFFSET(Nelson_Reference,50,6)</f>
        <v>17.975237409999998</v>
      </c>
      <c r="D111" s="4">
        <f ca="1">OFFSET(Nelson_Reference,51,6)</f>
        <v>16.629701012000002</v>
      </c>
      <c r="E111" s="4">
        <f ca="1">OFFSET(Nelson_Reference,52,6)</f>
        <v>16.103004420000001</v>
      </c>
      <c r="F111" s="4">
        <f ca="1">OFFSET(Nelson_Reference,53,6)</f>
        <v>14.933646592000001</v>
      </c>
      <c r="G111" s="4">
        <f ca="1">OFFSET(Nelson_Reference,54,6)</f>
        <v>14.647993722000001</v>
      </c>
      <c r="H111" s="4">
        <f ca="1">OFFSET(Nelson_Reference,55,6)</f>
        <v>14.391691438000001</v>
      </c>
      <c r="I111" s="1">
        <f ca="1">H111*('Updated Population'!I$103/'Updated Population'!H$103)</f>
        <v>14.369781726655974</v>
      </c>
      <c r="J111" s="1">
        <f ca="1">I111*('Updated Population'!J$103/'Updated Population'!I$103)</f>
        <v>14.302908751773112</v>
      </c>
      <c r="K111" s="1">
        <f ca="1">J111*('Updated Population'!K$103/'Updated Population'!J$103)</f>
        <v>14.206423567779229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OFFSET(Nelson_Reference,56,6)</f>
        <v>0</v>
      </c>
      <c r="C113" s="4">
        <f ca="1">OFFSET(Nelson_Reference,57,6)</f>
        <v>0</v>
      </c>
      <c r="D113" s="4">
        <f ca="1">OFFSET(Nelson_Reference,58,6)</f>
        <v>0</v>
      </c>
      <c r="E113" s="4">
        <f ca="1">OFFSET(Nelson_Reference,59,6)</f>
        <v>0</v>
      </c>
      <c r="F113" s="4">
        <f ca="1">OFFSET(Nelson_Reference,60,6)</f>
        <v>0</v>
      </c>
      <c r="G113" s="4">
        <f ca="1">OFFSET(Nelson_Reference,61,6)</f>
        <v>0</v>
      </c>
      <c r="H113" s="4">
        <f ca="1">OFFSET(Nelson_Reference,62,6)</f>
        <v>0</v>
      </c>
      <c r="I113" s="1">
        <f ca="1">H113*('Updated Population'!I$103/'Updated Population'!H$103)</f>
        <v>0</v>
      </c>
      <c r="J113" s="1">
        <f ca="1">I113*('Updated Population'!J$103/'Updated Population'!I$103)</f>
        <v>0</v>
      </c>
      <c r="K113" s="1">
        <f ca="1">J113*('Updated Population'!K$103/'Updated Population'!J$103)</f>
        <v>0</v>
      </c>
    </row>
    <row r="114" spans="1:11" x14ac:dyDescent="0.2">
      <c r="A114" t="str">
        <f ca="1">OFFSET(West_Coast_Reference,0,0)</f>
        <v>12 WEST COAST</v>
      </c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OFFSET(West_Coast_Reference,0,6)</f>
        <v>4.6474841125999999</v>
      </c>
      <c r="C115" s="4">
        <f ca="1">OFFSET(West_Coast_Reference,1,6)</f>
        <v>4.4011420036000004</v>
      </c>
      <c r="D115" s="4">
        <f ca="1">OFFSET(West_Coast_Reference,2,6)</f>
        <v>4.0093442920999998</v>
      </c>
      <c r="E115" s="4">
        <f ca="1">OFFSET(West_Coast_Reference,3,6)</f>
        <v>3.7960263176</v>
      </c>
      <c r="F115" s="4">
        <f ca="1">OFFSET(West_Coast_Reference,4,6)</f>
        <v>3.5662759305999998</v>
      </c>
      <c r="G115" s="4">
        <f ca="1">OFFSET(West_Coast_Reference,5,6)</f>
        <v>3.3439557676999998</v>
      </c>
      <c r="H115" s="4">
        <f ca="1">OFFSET(West_Coast_Reference,6,6)</f>
        <v>3.1616946862000002</v>
      </c>
      <c r="I115" s="1">
        <f ca="1">H115*('Updated Population'!I$114/'Updated Population'!H$114)</f>
        <v>3.0803840907958211</v>
      </c>
      <c r="J115" s="1">
        <f ca="1">I115*('Updated Population'!J$114/'Updated Population'!I$114)</f>
        <v>2.9916113692163551</v>
      </c>
      <c r="K115" s="1">
        <f ca="1">J115*('Updated Population'!K$114/'Updated Population'!J$114)</f>
        <v>2.8991530779823731</v>
      </c>
    </row>
    <row r="116" spans="1:11" x14ac:dyDescent="0.2">
      <c r="A116" t="str">
        <f ca="1">OFFSET(West_Coast_Reference,7,2)</f>
        <v>Cyclist</v>
      </c>
      <c r="B116" s="4">
        <f ca="1">OFFSET(West_Coast_Reference,7,6)</f>
        <v>1.9571055828999999</v>
      </c>
      <c r="C116" s="4">
        <f ca="1">OFFSET(West_Coast_Reference,8,6)</f>
        <v>1.9612478901999999</v>
      </c>
      <c r="D116" s="4">
        <f ca="1">OFFSET(West_Coast_Reference,9,6)</f>
        <v>1.8979731067000001</v>
      </c>
      <c r="E116" s="4">
        <f ca="1">OFFSET(West_Coast_Reference,10,6)</f>
        <v>1.8095446798999999</v>
      </c>
      <c r="F116" s="4">
        <f ca="1">OFFSET(West_Coast_Reference,11,6)</f>
        <v>1.7306281213000001</v>
      </c>
      <c r="G116" s="4">
        <f ca="1">OFFSET(West_Coast_Reference,12,6)</f>
        <v>1.7590798623999999</v>
      </c>
      <c r="H116" s="4">
        <f ca="1">OFFSET(West_Coast_Reference,13,6)</f>
        <v>1.7746995055000001</v>
      </c>
      <c r="I116" s="1">
        <f ca="1">H116*('Updated Population'!I$114/'Updated Population'!H$114)</f>
        <v>1.7290588324503384</v>
      </c>
      <c r="J116" s="1">
        <f ca="1">I116*('Updated Population'!J$114/'Updated Population'!I$114)</f>
        <v>1.6792295729153772</v>
      </c>
      <c r="K116" s="1">
        <f ca="1">J116*('Updated Population'!K$114/'Updated Population'!J$114)</f>
        <v>1.6273315561813404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OFFSET(West_Coast_Reference,14,6)</f>
        <v>226.22434741999999</v>
      </c>
      <c r="C117" s="4">
        <f ca="1">OFFSET(West_Coast_Reference,15,6)</f>
        <v>226.80550656</v>
      </c>
      <c r="D117" s="4">
        <f ca="1">OFFSET(West_Coast_Reference,16,6)</f>
        <v>218.44282138</v>
      </c>
      <c r="E117" s="4">
        <f ca="1">OFFSET(West_Coast_Reference,17,6)</f>
        <v>214.78774594000001</v>
      </c>
      <c r="F117" s="4">
        <f ca="1">OFFSET(West_Coast_Reference,18,6)</f>
        <v>206.90828934000001</v>
      </c>
      <c r="G117" s="4">
        <f ca="1">OFFSET(West_Coast_Reference,19,6)</f>
        <v>202.88422671999999</v>
      </c>
      <c r="H117" s="4">
        <f ca="1">OFFSET(West_Coast_Reference,20,6)</f>
        <v>198.90086525999999</v>
      </c>
      <c r="I117" s="1">
        <f ca="1">H117*('Updated Population'!I$114/'Updated Population'!H$114)</f>
        <v>193.78565035601608</v>
      </c>
      <c r="J117" s="1">
        <f ca="1">I117*('Updated Population'!J$114/'Updated Population'!I$114)</f>
        <v>188.2009962745486</v>
      </c>
      <c r="K117" s="1">
        <f ca="1">J117*('Updated Population'!K$114/'Updated Population'!J$114)</f>
        <v>182.38448457682904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OFFSET(West_Coast_Reference,21,6)</f>
        <v>160.37072223999999</v>
      </c>
      <c r="C118" s="4">
        <f ca="1">OFFSET(West_Coast_Reference,22,6)</f>
        <v>157.27947259000001</v>
      </c>
      <c r="D118" s="4">
        <f ca="1">OFFSET(West_Coast_Reference,23,6)</f>
        <v>147.75142457999999</v>
      </c>
      <c r="E118" s="4">
        <f ca="1">OFFSET(West_Coast_Reference,24,6)</f>
        <v>144.16348667</v>
      </c>
      <c r="F118" s="4">
        <f ca="1">OFFSET(West_Coast_Reference,25,6)</f>
        <v>134.63932546999999</v>
      </c>
      <c r="G118" s="4">
        <f ca="1">OFFSET(West_Coast_Reference,26,6)</f>
        <v>125.26873831</v>
      </c>
      <c r="H118" s="4">
        <f ca="1">OFFSET(West_Coast_Reference,27,6)</f>
        <v>116.29315083</v>
      </c>
      <c r="I118" s="1">
        <f ca="1">H118*('Updated Population'!I$114/'Updated Population'!H$114)</f>
        <v>113.30239230524815</v>
      </c>
      <c r="J118" s="1">
        <f ca="1">I118*('Updated Population'!J$114/'Updated Population'!I$114)</f>
        <v>110.0371625709254</v>
      </c>
      <c r="K118" s="1">
        <f ca="1">J118*('Updated Population'!K$114/'Updated Population'!J$114)</f>
        <v>106.63637056691299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OFFSET(West_Coast_Reference,28,6)</f>
        <v>1.6916956777000001</v>
      </c>
      <c r="C119" s="4">
        <f ca="1">OFFSET(West_Coast_Reference,29,6)</f>
        <v>1.9138726968999999</v>
      </c>
      <c r="D119" s="4">
        <f ca="1">OFFSET(West_Coast_Reference,30,6)</f>
        <v>2.0093999887999998</v>
      </c>
      <c r="E119" s="4">
        <f ca="1">OFFSET(West_Coast_Reference,31,6)</f>
        <v>2.1362118827000001</v>
      </c>
      <c r="F119" s="4">
        <f ca="1">OFFSET(West_Coast_Reference,32,6)</f>
        <v>2.0418595145</v>
      </c>
      <c r="G119" s="4">
        <f ca="1">OFFSET(West_Coast_Reference,33,6)</f>
        <v>1.9973186486000001</v>
      </c>
      <c r="H119" s="4">
        <f ca="1">OFFSET(West_Coast_Reference,34,6)</f>
        <v>1.9177899965</v>
      </c>
      <c r="I119" s="1">
        <f ca="1">H119*('Updated Population'!I$114/'Updated Population'!H$114)</f>
        <v>1.8684694067681018</v>
      </c>
      <c r="J119" s="1">
        <f ca="1">I119*('Updated Population'!J$114/'Updated Population'!I$114)</f>
        <v>1.8146225131542855</v>
      </c>
      <c r="K119" s="1">
        <f ca="1">J119*('Updated Population'!K$114/'Updated Population'!J$114)</f>
        <v>1.7585400625634831</v>
      </c>
    </row>
    <row r="120" spans="1:11" x14ac:dyDescent="0.2">
      <c r="A120" t="str">
        <f ca="1">OFFSET(West_Coast_Reference,35,2)</f>
        <v>Motorcyclist</v>
      </c>
      <c r="B120" s="4">
        <f ca="1">OFFSET(West_Coast_Reference,35,6)</f>
        <v>0.29466348679999999</v>
      </c>
      <c r="C120" s="4">
        <f ca="1">OFFSET(West_Coast_Reference,36,6)</f>
        <v>0.33465396139999998</v>
      </c>
      <c r="D120" s="4">
        <f ca="1">OFFSET(West_Coast_Reference,37,6)</f>
        <v>0.33398905550000002</v>
      </c>
      <c r="E120" s="4">
        <f ca="1">OFFSET(West_Coast_Reference,38,6)</f>
        <v>0.35008394459999997</v>
      </c>
      <c r="F120" s="4">
        <f ca="1">OFFSET(West_Coast_Reference,39,6)</f>
        <v>0.3796002819</v>
      </c>
      <c r="G120" s="4">
        <f ca="1">OFFSET(West_Coast_Reference,40,6)</f>
        <v>0.41878084110000002</v>
      </c>
      <c r="H120" s="4">
        <f ca="1">OFFSET(West_Coast_Reference,41,6)</f>
        <v>0.44453855530000003</v>
      </c>
      <c r="I120" s="1">
        <f ca="1">H120*('Updated Population'!I$114/'Updated Population'!H$114)</f>
        <v>0.43310617545341856</v>
      </c>
      <c r="J120" s="1">
        <f ca="1">I120*('Updated Population'!J$114/'Updated Population'!I$114)</f>
        <v>0.42062461055936645</v>
      </c>
      <c r="K120" s="1">
        <f ca="1">J120*('Updated Population'!K$114/'Updated Population'!J$114)</f>
        <v>0.40762484957989625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OFFSET(West_Coast_Reference,42,6)</f>
        <v>6.0600083682000001</v>
      </c>
      <c r="C122" s="4">
        <f ca="1">OFFSET(West_Coast_Reference,43,6)</f>
        <v>5.7047923351999996</v>
      </c>
      <c r="D122" s="4">
        <f ca="1">OFFSET(West_Coast_Reference,44,6)</f>
        <v>5.1650288985000001</v>
      </c>
      <c r="E122" s="4">
        <f ca="1">OFFSET(West_Coast_Reference,45,6)</f>
        <v>4.8200254951000003</v>
      </c>
      <c r="F122" s="4">
        <f ca="1">OFFSET(West_Coast_Reference,46,6)</f>
        <v>4.4843690324000001</v>
      </c>
      <c r="G122" s="4">
        <f ca="1">OFFSET(West_Coast_Reference,47,6)</f>
        <v>4.1869241964999997</v>
      </c>
      <c r="H122" s="4">
        <f ca="1">OFFSET(West_Coast_Reference,48,6)</f>
        <v>3.9454781720000001</v>
      </c>
      <c r="I122" s="1">
        <f ca="1">H122*('Updated Population'!I$114/'Updated Population'!H$114)</f>
        <v>3.8440106961175999</v>
      </c>
      <c r="J122" s="1">
        <f ca="1">I122*('Updated Population'!J$114/'Updated Population'!I$114)</f>
        <v>3.7332312344606686</v>
      </c>
      <c r="K122" s="1">
        <f ca="1">J122*('Updated Population'!K$114/'Updated Population'!J$114)</f>
        <v>3.6178525511626511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OFFSET(West_Coast_Reference,49,6)</f>
        <v>0</v>
      </c>
      <c r="C124" s="4">
        <f ca="1">OFFSET(West_Coast_Reference,50,6)</f>
        <v>0</v>
      </c>
      <c r="D124" s="4">
        <f ca="1">OFFSET(West_Coast_Reference,51,6)</f>
        <v>0</v>
      </c>
      <c r="E124" s="4">
        <f ca="1">OFFSET(West_Coast_Reference,52,6)</f>
        <v>0</v>
      </c>
      <c r="F124" s="4">
        <f ca="1">OFFSET(West_Coast_Reference,53,6)</f>
        <v>0</v>
      </c>
      <c r="G124" s="4">
        <f ca="1">OFFSET(West_Coast_Reference,54,6)</f>
        <v>0</v>
      </c>
      <c r="H124" s="4">
        <f ca="1">OFFSET(West_Coast_Reference,55,6)</f>
        <v>0</v>
      </c>
      <c r="I124" s="1">
        <f ca="1">H124*('Updated Population'!I$114/'Updated Population'!H$114)</f>
        <v>0</v>
      </c>
      <c r="J124" s="1">
        <f ca="1">I124*('Updated Population'!J$114/'Updated Population'!I$114)</f>
        <v>0</v>
      </c>
      <c r="K124" s="1">
        <f ca="1">J124*('Updated Population'!K$114/'Updated Population'!J$114)</f>
        <v>0</v>
      </c>
    </row>
    <row r="125" spans="1:11" x14ac:dyDescent="0.2">
      <c r="A125" t="str">
        <f ca="1">OFFSET(Canterbury_Reference,0,0)</f>
        <v>13 CANTERBURY</v>
      </c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OFFSET(Canterbury_Reference,0,6)</f>
        <v>113.37513976</v>
      </c>
      <c r="C126" s="4">
        <f ca="1">OFFSET(Canterbury_Reference,1,6)</f>
        <v>120.90088315</v>
      </c>
      <c r="D126" s="4">
        <f ca="1">OFFSET(Canterbury_Reference,2,6)</f>
        <v>123.88668948</v>
      </c>
      <c r="E126" s="4">
        <f ca="1">OFFSET(Canterbury_Reference,3,6)</f>
        <v>126.12516033999999</v>
      </c>
      <c r="F126" s="4">
        <f ca="1">OFFSET(Canterbury_Reference,4,6)</f>
        <v>126.63471005</v>
      </c>
      <c r="G126" s="4">
        <f ca="1">OFFSET(Canterbury_Reference,5,6)</f>
        <v>126.42234645000001</v>
      </c>
      <c r="H126" s="4">
        <f ca="1">OFFSET(Canterbury_Reference,6,6)</f>
        <v>125.82369511</v>
      </c>
      <c r="I126" s="1">
        <f ca="1">H126*('Updated Population'!I$125/'Updated Population'!H$125)</f>
        <v>130.07287124248245</v>
      </c>
      <c r="J126" s="1">
        <f ca="1">I126*('Updated Population'!J$125/'Updated Population'!I$125)</f>
        <v>134.04860184859268</v>
      </c>
      <c r="K126" s="1">
        <f ca="1">J126*('Updated Population'!K$125/'Updated Population'!J$125)</f>
        <v>137.86011896263079</v>
      </c>
    </row>
    <row r="127" spans="1:11" x14ac:dyDescent="0.2">
      <c r="A127" t="str">
        <f ca="1">OFFSET(Canterbury_Reference,7,2)</f>
        <v>Cyclist</v>
      </c>
      <c r="B127" s="4">
        <f ca="1">OFFSET(Canterbury_Reference,7,6)</f>
        <v>97.023488555</v>
      </c>
      <c r="C127" s="4">
        <f ca="1">OFFSET(Canterbury_Reference,8,6)</f>
        <v>108.33572852</v>
      </c>
      <c r="D127" s="4">
        <f ca="1">OFFSET(Canterbury_Reference,9,6)</f>
        <v>112.15091734000001</v>
      </c>
      <c r="E127" s="4">
        <f ca="1">OFFSET(Canterbury_Reference,10,6)</f>
        <v>114.19660073</v>
      </c>
      <c r="F127" s="4">
        <f ca="1">OFFSET(Canterbury_Reference,11,6)</f>
        <v>117.52236007</v>
      </c>
      <c r="G127" s="4">
        <f ca="1">OFFSET(Canterbury_Reference,12,6)</f>
        <v>122.09460375</v>
      </c>
      <c r="H127" s="4">
        <f ca="1">OFFSET(Canterbury_Reference,13,6)</f>
        <v>126.94707174</v>
      </c>
      <c r="I127" s="1">
        <f ca="1">H127*('Updated Population'!I$125/'Updated Population'!H$125)</f>
        <v>131.23418528291865</v>
      </c>
      <c r="J127" s="1">
        <f ca="1">I127*('Updated Population'!J$125/'Updated Population'!I$125)</f>
        <v>135.24541192851632</v>
      </c>
      <c r="K127" s="1">
        <f ca="1">J127*('Updated Population'!K$125/'Updated Population'!J$125)</f>
        <v>139.09095895438472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OFFSET(Canterbury_Reference,14,6)</f>
        <v>3777.041205</v>
      </c>
      <c r="C128" s="4">
        <f ca="1">OFFSET(Canterbury_Reference,15,6)</f>
        <v>4247.5570102000001</v>
      </c>
      <c r="D128" s="4">
        <f ca="1">OFFSET(Canterbury_Reference,16,6)</f>
        <v>4502.1845037000003</v>
      </c>
      <c r="E128" s="4">
        <f ca="1">OFFSET(Canterbury_Reference,17,6)</f>
        <v>4782.0868641999996</v>
      </c>
      <c r="F128" s="4">
        <f ca="1">OFFSET(Canterbury_Reference,18,6)</f>
        <v>5046.7851957000003</v>
      </c>
      <c r="G128" s="4">
        <f ca="1">OFFSET(Canterbury_Reference,19,6)</f>
        <v>5250.0981497000002</v>
      </c>
      <c r="H128" s="4">
        <f ca="1">OFFSET(Canterbury_Reference,20,6)</f>
        <v>5432.0835245999997</v>
      </c>
      <c r="I128" s="1">
        <f ca="1">H128*('Updated Population'!I$125/'Updated Population'!H$125)</f>
        <v>5615.5297319475303</v>
      </c>
      <c r="J128" s="1">
        <f ca="1">I128*('Updated Population'!J$125/'Updated Population'!I$125)</f>
        <v>5787.1706991343453</v>
      </c>
      <c r="K128" s="1">
        <f ca="1">J128*('Updated Population'!K$125/'Updated Population'!J$125)</f>
        <v>5951.7222114770457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OFFSET(Canterbury_Reference,21,6)</f>
        <v>2033.7115475000001</v>
      </c>
      <c r="C129" s="4">
        <f ca="1">OFFSET(Canterbury_Reference,22,6)</f>
        <v>2174.6305008999998</v>
      </c>
      <c r="D129" s="4">
        <f ca="1">OFFSET(Canterbury_Reference,23,6)</f>
        <v>2249.6574615999998</v>
      </c>
      <c r="E129" s="4">
        <f ca="1">OFFSET(Canterbury_Reference,24,6)</f>
        <v>2348.2215443999999</v>
      </c>
      <c r="F129" s="4">
        <f ca="1">OFFSET(Canterbury_Reference,25,6)</f>
        <v>2434.5643005000002</v>
      </c>
      <c r="G129" s="4">
        <f ca="1">OFFSET(Canterbury_Reference,26,6)</f>
        <v>2507.9346903999999</v>
      </c>
      <c r="H129" s="4">
        <f ca="1">OFFSET(Canterbury_Reference,27,6)</f>
        <v>2568.6781685999999</v>
      </c>
      <c r="I129" s="1">
        <f ca="1">H129*('Updated Population'!I$125/'Updated Population'!H$125)</f>
        <v>2655.424674943672</v>
      </c>
      <c r="J129" s="1">
        <f ca="1">I129*('Updated Population'!J$125/'Updated Population'!I$125)</f>
        <v>2736.5888181777595</v>
      </c>
      <c r="K129" s="1">
        <f ca="1">J129*('Updated Population'!K$125/'Updated Population'!J$125)</f>
        <v>2814.4005593725774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OFFSET(Canterbury_Reference,28,6)</f>
        <v>16.530142167000001</v>
      </c>
      <c r="C130" s="4">
        <f ca="1">OFFSET(Canterbury_Reference,29,6)</f>
        <v>19.080411046999998</v>
      </c>
      <c r="D130" s="4">
        <f ca="1">OFFSET(Canterbury_Reference,30,6)</f>
        <v>20.558174311999998</v>
      </c>
      <c r="E130" s="4">
        <f ca="1">OFFSET(Canterbury_Reference,31,6)</f>
        <v>21.589462450999999</v>
      </c>
      <c r="F130" s="4">
        <f ca="1">OFFSET(Canterbury_Reference,32,6)</f>
        <v>22.639840482</v>
      </c>
      <c r="G130" s="4">
        <f ca="1">OFFSET(Canterbury_Reference,33,6)</f>
        <v>23.394996935000002</v>
      </c>
      <c r="H130" s="4">
        <f ca="1">OFFSET(Canterbury_Reference,34,6)</f>
        <v>24.018800018</v>
      </c>
      <c r="I130" s="1">
        <f ca="1">H130*('Updated Population'!I$125/'Updated Population'!H$125)</f>
        <v>24.829935882974638</v>
      </c>
      <c r="J130" s="1">
        <f ca="1">I130*('Updated Population'!J$125/'Updated Population'!I$125)</f>
        <v>25.588873047156</v>
      </c>
      <c r="K130" s="1">
        <f ca="1">J130*('Updated Population'!K$125/'Updated Population'!J$125)</f>
        <v>26.316463086911476</v>
      </c>
    </row>
    <row r="131" spans="1:11" x14ac:dyDescent="0.2">
      <c r="A131" t="str">
        <f ca="1">OFFSET(Canterbury_Reference,35,2)</f>
        <v>Motorcyclist</v>
      </c>
      <c r="B131" s="4">
        <f ca="1">OFFSET(Canterbury_Reference,35,6)</f>
        <v>12.048552727000001</v>
      </c>
      <c r="C131" s="4">
        <f ca="1">OFFSET(Canterbury_Reference,36,6)</f>
        <v>12.899585403</v>
      </c>
      <c r="D131" s="4">
        <f ca="1">OFFSET(Canterbury_Reference,37,6)</f>
        <v>13.039425551000001</v>
      </c>
      <c r="E131" s="4">
        <f ca="1">OFFSET(Canterbury_Reference,38,6)</f>
        <v>13.192272951</v>
      </c>
      <c r="F131" s="4">
        <f ca="1">OFFSET(Canterbury_Reference,39,6)</f>
        <v>13.692956581000001</v>
      </c>
      <c r="G131" s="4">
        <f ca="1">OFFSET(Canterbury_Reference,40,6)</f>
        <v>14.566916087999999</v>
      </c>
      <c r="H131" s="4">
        <f ca="1">OFFSET(Canterbury_Reference,41,6)</f>
        <v>15.337670532000001</v>
      </c>
      <c r="I131" s="1">
        <f ca="1">H131*('Updated Population'!I$125/'Updated Population'!H$125)</f>
        <v>15.855637068394259</v>
      </c>
      <c r="J131" s="1">
        <f ca="1">I131*('Updated Population'!J$125/'Updated Population'!I$125)</f>
        <v>16.340271112142517</v>
      </c>
      <c r="K131" s="1">
        <f ca="1">J131*('Updated Population'!K$125/'Updated Population'!J$125)</f>
        <v>16.804887841694832</v>
      </c>
    </row>
    <row r="132" spans="1:11" x14ac:dyDescent="0.2">
      <c r="A132" t="str">
        <f ca="1">OFFSET(Canterbury_Reference,42,2)</f>
        <v>Local Train</v>
      </c>
      <c r="B132" s="4">
        <f ca="1">OFFSET(Canterbury_Reference,42,6)</f>
        <v>0</v>
      </c>
      <c r="C132" s="4">
        <f ca="1">OFFSET(Canterbury_Reference,43,6)</f>
        <v>0</v>
      </c>
      <c r="D132" s="4">
        <f ca="1">OFFSET(Canterbury_Reference,44,6)</f>
        <v>0</v>
      </c>
      <c r="E132" s="4">
        <f ca="1">OFFSET(Canterbury_Reference,45,6)</f>
        <v>0</v>
      </c>
      <c r="F132" s="4">
        <f ca="1">OFFSET(Canterbury_Reference,46,6)</f>
        <v>0</v>
      </c>
      <c r="G132" s="4">
        <f ca="1">OFFSET(Canterbury_Reference,47,6)</f>
        <v>0</v>
      </c>
      <c r="H132" s="4">
        <f ca="1">OFFSET(Canterbury_Reference,48,6)</f>
        <v>0</v>
      </c>
      <c r="I132" s="1">
        <f ca="1">H132*('Updated Population'!I$125/'Updated Population'!H$125)</f>
        <v>0</v>
      </c>
      <c r="J132" s="1">
        <f ca="1">I132*('Updated Population'!J$125/'Updated Population'!I$125)</f>
        <v>0</v>
      </c>
      <c r="K132" s="1">
        <f ca="1">J132*('Updated Population'!K$125/'Updated Population'!J$125)</f>
        <v>0</v>
      </c>
    </row>
    <row r="133" spans="1:11" x14ac:dyDescent="0.2">
      <c r="A133" t="str">
        <f ca="1">OFFSET(Canterbury_Reference,49,2)</f>
        <v>Local Bus</v>
      </c>
      <c r="B133" s="4">
        <f ca="1">OFFSET(Canterbury_Reference,49,6)</f>
        <v>174.53993166999999</v>
      </c>
      <c r="C133" s="4">
        <f ca="1">OFFSET(Canterbury_Reference,50,6)</f>
        <v>178.40772453</v>
      </c>
      <c r="D133" s="4">
        <f ca="1">OFFSET(Canterbury_Reference,51,6)</f>
        <v>176.99843539</v>
      </c>
      <c r="E133" s="4">
        <f ca="1">OFFSET(Canterbury_Reference,52,6)</f>
        <v>177.62065634000001</v>
      </c>
      <c r="F133" s="4">
        <f ca="1">OFFSET(Canterbury_Reference,53,6)</f>
        <v>174.22242717</v>
      </c>
      <c r="G133" s="4">
        <f ca="1">OFFSET(Canterbury_Reference,54,6)</f>
        <v>170.48597458</v>
      </c>
      <c r="H133" s="4">
        <f ca="1">OFFSET(Canterbury_Reference,55,6)</f>
        <v>166.02331469000001</v>
      </c>
      <c r="I133" s="1">
        <f ca="1">H133*('Updated Population'!I$125/'Updated Population'!H$125)</f>
        <v>171.63006710336404</v>
      </c>
      <c r="J133" s="1">
        <f ca="1">I133*('Updated Population'!J$125/'Updated Population'!I$125)</f>
        <v>176.87601042877543</v>
      </c>
      <c r="K133" s="1">
        <f ca="1">J133*('Updated Population'!K$125/'Updated Population'!J$125)</f>
        <v>181.90527542307598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OFFSET(Canterbury_Reference,56,6)</f>
        <v>0</v>
      </c>
      <c r="C135" s="4">
        <f ca="1">OFFSET(Canterbury_Reference,57,6)</f>
        <v>0</v>
      </c>
      <c r="D135" s="4">
        <f ca="1">OFFSET(Canterbury_Reference,58,6)</f>
        <v>0</v>
      </c>
      <c r="E135" s="4">
        <f ca="1">OFFSET(Canterbury_Reference,59,6)</f>
        <v>0</v>
      </c>
      <c r="F135" s="4">
        <f ca="1">OFFSET(Canterbury_Reference,60,6)</f>
        <v>0</v>
      </c>
      <c r="G135" s="4">
        <f ca="1">OFFSET(Canterbury_Reference,61,6)</f>
        <v>0</v>
      </c>
      <c r="H135" s="4">
        <f ca="1">OFFSET(Canterbury_Reference,62,6)</f>
        <v>0</v>
      </c>
      <c r="I135" s="1">
        <f ca="1">H135*('Updated Population'!I$125/'Updated Population'!H$125)</f>
        <v>0</v>
      </c>
      <c r="J135" s="1">
        <f ca="1">I135*('Updated Population'!J$125/'Updated Population'!I$125)</f>
        <v>0</v>
      </c>
      <c r="K135" s="1">
        <f ca="1">J135*('Updated Population'!K$125/'Updated Population'!J$125)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OFFSET(Otago_Reference,0,6)</f>
        <v>45.829100335</v>
      </c>
      <c r="C137" s="4">
        <f ca="1">OFFSET(Otago_Reference,1,6)</f>
        <v>47.386578110000002</v>
      </c>
      <c r="D137" s="4">
        <f ca="1">OFFSET(Otago_Reference,2,6)</f>
        <v>47.982172128999999</v>
      </c>
      <c r="E137" s="4">
        <f ca="1">OFFSET(Otago_Reference,3,6)</f>
        <v>48.494361771000001</v>
      </c>
      <c r="F137" s="4">
        <f ca="1">OFFSET(Otago_Reference,4,6)</f>
        <v>48.675925939000003</v>
      </c>
      <c r="G137" s="4">
        <f ca="1">OFFSET(Otago_Reference,5,6)</f>
        <v>48.666016442</v>
      </c>
      <c r="H137" s="4">
        <f ca="1">OFFSET(Otago_Reference,6,6)</f>
        <v>48.694438234000003</v>
      </c>
      <c r="I137" s="1">
        <f ca="1">H137*('Updated Population'!I$136/'Updated Population'!H$136)</f>
        <v>50.09968097436581</v>
      </c>
      <c r="J137" s="1">
        <f ca="1">I137*('Updated Population'!J$136/'Updated Population'!I$136)</f>
        <v>51.383417010901567</v>
      </c>
      <c r="K137" s="1">
        <f ca="1">J137*('Updated Population'!K$136/'Updated Population'!J$136)</f>
        <v>52.589133587286675</v>
      </c>
    </row>
    <row r="138" spans="1:11" x14ac:dyDescent="0.2">
      <c r="A138" t="str">
        <f ca="1">OFFSET(Otago_Reference,7,2)</f>
        <v>Cyclist</v>
      </c>
      <c r="B138" s="4">
        <f ca="1">OFFSET(Otago_Reference,7,6)</f>
        <v>16.325352069000001</v>
      </c>
      <c r="C138" s="4">
        <f ca="1">OFFSET(Otago_Reference,8,6)</f>
        <v>18.235197306</v>
      </c>
      <c r="D138" s="4">
        <f ca="1">OFFSET(Otago_Reference,9,6)</f>
        <v>19.362682027999998</v>
      </c>
      <c r="E138" s="4">
        <f ca="1">OFFSET(Otago_Reference,10,6)</f>
        <v>19.949418475000002</v>
      </c>
      <c r="F138" s="4">
        <f ca="1">OFFSET(Otago_Reference,11,6)</f>
        <v>20.437167242000001</v>
      </c>
      <c r="G138" s="4">
        <f ca="1">OFFSET(Otago_Reference,12,6)</f>
        <v>20.988333574999999</v>
      </c>
      <c r="H138" s="4">
        <f ca="1">OFFSET(Otago_Reference,13,6)</f>
        <v>21.446010814000001</v>
      </c>
      <c r="I138" s="1">
        <f ca="1">H138*('Updated Population'!I$136/'Updated Population'!H$136)</f>
        <v>22.064908004298371</v>
      </c>
      <c r="J138" s="1">
        <f ca="1">I138*('Updated Population'!J$136/'Updated Population'!I$136)</f>
        <v>22.63029119630826</v>
      </c>
      <c r="K138" s="1">
        <f ca="1">J138*('Updated Population'!K$136/'Updated Population'!J$136)</f>
        <v>23.161313047541348</v>
      </c>
    </row>
    <row r="139" spans="1:11" x14ac:dyDescent="0.2">
      <c r="A139" t="str">
        <f ca="1">OFFSET(Otago_Reference,14,2)</f>
        <v>Light Vehicle Driver</v>
      </c>
      <c r="B139" s="4">
        <f ca="1">OFFSET(Otago_Reference,14,6)</f>
        <v>1192.1699989000001</v>
      </c>
      <c r="C139" s="4">
        <f ca="1">OFFSET(Otago_Reference,15,6)</f>
        <v>1298.7111362999999</v>
      </c>
      <c r="D139" s="4">
        <f ca="1">OFFSET(Otago_Reference,16,6)</f>
        <v>1376.777529</v>
      </c>
      <c r="E139" s="4">
        <f ca="1">OFFSET(Otago_Reference,17,6)</f>
        <v>1469.3653337999999</v>
      </c>
      <c r="F139" s="4">
        <f ca="1">OFFSET(Otago_Reference,18,6)</f>
        <v>1561.3746606</v>
      </c>
      <c r="G139" s="4">
        <f ca="1">OFFSET(Otago_Reference,19,6)</f>
        <v>1646.2872542</v>
      </c>
      <c r="H139" s="4">
        <f ca="1">OFFSET(Otago_Reference,20,6)</f>
        <v>1731.770019</v>
      </c>
      <c r="I139" s="1">
        <f ca="1">H139*('Updated Population'!I$136/'Updated Population'!H$136)</f>
        <v>1781.7461011859882</v>
      </c>
      <c r="J139" s="1">
        <f ca="1">I139*('Updated Population'!J$136/'Updated Population'!I$136)</f>
        <v>1827.4009164176432</v>
      </c>
      <c r="K139" s="1">
        <f ca="1">J139*('Updated Population'!K$136/'Updated Population'!J$136)</f>
        <v>1870.2810459380023</v>
      </c>
    </row>
    <row r="140" spans="1:11" x14ac:dyDescent="0.2">
      <c r="A140" t="str">
        <f ca="1">OFFSET(Otago_Reference,21,2)</f>
        <v>Light Vehicle Passenger</v>
      </c>
      <c r="B140" s="4">
        <f ca="1">OFFSET(Otago_Reference,21,6)</f>
        <v>849.31688999999994</v>
      </c>
      <c r="C140" s="4">
        <f ca="1">OFFSET(Otago_Reference,22,6)</f>
        <v>896.64137233999998</v>
      </c>
      <c r="D140" s="4">
        <f ca="1">OFFSET(Otago_Reference,23,6)</f>
        <v>923.23762542999998</v>
      </c>
      <c r="E140" s="4">
        <f ca="1">OFFSET(Otago_Reference,24,6)</f>
        <v>956.65870494000001</v>
      </c>
      <c r="F140" s="4">
        <f ca="1">OFFSET(Otago_Reference,25,6)</f>
        <v>975.51560033999999</v>
      </c>
      <c r="G140" s="4">
        <f ca="1">OFFSET(Otago_Reference,26,6)</f>
        <v>996.68134499999996</v>
      </c>
      <c r="H140" s="4">
        <f ca="1">OFFSET(Otago_Reference,27,6)</f>
        <v>1015.8486092000001</v>
      </c>
      <c r="I140" s="1">
        <f ca="1">H140*('Updated Population'!I$136/'Updated Population'!H$136)</f>
        <v>1045.1643572640628</v>
      </c>
      <c r="J140" s="1">
        <f ca="1">I140*('Updated Population'!J$136/'Updated Population'!I$136)</f>
        <v>1071.9452693063793</v>
      </c>
      <c r="K140" s="1">
        <f ca="1">J140*('Updated Population'!K$136/'Updated Population'!J$136)</f>
        <v>1097.0985630218611</v>
      </c>
    </row>
    <row r="141" spans="1:11" x14ac:dyDescent="0.2">
      <c r="A141" t="str">
        <f ca="1">OFFSET(Otago_Reference,28,2)</f>
        <v>Taxi/Vehicle Share</v>
      </c>
      <c r="B141" s="4">
        <f ca="1">OFFSET(Otago_Reference,28,6)</f>
        <v>7.2892681777000004</v>
      </c>
      <c r="C141" s="4">
        <f ca="1">OFFSET(Otago_Reference,29,6)</f>
        <v>7.4876000621000003</v>
      </c>
      <c r="D141" s="4">
        <f ca="1">OFFSET(Otago_Reference,30,6)</f>
        <v>7.7225590812</v>
      </c>
      <c r="E141" s="4">
        <f ca="1">OFFSET(Otago_Reference,31,6)</f>
        <v>7.9417531079000003</v>
      </c>
      <c r="F141" s="4">
        <f ca="1">OFFSET(Otago_Reference,32,6)</f>
        <v>8.1503556295999999</v>
      </c>
      <c r="G141" s="4">
        <f ca="1">OFFSET(Otago_Reference,33,6)</f>
        <v>7.9118885525999998</v>
      </c>
      <c r="H141" s="4">
        <f ca="1">OFFSET(Otago_Reference,34,6)</f>
        <v>7.5791624594</v>
      </c>
      <c r="I141" s="1">
        <f ca="1">H141*('Updated Population'!I$136/'Updated Population'!H$136)</f>
        <v>7.7978848312023787</v>
      </c>
      <c r="J141" s="1">
        <f ca="1">I141*('Updated Population'!J$136/'Updated Population'!I$136)</f>
        <v>7.9976950010853365</v>
      </c>
      <c r="K141" s="1">
        <f ca="1">J141*('Updated Population'!K$136/'Updated Population'!J$136)</f>
        <v>8.1853616452408815</v>
      </c>
    </row>
    <row r="142" spans="1:11" x14ac:dyDescent="0.2">
      <c r="A142" t="str">
        <f ca="1">OFFSET(Otago_Reference,35,2)</f>
        <v>Motorcyclist</v>
      </c>
      <c r="B142" s="4">
        <f ca="1">OFFSET(Otago_Reference,35,6)</f>
        <v>18.503357486999999</v>
      </c>
      <c r="C142" s="4">
        <f ca="1">OFFSET(Otago_Reference,36,6)</f>
        <v>20.496146268</v>
      </c>
      <c r="D142" s="4">
        <f ca="1">OFFSET(Otago_Reference,37,6)</f>
        <v>21.602136982000001</v>
      </c>
      <c r="E142" s="4">
        <f ca="1">OFFSET(Otago_Reference,38,6)</f>
        <v>22.871564192000001</v>
      </c>
      <c r="F142" s="4">
        <f ca="1">OFFSET(Otago_Reference,39,6)</f>
        <v>23.561107525000001</v>
      </c>
      <c r="G142" s="4">
        <f ca="1">OFFSET(Otago_Reference,40,6)</f>
        <v>23.444589871000002</v>
      </c>
      <c r="H142" s="4">
        <f ca="1">OFFSET(Otago_Reference,41,6)</f>
        <v>23.168042916000001</v>
      </c>
      <c r="I142" s="1">
        <f ca="1">H142*('Updated Population'!I$136/'Updated Population'!H$136)</f>
        <v>23.836635167947584</v>
      </c>
      <c r="J142" s="1">
        <f ca="1">I142*('Updated Population'!J$136/'Updated Population'!I$136)</f>
        <v>24.447416453571073</v>
      </c>
      <c r="K142" s="1">
        <f ca="1">J142*('Updated Population'!K$136/'Updated Population'!J$136)</f>
        <v>25.021077315043303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OFFSET(Otago_Reference,42,6)</f>
        <v>27.157477096000001</v>
      </c>
      <c r="C144" s="4">
        <f ca="1">OFFSET(Otago_Reference,43,6)</f>
        <v>27.874499444000001</v>
      </c>
      <c r="D144" s="4">
        <f ca="1">OFFSET(Otago_Reference,44,6)</f>
        <v>28.388154553</v>
      </c>
      <c r="E144" s="4">
        <f ca="1">OFFSET(Otago_Reference,45,6)</f>
        <v>28.605593102</v>
      </c>
      <c r="F144" s="4">
        <f ca="1">OFFSET(Otago_Reference,46,6)</f>
        <v>28.457037826000001</v>
      </c>
      <c r="G144" s="4">
        <f ca="1">OFFSET(Otago_Reference,47,6)</f>
        <v>27.589558884999999</v>
      </c>
      <c r="H144" s="4">
        <f ca="1">OFFSET(Otago_Reference,48,6)</f>
        <v>26.610493949999999</v>
      </c>
      <c r="I144" s="1">
        <f ca="1">H144*('Updated Population'!I$136/'Updated Population'!H$136)</f>
        <v>27.37842977176857</v>
      </c>
      <c r="J144" s="1">
        <f ca="1">I144*('Updated Population'!J$136/'Updated Population'!I$136)</f>
        <v>28.079964716467437</v>
      </c>
      <c r="K144" s="1">
        <f ca="1">J144*('Updated Population'!K$136/'Updated Population'!J$136)</f>
        <v>28.738863654927886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OFFSET(Otago_Reference,49,6)</f>
        <v>0</v>
      </c>
      <c r="C146" s="4">
        <f ca="1">OFFSET(Otago_Reference,50,6)</f>
        <v>0</v>
      </c>
      <c r="D146" s="4">
        <f ca="1">OFFSET(Otago_Reference,51,6)</f>
        <v>0</v>
      </c>
      <c r="E146" s="4">
        <f ca="1">OFFSET(Otago_Reference,52,6)</f>
        <v>0</v>
      </c>
      <c r="F146" s="4">
        <f ca="1">OFFSET(Otago_Reference,53,6)</f>
        <v>0</v>
      </c>
      <c r="G146" s="4">
        <f ca="1">OFFSET(Otago_Reference,54,6)</f>
        <v>0</v>
      </c>
      <c r="H146" s="4">
        <f ca="1">OFFSET(Otago_Reference,55,6)</f>
        <v>0</v>
      </c>
      <c r="I146" s="1">
        <f ca="1">H146*('Updated Population'!I$136/'Updated Population'!H$136)</f>
        <v>0</v>
      </c>
      <c r="J146" s="1">
        <f ca="1">I146*('Updated Population'!J$136/'Updated Population'!I$136)</f>
        <v>0</v>
      </c>
      <c r="K146" s="1">
        <f ca="1">J146*('Updated Population'!K$136/'Updated Population'!J$136)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OFFSET(Southland_Reference,0,6)</f>
        <v>8.8466785109000003</v>
      </c>
      <c r="C148" s="4">
        <f ca="1">OFFSET(Southland_Reference,1,6)</f>
        <v>8.9957056555000001</v>
      </c>
      <c r="D148" s="4">
        <f ca="1">OFFSET(Southland_Reference,2,6)</f>
        <v>9.0015569693999993</v>
      </c>
      <c r="E148" s="4">
        <f ca="1">OFFSET(Southland_Reference,3,6)</f>
        <v>9.0300708151000002</v>
      </c>
      <c r="F148" s="4">
        <f ca="1">OFFSET(Southland_Reference,4,6)</f>
        <v>8.8574022688999996</v>
      </c>
      <c r="G148" s="4">
        <f ca="1">OFFSET(Southland_Reference,5,6)</f>
        <v>8.6701639248000006</v>
      </c>
      <c r="H148" s="4">
        <f ca="1">OFFSET(Southland_Reference,6,6)</f>
        <v>8.4224381205000007</v>
      </c>
      <c r="I148" s="1">
        <f ca="1">H148*('Updated Population'!I$147/'Updated Population'!H$147)</f>
        <v>8.3096145103567203</v>
      </c>
      <c r="J148" s="1">
        <f ca="1">I148*('Updated Population'!J$147/'Updated Population'!I$147)</f>
        <v>8.1722056315058449</v>
      </c>
      <c r="K148" s="1">
        <f ca="1">J148*('Updated Population'!K$147/'Updated Population'!J$147)</f>
        <v>8.0197967836868589</v>
      </c>
    </row>
    <row r="149" spans="1:11" x14ac:dyDescent="0.2">
      <c r="A149" t="str">
        <f ca="1">OFFSET(Southland_Reference,7,2)</f>
        <v>Cyclist</v>
      </c>
      <c r="B149" s="4">
        <f ca="1">OFFSET(Southland_Reference,7,6)</f>
        <v>7.5402861329000004</v>
      </c>
      <c r="C149" s="4">
        <f ca="1">OFFSET(Southland_Reference,8,6)</f>
        <v>8.2755531411999996</v>
      </c>
      <c r="D149" s="4">
        <f ca="1">OFFSET(Southland_Reference,9,6)</f>
        <v>8.3934888316999992</v>
      </c>
      <c r="E149" s="4">
        <f ca="1">OFFSET(Southland_Reference,10,6)</f>
        <v>7.6747968747000002</v>
      </c>
      <c r="F149" s="4">
        <f ca="1">OFFSET(Southland_Reference,11,6)</f>
        <v>7.1655216314999999</v>
      </c>
      <c r="G149" s="4">
        <f ca="1">OFFSET(Southland_Reference,12,6)</f>
        <v>6.7471961906000004</v>
      </c>
      <c r="H149" s="4">
        <f ca="1">OFFSET(Southland_Reference,13,6)</f>
        <v>6.3207250162999999</v>
      </c>
      <c r="I149" s="1">
        <f ca="1">H149*('Updated Population'!I$147/'Updated Population'!H$147)</f>
        <v>6.2360551137303188</v>
      </c>
      <c r="J149" s="1">
        <f ca="1">I149*('Updated Population'!J$147/'Updated Population'!I$147)</f>
        <v>6.13293488588317</v>
      </c>
      <c r="K149" s="1">
        <f ca="1">J149*('Updated Population'!K$147/'Updated Population'!J$147)</f>
        <v>6.018557741957328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OFFSET(Southland_Reference,14,6)</f>
        <v>657.74873722999996</v>
      </c>
      <c r="C150" s="4">
        <f ca="1">OFFSET(Southland_Reference,15,6)</f>
        <v>708.65514853000002</v>
      </c>
      <c r="D150" s="4">
        <f ca="1">OFFSET(Southland_Reference,16,6)</f>
        <v>733.40189199999998</v>
      </c>
      <c r="E150" s="4">
        <f ca="1">OFFSET(Southland_Reference,17,6)</f>
        <v>746.06199043000004</v>
      </c>
      <c r="F150" s="4">
        <f ca="1">OFFSET(Southland_Reference,18,6)</f>
        <v>757.49917452</v>
      </c>
      <c r="G150" s="4">
        <f ca="1">OFFSET(Southland_Reference,19,6)</f>
        <v>760.77190142999996</v>
      </c>
      <c r="H150" s="4">
        <f ca="1">OFFSET(Southland_Reference,20,6)</f>
        <v>762.31819558999996</v>
      </c>
      <c r="I150" s="1">
        <f ca="1">H150*('Updated Population'!I$147/'Updated Population'!H$147)</f>
        <v>752.10648614507875</v>
      </c>
      <c r="J150" s="1">
        <f ca="1">I150*('Updated Population'!J$147/'Updated Population'!I$147)</f>
        <v>739.66955433448015</v>
      </c>
      <c r="K150" s="1">
        <f ca="1">J150*('Updated Population'!K$147/'Updated Population'!J$147)</f>
        <v>725.87496941749134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OFFSET(Southland_Reference,21,6)</f>
        <v>380.70733008000002</v>
      </c>
      <c r="C151" s="4">
        <f ca="1">OFFSET(Southland_Reference,22,6)</f>
        <v>391.38806614999999</v>
      </c>
      <c r="D151" s="4">
        <f ca="1">OFFSET(Southland_Reference,23,6)</f>
        <v>397.47824809999997</v>
      </c>
      <c r="E151" s="4">
        <f ca="1">OFFSET(Southland_Reference,24,6)</f>
        <v>397.78660053999999</v>
      </c>
      <c r="F151" s="4">
        <f ca="1">OFFSET(Southland_Reference,25,6)</f>
        <v>392.34199265000001</v>
      </c>
      <c r="G151" s="4">
        <f ca="1">OFFSET(Southland_Reference,26,6)</f>
        <v>381.92092364000001</v>
      </c>
      <c r="H151" s="4">
        <f ca="1">OFFSET(Southland_Reference,27,6)</f>
        <v>368.90422524000002</v>
      </c>
      <c r="I151" s="1">
        <f ca="1">H151*('Updated Population'!I$147/'Updated Population'!H$147)</f>
        <v>363.96253188550901</v>
      </c>
      <c r="J151" s="1">
        <f ca="1">I151*('Updated Population'!J$147/'Updated Population'!I$147)</f>
        <v>357.94399957119026</v>
      </c>
      <c r="K151" s="1">
        <f ca="1">J151*('Updated Population'!K$147/'Updated Population'!J$147)</f>
        <v>351.2684660593992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OFFSET(Southland_Reference,28,6)</f>
        <v>1.2430116738999999</v>
      </c>
      <c r="C152" s="4">
        <f ca="1">OFFSET(Southland_Reference,29,6)</f>
        <v>1.4468927301000001</v>
      </c>
      <c r="D152" s="4">
        <f ca="1">OFFSET(Southland_Reference,30,6)</f>
        <v>1.5849125657000001</v>
      </c>
      <c r="E152" s="4">
        <f ca="1">OFFSET(Southland_Reference,31,6)</f>
        <v>1.6771185751</v>
      </c>
      <c r="F152" s="4">
        <f ca="1">OFFSET(Southland_Reference,32,6)</f>
        <v>1.7435628013</v>
      </c>
      <c r="G152" s="4">
        <f ca="1">OFFSET(Southland_Reference,33,6)</f>
        <v>1.7703823165000001</v>
      </c>
      <c r="H152" s="4">
        <f ca="1">OFFSET(Southland_Reference,34,6)</f>
        <v>1.791808281</v>
      </c>
      <c r="I152" s="1">
        <f ca="1">H152*('Updated Population'!I$147/'Updated Population'!H$147)</f>
        <v>1.7678059344045414</v>
      </c>
      <c r="J152" s="1">
        <f ca="1">I152*('Updated Population'!J$147/'Updated Population'!I$147)</f>
        <v>1.7385732628805255</v>
      </c>
      <c r="K152" s="1">
        <f ca="1">J152*('Updated Population'!K$147/'Updated Population'!J$147)</f>
        <v>1.7061494644847806</v>
      </c>
    </row>
    <row r="153" spans="1:11" x14ac:dyDescent="0.2">
      <c r="A153" t="str">
        <f ca="1">OFFSET(Southland_Reference,35,2)</f>
        <v>Motorcyclist</v>
      </c>
      <c r="B153" s="4">
        <f ca="1">OFFSET(Southland_Reference,35,6)</f>
        <v>18.926640866</v>
      </c>
      <c r="C153" s="4">
        <f ca="1">OFFSET(Southland_Reference,36,6)</f>
        <v>24.509459960000001</v>
      </c>
      <c r="D153" s="4">
        <f ca="1">OFFSET(Southland_Reference,37,6)</f>
        <v>28.462558275999999</v>
      </c>
      <c r="E153" s="4">
        <f ca="1">OFFSET(Southland_Reference,38,6)</f>
        <v>30.172427308</v>
      </c>
      <c r="F153" s="4">
        <f ca="1">OFFSET(Southland_Reference,39,6)</f>
        <v>30.656191089</v>
      </c>
      <c r="G153" s="4">
        <f ca="1">OFFSET(Southland_Reference,40,6)</f>
        <v>30.290266729999999</v>
      </c>
      <c r="H153" s="4">
        <f ca="1">OFFSET(Southland_Reference,41,6)</f>
        <v>29.708229423999999</v>
      </c>
      <c r="I153" s="1">
        <f ca="1">H153*('Updated Population'!I$147/'Updated Population'!H$147)</f>
        <v>29.310269872783788</v>
      </c>
      <c r="J153" s="1">
        <f ca="1">I153*('Updated Population'!J$147/'Updated Population'!I$147)</f>
        <v>28.825591393774186</v>
      </c>
      <c r="K153" s="1">
        <f ca="1">J153*('Updated Population'!K$147/'Updated Population'!J$147)</f>
        <v>28.288003945522899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OFFSET(Southland_Reference,42,6)</f>
        <v>30.182609224</v>
      </c>
      <c r="C155" s="4">
        <f ca="1">OFFSET(Southland_Reference,43,6)</f>
        <v>30.176377896000002</v>
      </c>
      <c r="D155" s="4">
        <f ca="1">OFFSET(Southland_Reference,44,6)</f>
        <v>30.524485877</v>
      </c>
      <c r="E155" s="4">
        <f ca="1">OFFSET(Southland_Reference,45,6)</f>
        <v>30.877759248</v>
      </c>
      <c r="F155" s="4">
        <f ca="1">OFFSET(Southland_Reference,46,6)</f>
        <v>29.801901313999998</v>
      </c>
      <c r="G155" s="4">
        <f ca="1">OFFSET(Southland_Reference,47,6)</f>
        <v>28.310776477000001</v>
      </c>
      <c r="H155" s="4">
        <f ca="1">OFFSET(Southland_Reference,48,6)</f>
        <v>26.651421865</v>
      </c>
      <c r="I155" s="1">
        <f ca="1">H155*('Updated Population'!I$147/'Updated Population'!H$147)</f>
        <v>26.294410084415695</v>
      </c>
      <c r="J155" s="1">
        <f ca="1">I155*('Updated Population'!J$147/'Updated Population'!I$147)</f>
        <v>25.85960225966744</v>
      </c>
      <c r="K155" s="1">
        <f ca="1">J155*('Updated Population'!K$147/'Updated Population'!J$147)</f>
        <v>25.377329497188388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OFFSET(Southland_Reference,49,6)</f>
        <v>0</v>
      </c>
      <c r="C157" s="4">
        <f ca="1">OFFSET(Southland_Reference,50,6)</f>
        <v>0</v>
      </c>
      <c r="D157" s="4">
        <f ca="1">OFFSET(Southland_Reference,51,6)</f>
        <v>0</v>
      </c>
      <c r="E157" s="4">
        <f ca="1">OFFSET(Southland_Reference,52,6)</f>
        <v>0</v>
      </c>
      <c r="F157" s="4">
        <f ca="1">OFFSET(Southland_Reference,53,6)</f>
        <v>0</v>
      </c>
      <c r="G157" s="4">
        <f ca="1">OFFSET(Southland_Reference,54,6)</f>
        <v>0</v>
      </c>
      <c r="H157" s="4">
        <f ca="1">OFFSET(Southland_Reference,55,6)</f>
        <v>0</v>
      </c>
      <c r="I157" s="1">
        <f ca="1">H157*('Updated Population'!I$147/'Updated Population'!H$147)</f>
        <v>0</v>
      </c>
      <c r="J157" s="1">
        <f ca="1">I157*('Updated Population'!J$147/'Updated Population'!I$147)</f>
        <v>0</v>
      </c>
      <c r="K157" s="1">
        <f ca="1">J157*('Updated Population'!K$147/'Updated Population'!J$147)</f>
        <v>0</v>
      </c>
    </row>
    <row r="158" spans="1:11" x14ac:dyDescent="0.2">
      <c r="A158" t="s">
        <v>12</v>
      </c>
      <c r="I158" s="1"/>
      <c r="J158" s="1"/>
      <c r="K158" s="1"/>
    </row>
    <row r="159" spans="1:11" x14ac:dyDescent="0.2">
      <c r="A159" t="str">
        <f t="shared" ref="A159:A168" ca="1" si="0">A5</f>
        <v>Pedestrian</v>
      </c>
      <c r="B159" s="4">
        <f ca="1">B5+B16+B27+B38+B49+B60+B71+B82+B93+B104+B115+B126+B137+B148</f>
        <v>807.42091028530001</v>
      </c>
      <c r="C159" s="4">
        <f t="shared" ref="C159:K168" ca="1" si="1">C5+C16+C27+C38+C49+C60+C71+C82+C93+C104+C115+C126+C137+C148</f>
        <v>848.01890473770004</v>
      </c>
      <c r="D159" s="4">
        <f t="shared" ca="1" si="1"/>
        <v>868.8609136186999</v>
      </c>
      <c r="E159" s="4">
        <f t="shared" ca="1" si="1"/>
        <v>882.3876583135999</v>
      </c>
      <c r="F159" s="4">
        <f t="shared" ca="1" si="1"/>
        <v>888.10263925050003</v>
      </c>
      <c r="G159" s="4">
        <f t="shared" ca="1" si="1"/>
        <v>892.07650468779991</v>
      </c>
      <c r="H159" s="4">
        <f t="shared" ca="1" si="1"/>
        <v>892.88709112880008</v>
      </c>
      <c r="I159" s="1">
        <f t="shared" ca="1" si="1"/>
        <v>914.99458449142219</v>
      </c>
      <c r="J159" s="1">
        <f t="shared" ca="1" si="1"/>
        <v>934.94963827270999</v>
      </c>
      <c r="K159" s="1">
        <f t="shared" ca="1" si="1"/>
        <v>953.57533403300783</v>
      </c>
    </row>
    <row r="160" spans="1:11" x14ac:dyDescent="0.2">
      <c r="A160" t="str">
        <f t="shared" ca="1" si="0"/>
        <v>Cyclist</v>
      </c>
      <c r="B160" s="4">
        <f t="shared" ref="B160:H168" ca="1" si="2">B6+B17+B28+B39+B50+B61+B72+B83+B94+B105+B116+B127+B138+B149</f>
        <v>312.57850166600002</v>
      </c>
      <c r="C160" s="4">
        <f t="shared" ca="1" si="2"/>
        <v>340.32722609830006</v>
      </c>
      <c r="D160" s="4">
        <f t="shared" ca="1" si="2"/>
        <v>353.85048142469998</v>
      </c>
      <c r="E160" s="4">
        <f t="shared" ca="1" si="2"/>
        <v>362.26383459860006</v>
      </c>
      <c r="F160" s="4">
        <f t="shared" ca="1" si="2"/>
        <v>375.5875651101</v>
      </c>
      <c r="G160" s="4">
        <f t="shared" ca="1" si="2"/>
        <v>394.69099711080008</v>
      </c>
      <c r="H160" s="4">
        <f t="shared" ca="1" si="2"/>
        <v>414.26815463679998</v>
      </c>
      <c r="I160" s="1">
        <f t="shared" ca="1" si="1"/>
        <v>424.40357597297429</v>
      </c>
      <c r="J160" s="1">
        <f t="shared" ca="1" si="1"/>
        <v>433.53960777698882</v>
      </c>
      <c r="K160" s="1">
        <f t="shared" ca="1" si="1"/>
        <v>442.05854883050625</v>
      </c>
    </row>
    <row r="161" spans="1:11" x14ac:dyDescent="0.2">
      <c r="A161" t="str">
        <f t="shared" ca="1" si="0"/>
        <v>Light Vehicle Driver</v>
      </c>
      <c r="B161" s="4">
        <f t="shared" ca="1" si="2"/>
        <v>30373.708042980001</v>
      </c>
      <c r="C161" s="4">
        <f t="shared" ca="1" si="2"/>
        <v>32932.389107999996</v>
      </c>
      <c r="D161" s="4">
        <f t="shared" ca="1" si="2"/>
        <v>34438.649580689998</v>
      </c>
      <c r="E161" s="4">
        <f t="shared" ca="1" si="2"/>
        <v>36082.028400410003</v>
      </c>
      <c r="F161" s="4">
        <f t="shared" ca="1" si="2"/>
        <v>37595.493193269998</v>
      </c>
      <c r="G161" s="4">
        <f t="shared" ca="1" si="2"/>
        <v>38734.21101282</v>
      </c>
      <c r="H161" s="4">
        <f t="shared" ca="1" si="2"/>
        <v>39707.771980609999</v>
      </c>
      <c r="I161" s="1">
        <f t="shared" ca="1" si="1"/>
        <v>40604.106143218269</v>
      </c>
      <c r="J161" s="1">
        <f t="shared" ca="1" si="1"/>
        <v>41401.848638599171</v>
      </c>
      <c r="K161" s="1">
        <f t="shared" ca="1" si="1"/>
        <v>42138.031276756526</v>
      </c>
    </row>
    <row r="162" spans="1:11" x14ac:dyDescent="0.2">
      <c r="A162" t="str">
        <f t="shared" ca="1" si="0"/>
        <v>Light Vehicle Passenger</v>
      </c>
      <c r="B162" s="4">
        <f t="shared" ca="1" si="2"/>
        <v>17104.323927279998</v>
      </c>
      <c r="C162" s="4">
        <f t="shared" ca="1" si="2"/>
        <v>17847.065910329999</v>
      </c>
      <c r="D162" s="4">
        <f t="shared" ca="1" si="2"/>
        <v>18272.944047100002</v>
      </c>
      <c r="E162" s="4">
        <f t="shared" ca="1" si="2"/>
        <v>18759.039604990001</v>
      </c>
      <c r="F162" s="4">
        <f t="shared" ca="1" si="2"/>
        <v>19125.650735650004</v>
      </c>
      <c r="G162" s="4">
        <f t="shared" ca="1" si="2"/>
        <v>19369.322385219999</v>
      </c>
      <c r="H162" s="4">
        <f t="shared" ca="1" si="2"/>
        <v>19515.936121040002</v>
      </c>
      <c r="I162" s="1">
        <f t="shared" ca="1" si="1"/>
        <v>19949.508099449678</v>
      </c>
      <c r="J162" s="1">
        <f t="shared" ca="1" si="1"/>
        <v>20334.271491161478</v>
      </c>
      <c r="K162" s="1">
        <f t="shared" ca="1" si="1"/>
        <v>20688.46041270611</v>
      </c>
    </row>
    <row r="163" spans="1:11" x14ac:dyDescent="0.2">
      <c r="A163" t="str">
        <f t="shared" ca="1" si="0"/>
        <v>Taxi/Vehicle Share</v>
      </c>
      <c r="B163" s="4">
        <f t="shared" ca="1" si="2"/>
        <v>102.6492410403</v>
      </c>
      <c r="C163" s="4">
        <f t="shared" ca="1" si="2"/>
        <v>116.4985070115</v>
      </c>
      <c r="D163" s="4">
        <f t="shared" ca="1" si="2"/>
        <v>128.38738917440003</v>
      </c>
      <c r="E163" s="4">
        <f t="shared" ca="1" si="2"/>
        <v>140.1488395122</v>
      </c>
      <c r="F163" s="4">
        <f t="shared" ca="1" si="2"/>
        <v>150.55616264419996</v>
      </c>
      <c r="G163" s="4">
        <f t="shared" ca="1" si="2"/>
        <v>158.627466744</v>
      </c>
      <c r="H163" s="4">
        <f t="shared" ca="1" si="2"/>
        <v>166.15401178849999</v>
      </c>
      <c r="I163" s="1">
        <f t="shared" ca="1" si="1"/>
        <v>170.51675142737184</v>
      </c>
      <c r="J163" s="1">
        <f t="shared" ca="1" si="1"/>
        <v>174.49609570551061</v>
      </c>
      <c r="K163" s="1">
        <f t="shared" ca="1" si="1"/>
        <v>178.2441338906734</v>
      </c>
    </row>
    <row r="164" spans="1:11" x14ac:dyDescent="0.2">
      <c r="A164" t="str">
        <f t="shared" ca="1" si="0"/>
        <v>Motorcyclist</v>
      </c>
      <c r="B164" s="4">
        <f t="shared" ca="1" si="2"/>
        <v>249.6655534436</v>
      </c>
      <c r="C164" s="4">
        <f t="shared" ca="1" si="2"/>
        <v>268.65883430000002</v>
      </c>
      <c r="D164" s="4">
        <f t="shared" ca="1" si="2"/>
        <v>278.19809885979998</v>
      </c>
      <c r="E164" s="4">
        <f t="shared" ca="1" si="2"/>
        <v>284.58598673299997</v>
      </c>
      <c r="F164" s="4">
        <f t="shared" ca="1" si="2"/>
        <v>288.16407312770002</v>
      </c>
      <c r="G164" s="4">
        <f t="shared" ca="1" si="2"/>
        <v>286.49258475319994</v>
      </c>
      <c r="H164" s="4">
        <f t="shared" ca="1" si="2"/>
        <v>283.21001689539997</v>
      </c>
      <c r="I164" s="1">
        <f t="shared" ca="1" si="1"/>
        <v>287.67066983704632</v>
      </c>
      <c r="J164" s="1">
        <f t="shared" ca="1" si="1"/>
        <v>291.36705265393408</v>
      </c>
      <c r="K164" s="1">
        <f t="shared" ca="1" si="1"/>
        <v>294.57353853608214</v>
      </c>
    </row>
    <row r="165" spans="1:11" x14ac:dyDescent="0.2">
      <c r="A165" t="str">
        <f t="shared" ca="1" si="0"/>
        <v>Local Train</v>
      </c>
      <c r="B165" s="4">
        <f t="shared" ca="1" si="2"/>
        <v>386.1221812508</v>
      </c>
      <c r="C165" s="4">
        <f t="shared" ca="1" si="2"/>
        <v>418.66511790060002</v>
      </c>
      <c r="D165" s="4">
        <f t="shared" ca="1" si="2"/>
        <v>439.79023605060002</v>
      </c>
      <c r="E165" s="4">
        <f t="shared" ca="1" si="2"/>
        <v>455.39205474989996</v>
      </c>
      <c r="F165" s="4">
        <f t="shared" ca="1" si="2"/>
        <v>463.79390390750001</v>
      </c>
      <c r="G165" s="4">
        <f t="shared" ca="1" si="2"/>
        <v>471.62385432779996</v>
      </c>
      <c r="H165" s="4">
        <f t="shared" ca="1" si="2"/>
        <v>476.33975609830003</v>
      </c>
      <c r="I165" s="1">
        <f t="shared" ca="1" si="1"/>
        <v>488.44945987121702</v>
      </c>
      <c r="J165" s="1">
        <f t="shared" ca="1" si="1"/>
        <v>499.40067464763689</v>
      </c>
      <c r="K165" s="1">
        <f t="shared" ca="1" si="1"/>
        <v>509.6320150289684</v>
      </c>
    </row>
    <row r="166" spans="1:11" x14ac:dyDescent="0.2">
      <c r="A166" t="str">
        <f t="shared" ca="1" si="0"/>
        <v>Local Bus</v>
      </c>
      <c r="B166" s="4">
        <f t="shared" ca="1" si="2"/>
        <v>1134.4665534744004</v>
      </c>
      <c r="C166" s="4">
        <f t="shared" ca="1" si="2"/>
        <v>1159.9621467966003</v>
      </c>
      <c r="D166" s="4">
        <f t="shared" ca="1" si="2"/>
        <v>1163.7627311141</v>
      </c>
      <c r="E166" s="4">
        <f t="shared" ca="1" si="2"/>
        <v>1164.5725019438005</v>
      </c>
      <c r="F166" s="4">
        <f t="shared" ca="1" si="2"/>
        <v>1144.5562613895997</v>
      </c>
      <c r="G166" s="4">
        <f t="shared" ca="1" si="2"/>
        <v>1125.1662575555001</v>
      </c>
      <c r="H166" s="4">
        <f t="shared" ca="1" si="2"/>
        <v>1099.7355523386</v>
      </c>
      <c r="I166" s="1">
        <f t="shared" ca="1" si="1"/>
        <v>1127.5181895231692</v>
      </c>
      <c r="J166" s="1">
        <f t="shared" ca="1" si="1"/>
        <v>1152.6909969756994</v>
      </c>
      <c r="K166" s="1">
        <f t="shared" ca="1" si="1"/>
        <v>1176.2655663243095</v>
      </c>
    </row>
    <row r="167" spans="1:11" x14ac:dyDescent="0.2">
      <c r="A167" t="str">
        <f t="shared" ca="1" si="0"/>
        <v>Local Ferry</v>
      </c>
      <c r="B167" s="4">
        <f t="shared" ca="1" si="2"/>
        <v>0</v>
      </c>
      <c r="C167" s="4">
        <f t="shared" ca="1" si="2"/>
        <v>0</v>
      </c>
      <c r="D167" s="4">
        <f t="shared" ca="1" si="2"/>
        <v>0</v>
      </c>
      <c r="E167" s="4">
        <f t="shared" ca="1" si="2"/>
        <v>0</v>
      </c>
      <c r="F167" s="4">
        <f t="shared" ca="1" si="2"/>
        <v>0</v>
      </c>
      <c r="G167" s="4">
        <f t="shared" ca="1" si="2"/>
        <v>0</v>
      </c>
      <c r="H167" s="4">
        <f t="shared" ca="1" si="2"/>
        <v>0</v>
      </c>
      <c r="I167" s="1">
        <f t="shared" ca="1" si="1"/>
        <v>0</v>
      </c>
      <c r="J167" s="1">
        <f t="shared" ca="1" si="1"/>
        <v>0</v>
      </c>
      <c r="K167" s="1">
        <f t="shared" ca="1" si="1"/>
        <v>0</v>
      </c>
    </row>
    <row r="168" spans="1:11" x14ac:dyDescent="0.2">
      <c r="A168" t="str">
        <f t="shared" ca="1" si="0"/>
        <v>Other Household Travel</v>
      </c>
      <c r="B168" s="4">
        <f t="shared" ca="1" si="2"/>
        <v>1.8241938706</v>
      </c>
      <c r="C168" s="4">
        <f t="shared" ca="1" si="2"/>
        <v>1.7774694251000001</v>
      </c>
      <c r="D168" s="4">
        <f t="shared" ca="1" si="2"/>
        <v>1.6812944196999999</v>
      </c>
      <c r="E168" s="4">
        <f t="shared" ca="1" si="2"/>
        <v>1.9308307612</v>
      </c>
      <c r="F168" s="4">
        <f t="shared" ca="1" si="2"/>
        <v>2.0597820572000001</v>
      </c>
      <c r="G168" s="4">
        <f t="shared" ca="1" si="2"/>
        <v>2.0472325805999998</v>
      </c>
      <c r="H168" s="4">
        <f t="shared" ca="1" si="2"/>
        <v>1.9888879017000001</v>
      </c>
      <c r="I168" s="1">
        <f t="shared" ca="1" si="1"/>
        <v>2.0545211312479457</v>
      </c>
      <c r="J168" s="1">
        <f t="shared" ca="1" si="1"/>
        <v>2.1160340583043213</v>
      </c>
      <c r="K168" s="1">
        <f t="shared" ca="1" si="1"/>
        <v>2.1751780190790937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202"/>
  <sheetViews>
    <sheetView topLeftCell="A46" workbookViewId="0">
      <selection activeCell="K22" sqref="K22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59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B159*'Total Duration Tables Sup #1'!B5*(1+'Other Assumptions'!D$44)*(1+'Active Mode Assumptions'!B11)</f>
        <v>5.0772161771000004</v>
      </c>
      <c r="C5" s="4">
        <f ca="1">C159*'Total Duration Tables Sup #1'!C5*(1+'Other Assumptions'!G$44)*(1+'Active Mode Assumptions'!C11)</f>
        <v>5.3976112933431768</v>
      </c>
      <c r="D5" s="4">
        <f ca="1">D159*'Total Duration Tables Sup #1'!D5*(1+'Other Assumptions'!H$44)*(1+'Active Mode Assumptions'!D11)</f>
        <v>5.7796239850933127</v>
      </c>
      <c r="E5" s="4">
        <f ca="1">E159*'Total Duration Tables Sup #1'!E5*(1+'Other Assumptions'!I$44)*(1+'Active Mode Assumptions'!E11)</f>
        <v>6.0777753997159172</v>
      </c>
      <c r="F5" s="4">
        <f ca="1">F159*'Total Duration Tables Sup #1'!F5*(1+'Other Assumptions'!J$44)*(1+'Active Mode Assumptions'!F11)</f>
        <v>6.3110184040863162</v>
      </c>
      <c r="G5" s="4">
        <f ca="1">G159*'Total Duration Tables Sup #1'!G5*(1+'Other Assumptions'!K$44)*(1+'Active Mode Assumptions'!G11)</f>
        <v>6.5124273118216633</v>
      </c>
      <c r="H5" s="4">
        <f ca="1">H159*'Total Duration Tables Sup #1'!H5*(1+'Other Assumptions'!L$44)*(1+'Active Mode Assumptions'!H11)</f>
        <v>6.6788815930205478</v>
      </c>
      <c r="I5" s="4">
        <f ca="1">I159*'Total Duration Tables Sup #1'!I5*(1+'Other Assumptions'!M$44)*(1+'Active Mode Assumptions'!I11)</f>
        <v>6.7623706907563994</v>
      </c>
      <c r="J5" s="4">
        <f ca="1">J159*'Total Duration Tables Sup #1'!J5*(1+'Other Assumptions'!N$44)*(1+'Active Mode Assumptions'!J11)</f>
        <v>6.8279597265271121</v>
      </c>
      <c r="K5" s="4">
        <f ca="1">K159*'Total Duration Tables Sup #1'!K5*(1+'Other Assumptions'!O$44)*(1+'Active Mode Assumptions'!K11)</f>
        <v>6.8822930234236814</v>
      </c>
    </row>
    <row r="6" spans="1:11" x14ac:dyDescent="0.2">
      <c r="A6" t="str">
        <f ca="1">OFFSET(Northland_Reference,7,2)</f>
        <v>Cyclist</v>
      </c>
      <c r="B6" s="4">
        <f ca="1">B160*'Total Duration Tables Sup #1'!B6*(1+'Other Assumptions'!D$44)*(1+'Active Mode Assumptions'!B20)</f>
        <v>0.15772883609999999</v>
      </c>
      <c r="C6" s="4">
        <f ca="1">C160*'Total Duration Tables Sup #1'!C6*(1+'Other Assumptions'!G$44)*(1+'Active Mode Assumptions'!C20)</f>
        <v>0.17227123706497835</v>
      </c>
      <c r="D6" s="4">
        <f ca="1">D160*'Total Duration Tables Sup #1'!D6*(1+'Other Assumptions'!H$44)*(1+'Active Mode Assumptions'!D20)</f>
        <v>0.21537455173790351</v>
      </c>
      <c r="E6" s="4">
        <f ca="1">E160*'Total Duration Tables Sup #1'!E6*(1+'Other Assumptions'!I$44)*(1+'Active Mode Assumptions'!E20)</f>
        <v>0.25585436583221888</v>
      </c>
      <c r="F6" s="4">
        <f ca="1">F160*'Total Duration Tables Sup #1'!F6*(1+'Other Assumptions'!J$44)*(1+'Active Mode Assumptions'!F20)</f>
        <v>0.29935109504050722</v>
      </c>
      <c r="G6" s="4">
        <f ca="1">G160*'Total Duration Tables Sup #1'!G6*(1+'Other Assumptions'!K$44)*(1+'Active Mode Assumptions'!G20)</f>
        <v>0.34755411747108189</v>
      </c>
      <c r="H6" s="4">
        <f ca="1">H160*'Total Duration Tables Sup #1'!H6*(1+'Other Assumptions'!L$44)*(1+'Active Mode Assumptions'!H20)</f>
        <v>0.39777387701264572</v>
      </c>
      <c r="I6" s="4">
        <f ca="1">I160*'Total Duration Tables Sup #1'!I6*(1+'Other Assumptions'!M$44)*(1+'Active Mode Assumptions'!I20)</f>
        <v>0.40308199024019525</v>
      </c>
      <c r="J6" s="4">
        <f ca="1">J160*'Total Duration Tables Sup #1'!J6*(1+'Other Assumptions'!N$44)*(1+'Active Mode Assumptions'!J20)</f>
        <v>0.40732794514442233</v>
      </c>
      <c r="K6" s="4">
        <f ca="1">K160*'Total Duration Tables Sup #1'!K6*(1+'Other Assumptions'!O$44)*(1+'Active Mode Assumptions'!K20)</f>
        <v>0.41090600675260963</v>
      </c>
    </row>
    <row r="7" spans="1:11" x14ac:dyDescent="0.2">
      <c r="A7" t="str">
        <f ca="1">OFFSET(Northland_Reference,14,2)</f>
        <v>Light Vehicle Driver</v>
      </c>
      <c r="B7" s="4">
        <f ca="1">B161*'Total Duration Tables Sup #1'!B7*(1+'Other Assumptions'!D$44)-(B5*'Active Mode Assumptions'!B11*'Active Mode Assumptions'!B14/(1+'Active Mode Assumptions'!B11))-(B6*'Active Mode Assumptions'!B20*'Active Mode Assumptions'!B23/(1+'Active Mode Assumptions'!B20))</f>
        <v>23.421840091</v>
      </c>
      <c r="C7" s="4">
        <f ca="1">C161*'Total Duration Tables Sup #1'!C7*(1+'Other Assumptions'!G$44)-(C5*'Active Mode Assumptions'!C11*'Active Mode Assumptions'!C14/(1+'Active Mode Assumptions'!C11))-(C6*'Active Mode Assumptions'!C20*'Active Mode Assumptions'!C23/(1+'Active Mode Assumptions'!C20))</f>
        <v>25.764340346804023</v>
      </c>
      <c r="D7" s="4">
        <f ca="1">D161*'Total Duration Tables Sup #1'!D7*(1+'Other Assumptions'!H$44)-(D5*'Active Mode Assumptions'!D11*'Active Mode Assumptions'!D14/(1+'Active Mode Assumptions'!D11))-(D6*'Active Mode Assumptions'!D20*'Active Mode Assumptions'!D23/(1+'Active Mode Assumptions'!D20))</f>
        <v>27.023475961538086</v>
      </c>
      <c r="E7" s="4">
        <f ca="1">E161*'Total Duration Tables Sup #1'!E7*(1+'Other Assumptions'!I$44)-(E5*'Active Mode Assumptions'!E11*'Active Mode Assumptions'!E14/(1+'Active Mode Assumptions'!E11))-(E6*'Active Mode Assumptions'!E20*'Active Mode Assumptions'!E23/(1+'Active Mode Assumptions'!E20))</f>
        <v>28.09241807926815</v>
      </c>
      <c r="F7" s="4">
        <f ca="1">F161*'Total Duration Tables Sup #1'!F7*(1+'Other Assumptions'!J$44)-(F5*'Active Mode Assumptions'!F11*'Active Mode Assumptions'!F14/(1+'Active Mode Assumptions'!F11))-(F6*'Active Mode Assumptions'!F20*'Active Mode Assumptions'!F23/(1+'Active Mode Assumptions'!F20))</f>
        <v>28.98719600483226</v>
      </c>
      <c r="G7" s="4">
        <f ca="1">G161*'Total Duration Tables Sup #1'!G7*(1+'Other Assumptions'!K$44)-(G5*'Active Mode Assumptions'!G11*'Active Mode Assumptions'!G14/(1+'Active Mode Assumptions'!G11))-(G6*'Active Mode Assumptions'!G20*'Active Mode Assumptions'!G23/(1+'Active Mode Assumptions'!G20))</f>
        <v>29.566521965466254</v>
      </c>
      <c r="H7" s="4">
        <f ca="1">H161*'Total Duration Tables Sup #1'!H7*(1+'Other Assumptions'!L$44)-(H5*'Active Mode Assumptions'!H11*'Active Mode Assumptions'!H14/(1+'Active Mode Assumptions'!H11))-(H6*'Active Mode Assumptions'!H20*'Active Mode Assumptions'!H23/(1+'Active Mode Assumptions'!H20))</f>
        <v>29.969318488648792</v>
      </c>
      <c r="I7" s="4">
        <f ca="1">I161*'Total Duration Tables Sup #1'!I7*(1+'Other Assumptions'!M$44)-(I5*'Active Mode Assumptions'!I11*'Active Mode Assumptions'!I14/(1+'Active Mode Assumptions'!I11))-(I6*'Active Mode Assumptions'!I20*'Active Mode Assumptions'!I23/(1+'Active Mode Assumptions'!I20))</f>
        <v>30.360844698567046</v>
      </c>
      <c r="J7" s="4">
        <f ca="1">J161*'Total Duration Tables Sup #1'!J7*(1+'Other Assumptions'!N$44)-(J5*'Active Mode Assumptions'!J11*'Active Mode Assumptions'!J14/(1+'Active Mode Assumptions'!J11))-(J6*'Active Mode Assumptions'!J20*'Active Mode Assumptions'!J23/(1+'Active Mode Assumptions'!J20))</f>
        <v>30.672219972077702</v>
      </c>
      <c r="K7" s="4">
        <f ca="1">K161*'Total Duration Tables Sup #1'!K7*(1+'Other Assumptions'!O$44)-(K5*'Active Mode Assumptions'!K11*'Active Mode Assumptions'!K14/(1+'Active Mode Assumptions'!K11))-(K6*'Active Mode Assumptions'!K20*'Active Mode Assumptions'!K23/(1+'Active Mode Assumptions'!K20))</f>
        <v>30.933180316372844</v>
      </c>
    </row>
    <row r="8" spans="1:11" x14ac:dyDescent="0.2">
      <c r="A8" t="str">
        <f ca="1">OFFSET(Northland_Reference,21,2)</f>
        <v>Light Vehicle Passenger</v>
      </c>
      <c r="B8" s="4">
        <f ca="1">B162*'Total Duration Tables Sup #1'!B8*(1+'Other Assumptions'!D$44)-(B5*'Active Mode Assumptions'!B11*'Active Mode Assumptions'!B15/(1+'Active Mode Assumptions'!B11))-(B6*'Active Mode Assumptions'!B20*'Active Mode Assumptions'!B24/(1+'Active Mode Assumptions'!B20))</f>
        <v>15.174949781</v>
      </c>
      <c r="C8" s="4">
        <f ca="1">C162*'Total Duration Tables Sup #1'!C8*(1+'Other Assumptions'!G$44)-(C5*'Active Mode Assumptions'!C11*'Active Mode Assumptions'!C15/(1+'Active Mode Assumptions'!C11))-(C6*'Active Mode Assumptions'!C20*'Active Mode Assumptions'!C24/(1+'Active Mode Assumptions'!C20))</f>
        <v>16.011044243821207</v>
      </c>
      <c r="D8" s="4">
        <f ca="1">D162*'Total Duration Tables Sup #1'!D8*(1+'Other Assumptions'!H$44)-(D5*'Active Mode Assumptions'!D11*'Active Mode Assumptions'!D15/(1+'Active Mode Assumptions'!D11))-(D6*'Active Mode Assumptions'!D20*'Active Mode Assumptions'!D24/(1+'Active Mode Assumptions'!D20))</f>
        <v>16.386627454969776</v>
      </c>
      <c r="E8" s="4">
        <f ca="1">E162*'Total Duration Tables Sup #1'!E8*(1+'Other Assumptions'!I$44)-(E5*'Active Mode Assumptions'!E11*'Active Mode Assumptions'!E15/(1+'Active Mode Assumptions'!E11))-(E6*'Active Mode Assumptions'!E20*'Active Mode Assumptions'!E24/(1+'Active Mode Assumptions'!E20))</f>
        <v>16.622959379341882</v>
      </c>
      <c r="F8" s="4">
        <f ca="1">F162*'Total Duration Tables Sup #1'!F8*(1+'Other Assumptions'!J$44)-(F5*'Active Mode Assumptions'!F11*'Active Mode Assumptions'!F15/(1+'Active Mode Assumptions'!F11))-(F6*'Active Mode Assumptions'!F20*'Active Mode Assumptions'!F24/(1+'Active Mode Assumptions'!F20))</f>
        <v>16.725801772788444</v>
      </c>
      <c r="G8" s="4">
        <f ca="1">G162*'Total Duration Tables Sup #1'!G8*(1+'Other Assumptions'!K$44)-(G5*'Active Mode Assumptions'!G11*'Active Mode Assumptions'!G15/(1+'Active Mode Assumptions'!G11))-(G6*'Active Mode Assumptions'!G20*'Active Mode Assumptions'!G24/(1+'Active Mode Assumptions'!G20))</f>
        <v>16.70991163922476</v>
      </c>
      <c r="H8" s="4">
        <f ca="1">H162*'Total Duration Tables Sup #1'!H8*(1+'Other Assumptions'!L$44)-(H5*'Active Mode Assumptions'!H11*'Active Mode Assumptions'!H15/(1+'Active Mode Assumptions'!H11))-(H6*'Active Mode Assumptions'!H20*'Active Mode Assumptions'!H24/(1+'Active Mode Assumptions'!H20))</f>
        <v>16.589114565550304</v>
      </c>
      <c r="I8" s="4">
        <f ca="1">I162*'Total Duration Tables Sup #1'!I8*(1+'Other Assumptions'!M$44)-(I5*'Active Mode Assumptions'!I11*'Active Mode Assumptions'!I15/(1+'Active Mode Assumptions'!I11))-(I6*'Active Mode Assumptions'!I20*'Active Mode Assumptions'!I24/(1+'Active Mode Assumptions'!I20))</f>
        <v>16.815894752896085</v>
      </c>
      <c r="J8" s="4">
        <f ca="1">J162*'Total Duration Tables Sup #1'!J8*(1+'Other Assumptions'!N$44)-(J5*'Active Mode Assumptions'!J11*'Active Mode Assumptions'!J15/(1+'Active Mode Assumptions'!J11))-(J6*'Active Mode Assumptions'!J20*'Active Mode Assumptions'!J24/(1+'Active Mode Assumptions'!J20))</f>
        <v>16.998460555444904</v>
      </c>
      <c r="K8" s="4">
        <f ca="1">K162*'Total Duration Tables Sup #1'!K8*(1+'Other Assumptions'!O$44)-(K5*'Active Mode Assumptions'!K11*'Active Mode Assumptions'!K15/(1+'Active Mode Assumptions'!K11))-(K6*'Active Mode Assumptions'!K20*'Active Mode Assumptions'!K24/(1+'Active Mode Assumptions'!K20))</f>
        <v>17.153215668404329</v>
      </c>
    </row>
    <row r="9" spans="1:11" x14ac:dyDescent="0.2">
      <c r="A9" t="str">
        <f ca="1">OFFSET(Northland_Reference,28,2)</f>
        <v>Taxi/Vehicle Share</v>
      </c>
      <c r="B9" s="4">
        <f ca="1">B163*'Total Duration Tables Sup #1'!B9*(1+'Other Assumptions'!D$44)</f>
        <v>2.5131369800000001E-2</v>
      </c>
      <c r="C9" s="4">
        <f ca="1">C163*'Total Duration Tables Sup #1'!C9*(1+'Other Assumptions'!G$44)</f>
        <v>2.8730318263659599E-2</v>
      </c>
      <c r="D9" s="4">
        <f ca="1">D163*'Total Duration Tables Sup #1'!D9*(1+'Other Assumptions'!H$44)</f>
        <v>3.1418649801061342E-2</v>
      </c>
      <c r="E9" s="4">
        <f ca="1">E163*'Total Duration Tables Sup #1'!E9*(1+'Other Assumptions'!I$44)</f>
        <v>3.362146689793901E-2</v>
      </c>
      <c r="F9" s="4">
        <f ca="1">F163*'Total Duration Tables Sup #1'!F9*(1+'Other Assumptions'!J$44)</f>
        <v>3.539186557253185E-2</v>
      </c>
      <c r="G9" s="4">
        <f ca="1">G163*'Total Duration Tables Sup #1'!G9*(1+'Other Assumptions'!K$44)</f>
        <v>3.646678477035712E-2</v>
      </c>
      <c r="H9" s="4">
        <f ca="1">H163*'Total Duration Tables Sup #1'!H9*(1+'Other Assumptions'!L$44)</f>
        <v>3.7318170995401002E-2</v>
      </c>
      <c r="I9" s="4">
        <f ca="1">I163*'Total Duration Tables Sup #1'!I9*(1+'Other Assumptions'!M$44)</f>
        <v>3.7713801838995031E-2</v>
      </c>
      <c r="J9" s="4">
        <f ca="1">J163*'Total Duration Tables Sup #1'!J9*(1+'Other Assumptions'!N$44)</f>
        <v>3.8007997591727065E-2</v>
      </c>
      <c r="K9" s="4">
        <f ca="1">K163*'Total Duration Tables Sup #1'!K9*(1+'Other Assumptions'!O$44)</f>
        <v>3.8238301810155348E-2</v>
      </c>
    </row>
    <row r="10" spans="1:11" x14ac:dyDescent="0.2">
      <c r="A10" t="str">
        <f ca="1">OFFSET(Northland_Reference,35,2)</f>
        <v>Motorcyclist</v>
      </c>
      <c r="B10" s="4">
        <f ca="1">B164*'Total Duration Tables Sup #1'!B10*(1+'Other Assumptions'!D$44)</f>
        <v>0.28382488960000002</v>
      </c>
      <c r="C10" s="4">
        <f ca="1">C164*'Total Duration Tables Sup #1'!C10*(1+'Other Assumptions'!G$44)</f>
        <v>0.30916922082041315</v>
      </c>
      <c r="D10" s="4">
        <f ca="1">D164*'Total Duration Tables Sup #1'!D10*(1+'Other Assumptions'!H$44)</f>
        <v>0.32196942064974055</v>
      </c>
      <c r="E10" s="4">
        <f ca="1">E164*'Total Duration Tables Sup #1'!E10*(1+'Other Assumptions'!I$44)</f>
        <v>0.33043031563133157</v>
      </c>
      <c r="F10" s="4">
        <f ca="1">F164*'Total Duration Tables Sup #1'!F10*(1+'Other Assumptions'!J$44)</f>
        <v>0.33660994024150942</v>
      </c>
      <c r="G10" s="4">
        <f ca="1">G164*'Total Duration Tables Sup #1'!G10*(1+'Other Assumptions'!K$44)</f>
        <v>0.33756139824055492</v>
      </c>
      <c r="H10" s="4">
        <f ca="1">H164*'Total Duration Tables Sup #1'!H10*(1+'Other Assumptions'!L$44)</f>
        <v>0.33612416576265852</v>
      </c>
      <c r="I10" s="4">
        <f ca="1">I164*'Total Duration Tables Sup #1'!I10*(1+'Other Assumptions'!M$44)</f>
        <v>0.34187893640989492</v>
      </c>
      <c r="J10" s="4">
        <f ca="1">J164*'Total Duration Tables Sup #1'!J10*(1+'Other Assumptions'!N$44)</f>
        <v>0.34676729372032</v>
      </c>
      <c r="K10" s="4">
        <f ca="1">K164*'Total Duration Tables Sup #1'!K10*(1+'Other Assumptions'!O$44)</f>
        <v>0.35111525525644438</v>
      </c>
    </row>
    <row r="11" spans="1:11" x14ac:dyDescent="0.2">
      <c r="A11" t="str">
        <f ca="1">OFFSET(Auckland_Reference,42,2)</f>
        <v>Local Train</v>
      </c>
      <c r="B11" s="4">
        <f ca="1">B165*'Total Duration Tables Sup #1'!B11*(1+'Other Assumptions'!D$44)</f>
        <v>0</v>
      </c>
      <c r="C11" s="4">
        <f ca="1">C165*'Total Duration Tables Sup #1'!C11*(1+'Other Assumptions'!G$44)</f>
        <v>0</v>
      </c>
      <c r="D11" s="4">
        <f ca="1">D165*'Total Duration Tables Sup #1'!D11*(1+'Other Assumptions'!H$44)</f>
        <v>0</v>
      </c>
      <c r="E11" s="4">
        <f ca="1">E165*'Total Duration Tables Sup #1'!E11*(1+'Other Assumptions'!I$44)</f>
        <v>0</v>
      </c>
      <c r="F11" s="4">
        <f ca="1">F165*'Total Duration Tables Sup #1'!F11*(1+'Other Assumptions'!J$44)</f>
        <v>0</v>
      </c>
      <c r="G11" s="4">
        <f ca="1">G165*'Total Duration Tables Sup #1'!G11*(1+'Other Assumptions'!K$44)</f>
        <v>0</v>
      </c>
      <c r="H11" s="4">
        <f ca="1">H165*'Total Duration Tables Sup #1'!H11*(1+'Other Assumptions'!L$44)</f>
        <v>0</v>
      </c>
      <c r="I11" s="4">
        <f ca="1">I165*'Total Duration Tables Sup #1'!I11*(1+'Other Assumptions'!M$44)</f>
        <v>0</v>
      </c>
      <c r="J11" s="4">
        <f ca="1">J165*'Total Duration Tables Sup #1'!J11*(1+'Other Assumptions'!N$44)</f>
        <v>0</v>
      </c>
      <c r="K11" s="4">
        <f ca="1">K165*'Total Duration Tables Sup #1'!K11*(1+'Other Assumptions'!O$44)</f>
        <v>0</v>
      </c>
    </row>
    <row r="12" spans="1:11" x14ac:dyDescent="0.2">
      <c r="A12" t="str">
        <f ca="1">OFFSET(Northland_Reference,42,2)</f>
        <v>Local Bus</v>
      </c>
      <c r="B12" s="4">
        <f ca="1">B166*'Total Duration Tables Sup #1'!B12*(1+'Other Assumptions'!D$44)</f>
        <v>1.5691203781</v>
      </c>
      <c r="C12" s="4">
        <f ca="1">C166*'Total Duration Tables Sup #1'!C12*(1+'Other Assumptions'!G$44)</f>
        <v>1.5650952851566038</v>
      </c>
      <c r="D12" s="4">
        <f ca="1">D166*'Total Duration Tables Sup #1'!D12*(1+'Other Assumptions'!H$44)</f>
        <v>1.5537457486647215</v>
      </c>
      <c r="E12" s="4">
        <f ca="1">E166*'Total Duration Tables Sup #1'!E12*(1+'Other Assumptions'!I$44)</f>
        <v>1.5476104700985052</v>
      </c>
      <c r="F12" s="4">
        <f ca="1">F166*'Total Duration Tables Sup #1'!F12*(1+'Other Assumptions'!J$44)</f>
        <v>1.5176254043995168</v>
      </c>
      <c r="G12" s="4">
        <f ca="1">G166*'Total Duration Tables Sup #1'!G12*(1+'Other Assumptions'!K$44)</f>
        <v>1.4937141975630379</v>
      </c>
      <c r="H12" s="4">
        <f ca="1">H166*'Total Duration Tables Sup #1'!H12*(1+'Other Assumptions'!L$44)</f>
        <v>1.4616757293096259</v>
      </c>
      <c r="I12" s="4">
        <f ca="1">I166*'Total Duration Tables Sup #1'!I12*(1+'Other Assumptions'!M$44)</f>
        <v>1.4838465191424597</v>
      </c>
      <c r="J12" s="4">
        <f ca="1">J166*'Total Duration Tables Sup #1'!J12*(1+'Other Assumptions'!N$44)</f>
        <v>1.5021566860465816</v>
      </c>
      <c r="K12" s="4">
        <f ca="1">K166*'Total Duration Tables Sup #1'!K12*(1+'Other Assumptions'!O$44)</f>
        <v>1.5180394072027279</v>
      </c>
    </row>
    <row r="13" spans="1:11" x14ac:dyDescent="0.2">
      <c r="A13" t="str">
        <f ca="1">OFFSET(Northland_Reference,49,2)</f>
        <v>Local Ferry</v>
      </c>
      <c r="B13" s="4">
        <f ca="1">B167*'Total Duration Tables Sup #1'!B13*(1+'Other Assumptions'!D$44)</f>
        <v>1.4305812299999996E-2</v>
      </c>
      <c r="C13" s="4">
        <f ca="1">C167*'Total Duration Tables Sup #1'!C13*(1+'Other Assumptions'!G$44)</f>
        <v>1.5951770464801143E-2</v>
      </c>
      <c r="D13" s="4">
        <f ca="1">D167*'Total Duration Tables Sup #1'!D13*(1+'Other Assumptions'!H$44)</f>
        <v>1.6933180160664762E-2</v>
      </c>
      <c r="E13" s="4">
        <f ca="1">E167*'Total Duration Tables Sup #1'!E13*(1+'Other Assumptions'!I$44)</f>
        <v>1.749180044468791E-2</v>
      </c>
      <c r="F13" s="4">
        <f ca="1">F167*'Total Duration Tables Sup #1'!F13*(1+'Other Assumptions'!J$44)</f>
        <v>1.7783437517204174E-2</v>
      </c>
      <c r="G13" s="4">
        <f ca="1">G167*'Total Duration Tables Sup #1'!G13*(1+'Other Assumptions'!K$44)</f>
        <v>1.8337500431807058E-2</v>
      </c>
      <c r="H13" s="4">
        <f ca="1">H167*'Total Duration Tables Sup #1'!H13*(1+'Other Assumptions'!L$44)</f>
        <v>1.8712482707370713E-2</v>
      </c>
      <c r="I13" s="4">
        <f ca="1">I167*'Total Duration Tables Sup #1'!I13*(1+'Other Assumptions'!M$44)</f>
        <v>1.8831401424151364E-2</v>
      </c>
      <c r="J13" s="4">
        <f ca="1">J167*'Total Duration Tables Sup #1'!J13*(1+'Other Assumptions'!N$44)</f>
        <v>1.8899910862669053E-2</v>
      </c>
      <c r="K13" s="4">
        <f ca="1">K167*'Total Duration Tables Sup #1'!K13*(1+'Other Assumptions'!O$44)</f>
        <v>1.8937248402830426E-2</v>
      </c>
    </row>
    <row r="14" spans="1:11" x14ac:dyDescent="0.2">
      <c r="A14" t="str">
        <f ca="1">OFFSET(Northland_Reference,56,2)</f>
        <v>Other Household Travel</v>
      </c>
      <c r="B14" s="4">
        <f ca="1">B168*'Total Duration Tables Sup #1'!B14*(1+'Other Assumptions'!D$44)</f>
        <v>0</v>
      </c>
      <c r="C14" s="4">
        <f ca="1">C168*'Total Duration Tables Sup #1'!C14*(1+'Other Assumptions'!G$44)</f>
        <v>0</v>
      </c>
      <c r="D14" s="4">
        <f ca="1">D168*'Total Duration Tables Sup #1'!D14*(1+'Other Assumptions'!H$44)</f>
        <v>0</v>
      </c>
      <c r="E14" s="4">
        <f ca="1">E168*'Total Duration Tables Sup #1'!E14*(1+'Other Assumptions'!I$44)</f>
        <v>0</v>
      </c>
      <c r="F14" s="4">
        <f ca="1">F168*'Total Duration Tables Sup #1'!F14*(1+'Other Assumptions'!J$44)</f>
        <v>0</v>
      </c>
      <c r="G14" s="4">
        <f ca="1">G168*'Total Duration Tables Sup #1'!G14*(1+'Other Assumptions'!K$44)</f>
        <v>0</v>
      </c>
      <c r="H14" s="4">
        <f ca="1">H168*'Total Duration Tables Sup #1'!H14*(1+'Other Assumptions'!L$44)</f>
        <v>0</v>
      </c>
      <c r="I14" s="4">
        <f ca="1">I168*'Total Duration Tables Sup #1'!I14*(1+'Other Assumptions'!M$44)</f>
        <v>0</v>
      </c>
      <c r="J14" s="4">
        <f ca="1">J168*'Total Duration Tables Sup #1'!J14*(1+'Other Assumptions'!N$44)</f>
        <v>0</v>
      </c>
      <c r="K14" s="4">
        <f ca="1">K168*'Total Duration Tables Sup #1'!K14*(1+'Other Assumptions'!O$44)</f>
        <v>0</v>
      </c>
    </row>
    <row r="15" spans="1:11" x14ac:dyDescent="0.2">
      <c r="A15" t="str">
        <f ca="1">OFFSET(Auckland_Reference,0,0)</f>
        <v>02 AUCKLAND</v>
      </c>
    </row>
    <row r="16" spans="1:11" x14ac:dyDescent="0.2">
      <c r="A16" t="str">
        <f ca="1">OFFSET(Auckland_Reference,0,2)</f>
        <v>Pedestrian</v>
      </c>
      <c r="B16" s="4">
        <f ca="1">(B159*'Total Duration Tables Sup #1'!B16)*(1+'Other Assumptions'!D$45)*(1+'Active Mode Assumptions'!B11)-('PT Assumptions'!B14*'Total Duration Tables Sup #2'!B170+'PT Assumptions'!B26*'Total Duration Tables Sup #2'!B173)*(1+'Other Assumptions'!D$45)</f>
        <v>73.381071999</v>
      </c>
      <c r="C16" s="4">
        <f ca="1">(C159*'Total Duration Tables Sup #1'!C16)*(1+'Other Assumptions'!G$45)*(1+'Active Mode Assumptions'!C11)-('PT Assumptions'!C14*'Total Duration Tables Sup #2'!C170+'PT Assumptions'!C26*'Total Duration Tables Sup #2'!C173)*(1+'Other Assumptions'!G$45)</f>
        <v>79.92932482476543</v>
      </c>
      <c r="D16" s="4">
        <f ca="1">(D159*'Total Duration Tables Sup #1'!D16)*(1+'Other Assumptions'!H$45)*(1+'Active Mode Assumptions'!D11)-('PT Assumptions'!D14*'Total Duration Tables Sup #2'!D170+'PT Assumptions'!D26*'Total Duration Tables Sup #2'!D173)*(1+'Other Assumptions'!H$45)</f>
        <v>87.024319046143859</v>
      </c>
      <c r="E16" s="4">
        <f ca="1">(E159*'Total Duration Tables Sup #1'!E16)*(1+'Other Assumptions'!I$45)*(1+'Active Mode Assumptions'!E11)-('PT Assumptions'!E14*'Total Duration Tables Sup #2'!E170+'PT Assumptions'!E26*'Total Duration Tables Sup #2'!E173)*(1+'Other Assumptions'!I$45)</f>
        <v>92.698134341974864</v>
      </c>
      <c r="F16" s="4">
        <f ca="1">(F159*'Total Duration Tables Sup #1'!F16)*(1+'Other Assumptions'!J$45)*(1+'Active Mode Assumptions'!F11)-('PT Assumptions'!F14*'Total Duration Tables Sup #2'!F170+'PT Assumptions'!F26*'Total Duration Tables Sup #2'!F173)*(1+'Other Assumptions'!J$45)</f>
        <v>97.815330886485853</v>
      </c>
      <c r="G16" s="4">
        <f ca="1">(G159*'Total Duration Tables Sup #1'!G16)*(1+'Other Assumptions'!K$45)*(1+'Active Mode Assumptions'!G11)-('PT Assumptions'!G14*'Total Duration Tables Sup #2'!G170+'PT Assumptions'!G26*'Total Duration Tables Sup #2'!G173)*(1+'Other Assumptions'!K$45)</f>
        <v>102.59200364121703</v>
      </c>
      <c r="H16" s="4">
        <f ca="1">(H159*'Total Duration Tables Sup #1'!H16)*(1+'Other Assumptions'!L$45)*(1+'Active Mode Assumptions'!H11)-('PT Assumptions'!H14*'Total Duration Tables Sup #2'!H170+'PT Assumptions'!H26*'Total Duration Tables Sup #2'!H173)*(1+'Other Assumptions'!L$45)</f>
        <v>107.04412263734915</v>
      </c>
      <c r="I16" s="4">
        <f ca="1">(I159*'Total Duration Tables Sup #1'!I16)*(1+'Other Assumptions'!M$45)*(1+'Active Mode Assumptions'!I11)-('PT Assumptions'!I14*'Total Duration Tables Sup #2'!I170+'PT Assumptions'!I26*'Total Duration Tables Sup #2'!I173)*(1+'Other Assumptions'!M$45)</f>
        <v>110.26724931199507</v>
      </c>
      <c r="J16" s="4">
        <f ca="1">(J159*'Total Duration Tables Sup #1'!J16)*(1+'Other Assumptions'!N$45)*(1+'Active Mode Assumptions'!J11)-('PT Assumptions'!J14*'Total Duration Tables Sup #2'!J170+'PT Assumptions'!J26*'Total Duration Tables Sup #2'!J173)*(1+'Other Assumptions'!N$45)</f>
        <v>113.24195709811565</v>
      </c>
      <c r="K16" s="4">
        <f ca="1">(K159*'Total Duration Tables Sup #1'!K16)*(1+'Other Assumptions'!O$45)*(1+'Active Mode Assumptions'!K11)-('PT Assumptions'!K14*'Total Duration Tables Sup #2'!K170+'PT Assumptions'!K26*'Total Duration Tables Sup #2'!K173)*(1+'Other Assumptions'!O$45)</f>
        <v>116.05453756539298</v>
      </c>
    </row>
    <row r="17" spans="1:11" x14ac:dyDescent="0.2">
      <c r="A17" t="str">
        <f ca="1">OFFSET(Auckland_Reference,7,2)</f>
        <v>Cyclist</v>
      </c>
      <c r="B17" s="4">
        <f ca="1">(B160*'Total Duration Tables Sup #1'!B17)*(1+'Other Assumptions'!D$45)*(1+'Active Mode Assumptions'!B20)-('PT Assumptions'!B15*'Total Duration Tables Sup #2'!B170+'PT Assumptions'!B27*'Total Duration Tables Sup #2'!B173)*(1+'Other Assumptions'!D$45)</f>
        <v>4.3659429593999999</v>
      </c>
      <c r="C17" s="4">
        <f ca="1">(C160*'Total Duration Tables Sup #1'!C17)*(1+'Other Assumptions'!G$45)*(1+'Active Mode Assumptions'!C20)-('PT Assumptions'!C15*'Total Duration Tables Sup #2'!C170+'PT Assumptions'!C27*'Total Duration Tables Sup #2'!C173)*(1+'Other Assumptions'!G$45)</f>
        <v>4.8862443830221096</v>
      </c>
      <c r="D17" s="4">
        <f ca="1">(D160*'Total Duration Tables Sup #1'!D17)*(1+'Other Assumptions'!H$45)*(1+'Active Mode Assumptions'!D20)-('PT Assumptions'!D15*'Total Duration Tables Sup #2'!D170+'PT Assumptions'!D27*'Total Duration Tables Sup #2'!D173)*(1+'Other Assumptions'!H$45)</f>
        <v>6.2386199604561483</v>
      </c>
      <c r="E17" s="4">
        <f ca="1">(E160*'Total Duration Tables Sup #1'!E17)*(1+'Other Assumptions'!I$45)*(1+'Active Mode Assumptions'!E20)-('PT Assumptions'!E15*'Total Duration Tables Sup #2'!E170+'PT Assumptions'!E27*'Total Duration Tables Sup #2'!E173)*(1+'Other Assumptions'!I$45)</f>
        <v>7.534778032690296</v>
      </c>
      <c r="F17" s="4">
        <f ca="1">(F160*'Total Duration Tables Sup #1'!F17)*(1+'Other Assumptions'!J$45)*(1+'Active Mode Assumptions'!F20)-('PT Assumptions'!F15*'Total Duration Tables Sup #2'!F170+'PT Assumptions'!F27*'Total Duration Tables Sup #2'!F173)*(1+'Other Assumptions'!J$45)</f>
        <v>8.9748024668972111</v>
      </c>
      <c r="G17" s="4">
        <f ca="1">(G160*'Total Duration Tables Sup #1'!G17)*(1+'Other Assumptions'!K$45)*(1+'Active Mode Assumptions'!G20)-('PT Assumptions'!G15*'Total Duration Tables Sup #2'!G170+'PT Assumptions'!G27*'Total Duration Tables Sup #2'!G173)*(1+'Other Assumptions'!K$45)</f>
        <v>10.608484028144538</v>
      </c>
      <c r="H17" s="4">
        <f ca="1">(H160*'Total Duration Tables Sup #1'!H17)*(1+'Other Assumptions'!L$45)*(1+'Active Mode Assumptions'!H20)-('PT Assumptions'!H15*'Total Duration Tables Sup #2'!H170+'PT Assumptions'!H27*'Total Duration Tables Sup #2'!H173)*(1+'Other Assumptions'!L$45)</f>
        <v>12.372758597192675</v>
      </c>
      <c r="I17" s="4">
        <f ca="1">(I160*'Total Duration Tables Sup #1'!I17)*(1+'Other Assumptions'!M$45)*(1+'Active Mode Assumptions'!I20)-('PT Assumptions'!I15*'Total Duration Tables Sup #2'!I170+'PT Assumptions'!I27*'Total Duration Tables Sup #2'!I173)*(1+'Other Assumptions'!M$45)</f>
        <v>12.774696073163206</v>
      </c>
      <c r="J17" s="4">
        <f ca="1">(J160*'Total Duration Tables Sup #1'!J17)*(1+'Other Assumptions'!N$45)*(1+'Active Mode Assumptions'!J20)-('PT Assumptions'!J15*'Total Duration Tables Sup #2'!J170+'PT Assumptions'!J27*'Total Duration Tables Sup #2'!J173)*(1+'Other Assumptions'!N$45)</f>
        <v>13.15074943557164</v>
      </c>
      <c r="K17" s="4">
        <f ca="1">(K160*'Total Duration Tables Sup #1'!K17)*(1+'Other Assumptions'!O$45)*(1+'Active Mode Assumptions'!K20)-('PT Assumptions'!K15*'Total Duration Tables Sup #2'!K170+'PT Assumptions'!K27*'Total Duration Tables Sup #2'!K173)*(1+'Other Assumptions'!O$45)</f>
        <v>13.511853673678084</v>
      </c>
    </row>
    <row r="18" spans="1:11" x14ac:dyDescent="0.2">
      <c r="A18" t="str">
        <f ca="1">OFFSET(Auckland_Reference,14,2)</f>
        <v>Light Vehicle Driver</v>
      </c>
      <c r="B18" s="4">
        <f ca="1">(B161*'Total Duration Tables Sup #1'!B18-'PT Assumptions'!B16*'Total Duration Tables Sup #2'!B170-'PT Assumptions'!B28*'Total Duration Tables Sup #2'!B173)*(1+'Other Assumptions'!D$45)-(B159*'Total Duration Tables Sup #1'!B16)*(1+'Other Assumptions'!D$45)*'Active Mode Assumptions'!B11*'Active Mode Assumptions'!B14-(B160*'Total Duration Tables Sup #1'!B17)*(1+'Other Assumptions'!D$45)*'Active Mode Assumptions'!B20*'Active Mode Assumptions'!B23</f>
        <v>295.36669345000001</v>
      </c>
      <c r="C18" s="4">
        <f ca="1">(C161*'Total Duration Tables Sup #1'!C18-'PT Assumptions'!C16*'Total Duration Tables Sup #2'!C170-'PT Assumptions'!C28*'Total Duration Tables Sup #2'!C173)*(1+'Other Assumptions'!G$45)-(C159*'Total Duration Tables Sup #1'!C16)*(1+'Other Assumptions'!G$45)*'Active Mode Assumptions'!C11*'Active Mode Assumptions'!C14-(C160*'Total Duration Tables Sup #1'!C17)*(1+'Other Assumptions'!G$45)*'Active Mode Assumptions'!C20*'Active Mode Assumptions'!C23</f>
        <v>331.59024149492831</v>
      </c>
      <c r="D18" s="4">
        <f ca="1">(D161*'Total Duration Tables Sup #1'!D18-'PT Assumptions'!D16*'Total Duration Tables Sup #2'!D170-'PT Assumptions'!D28*'Total Duration Tables Sup #2'!D173)*(1+'Other Assumptions'!H$45)-(D159*'Total Duration Tables Sup #1'!D16)*(1+'Other Assumptions'!H$45)*'Active Mode Assumptions'!D11*'Active Mode Assumptions'!D14-(D160*'Total Duration Tables Sup #1'!D17)*(1+'Other Assumptions'!H$45)*'Active Mode Assumptions'!D20*'Active Mode Assumptions'!D23</f>
        <v>349.19136080450312</v>
      </c>
      <c r="E18" s="4">
        <f ca="1">(E161*'Total Duration Tables Sup #1'!E18-'PT Assumptions'!E16*'Total Duration Tables Sup #2'!E170-'PT Assumptions'!E28*'Total Duration Tables Sup #2'!E173)*(1+'Other Assumptions'!I$45)-(E159*'Total Duration Tables Sup #1'!E16)*(1+'Other Assumptions'!I$45)*'Active Mode Assumptions'!E11*'Active Mode Assumptions'!E14-(E160*'Total Duration Tables Sup #1'!E17)*(1+'Other Assumptions'!I$45)*'Active Mode Assumptions'!E20*'Active Mode Assumptions'!E23</f>
        <v>363.46495013750524</v>
      </c>
      <c r="F18" s="4">
        <f ca="1">(F161*'Total Duration Tables Sup #1'!F18-'PT Assumptions'!F16*'Total Duration Tables Sup #2'!F170-'PT Assumptions'!F28*'Total Duration Tables Sup #2'!F173)*(1+'Other Assumptions'!J$45)-(F159*'Total Duration Tables Sup #1'!F16)*(1+'Other Assumptions'!J$45)*'Active Mode Assumptions'!F11*'Active Mode Assumptions'!F14-(F160*'Total Duration Tables Sup #1'!F17)*(1+'Other Assumptions'!J$45)*'Active Mode Assumptions'!F20*'Active Mode Assumptions'!F23</f>
        <v>379.06721194495799</v>
      </c>
      <c r="G18" s="4">
        <f ca="1">(G161*'Total Duration Tables Sup #1'!G18-'PT Assumptions'!G16*'Total Duration Tables Sup #2'!G170-'PT Assumptions'!G28*'Total Duration Tables Sup #2'!G173)*(1+'Other Assumptions'!K$45)-(G159*'Total Duration Tables Sup #1'!G16)*(1+'Other Assumptions'!K$45)*'Active Mode Assumptions'!G11*'Active Mode Assumptions'!G14-(G160*'Total Duration Tables Sup #1'!G17)*(1+'Other Assumptions'!K$45)*'Active Mode Assumptions'!G20*'Active Mode Assumptions'!G23</f>
        <v>390.82427081484889</v>
      </c>
      <c r="H18" s="4">
        <f ca="1">(H161*'Total Duration Tables Sup #1'!H18-'PT Assumptions'!H16*'Total Duration Tables Sup #2'!H170-'PT Assumptions'!H28*'Total Duration Tables Sup #2'!H173)*(1+'Other Assumptions'!L$45)-(H159*'Total Duration Tables Sup #1'!H16)*(1+'Other Assumptions'!L$45)*'Active Mode Assumptions'!H11*'Active Mode Assumptions'!H14-(H160*'Total Duration Tables Sup #1'!H17)*(1+'Other Assumptions'!L$45)*'Active Mode Assumptions'!H20*'Active Mode Assumptions'!H23</f>
        <v>400.80529825323697</v>
      </c>
      <c r="I18" s="4">
        <f ca="1">(I161*'Total Duration Tables Sup #1'!I18-'PT Assumptions'!I16*'Total Duration Tables Sup #2'!I170-'PT Assumptions'!I28*'Total Duration Tables Sup #2'!I173)*(1+'Other Assumptions'!M$45)-(I159*'Total Duration Tables Sup #1'!I16)*(1+'Other Assumptions'!M$45)*'Active Mode Assumptions'!I11*'Active Mode Assumptions'!I14-(I160*'Total Duration Tables Sup #1'!I17)*(1+'Other Assumptions'!M$45)*'Active Mode Assumptions'!I20*'Active Mode Assumptions'!I23</f>
        <v>411.38022397234346</v>
      </c>
      <c r="J18" s="4">
        <f ca="1">(J161*'Total Duration Tables Sup #1'!J18-'PT Assumptions'!J16*'Total Duration Tables Sup #2'!J170-'PT Assumptions'!J28*'Total Duration Tables Sup #2'!J173)*(1+'Other Assumptions'!N$45)-(J159*'Total Duration Tables Sup #1'!J16)*(1+'Other Assumptions'!N$45)*'Active Mode Assumptions'!J11*'Active Mode Assumptions'!J14-(J160*'Total Duration Tables Sup #1'!J17)*(1+'Other Assumptions'!N$45)*'Active Mode Assumptions'!J20*'Active Mode Assumptions'!J23</f>
        <v>420.82973193473384</v>
      </c>
      <c r="K18" s="4">
        <f ca="1">(K161*'Total Duration Tables Sup #1'!K18-'PT Assumptions'!K16*'Total Duration Tables Sup #2'!K170-'PT Assumptions'!K28*'Total Duration Tables Sup #2'!K173)*(1+'Other Assumptions'!O$45)-(K159*'Total Duration Tables Sup #1'!K16)*(1+'Other Assumptions'!O$45)*'Active Mode Assumptions'!K11*'Active Mode Assumptions'!K14-(K160*'Total Duration Tables Sup #1'!K17)*(1+'Other Assumptions'!O$45)*'Active Mode Assumptions'!K20*'Active Mode Assumptions'!K23</f>
        <v>429.37493025761518</v>
      </c>
    </row>
    <row r="19" spans="1:11" x14ac:dyDescent="0.2">
      <c r="A19" t="str">
        <f ca="1">OFFSET(Auckland_Reference,21,2)</f>
        <v>Light Vehicle Passenger</v>
      </c>
      <c r="B19" s="4">
        <f ca="1">(B162*'Total Duration Tables Sup #1'!B19-'PT Assumptions'!B17*'Total Duration Tables Sup #2'!B170-'PT Assumptions'!B29*'Total Duration Tables Sup #2'!B173)*(1+'Other Assumptions'!D$45)-(B159*'Total Duration Tables Sup #1'!B16)*(1+'Other Assumptions'!D$45)*'Active Mode Assumptions'!B11*'Active Mode Assumptions'!B15-(B160*'Total Duration Tables Sup #1'!B17)*(1+'Other Assumptions'!D$45)*'Active Mode Assumptions'!B20*'Active Mode Assumptions'!B24</f>
        <v>145.42645436999999</v>
      </c>
      <c r="C19" s="4">
        <f ca="1">(C162*'Total Duration Tables Sup #1'!C19-'PT Assumptions'!C17*'Total Duration Tables Sup #2'!C170-'PT Assumptions'!C29*'Total Duration Tables Sup #2'!C173)*(1+'Other Assumptions'!G$45)-(C159*'Total Duration Tables Sup #1'!C16)*(1+'Other Assumptions'!G$45)*'Active Mode Assumptions'!C11*'Active Mode Assumptions'!C15-(C160*'Total Duration Tables Sup #1'!C17)*(1+'Other Assumptions'!G$45)*'Active Mode Assumptions'!C20*'Active Mode Assumptions'!C24</f>
        <v>155.88716006965109</v>
      </c>
      <c r="D19" s="4">
        <f ca="1">(D162*'Total Duration Tables Sup #1'!D19-'PT Assumptions'!D17*'Total Duration Tables Sup #2'!D170-'PT Assumptions'!D29*'Total Duration Tables Sup #2'!D173)*(1+'Other Assumptions'!H$45)-(D159*'Total Duration Tables Sup #1'!D16)*(1+'Other Assumptions'!H$45)*'Active Mode Assumptions'!D11*'Active Mode Assumptions'!D15-(D160*'Total Duration Tables Sup #1'!D17)*(1+'Other Assumptions'!H$45)*'Active Mode Assumptions'!D20*'Active Mode Assumptions'!D24</f>
        <v>156.70031127467306</v>
      </c>
      <c r="E19" s="4">
        <f ca="1">(E162*'Total Duration Tables Sup #1'!E19-'PT Assumptions'!E17*'Total Duration Tables Sup #2'!E170-'PT Assumptions'!E29*'Total Duration Tables Sup #2'!E173)*(1+'Other Assumptions'!I$45)-(E159*'Total Duration Tables Sup #1'!E16)*(1+'Other Assumptions'!I$45)*'Active Mode Assumptions'!E11*'Active Mode Assumptions'!E15-(E160*'Total Duration Tables Sup #1'!E17)*(1+'Other Assumptions'!I$45)*'Active Mode Assumptions'!E20*'Active Mode Assumptions'!E24</f>
        <v>155.6177924194306</v>
      </c>
      <c r="F19" s="4">
        <f ca="1">(F162*'Total Duration Tables Sup #1'!F19-'PT Assumptions'!F17*'Total Duration Tables Sup #2'!F170-'PT Assumptions'!F29*'Total Duration Tables Sup #2'!F173)*(1+'Other Assumptions'!J$45)-(F159*'Total Duration Tables Sup #1'!F16)*(1+'Other Assumptions'!J$45)*'Active Mode Assumptions'!F11*'Active Mode Assumptions'!F15-(F160*'Total Duration Tables Sup #1'!F17)*(1+'Other Assumptions'!J$45)*'Active Mode Assumptions'!F20*'Active Mode Assumptions'!F24</f>
        <v>156.0981390702718</v>
      </c>
      <c r="G19" s="4">
        <f ca="1">(G162*'Total Duration Tables Sup #1'!G19-'PT Assumptions'!G17*'Total Duration Tables Sup #2'!G170-'PT Assumptions'!G29*'Total Duration Tables Sup #2'!G173)*(1+'Other Assumptions'!K$45)-(G159*'Total Duration Tables Sup #1'!G16)*(1+'Other Assumptions'!K$45)*'Active Mode Assumptions'!G11*'Active Mode Assumptions'!G15-(G160*'Total Duration Tables Sup #1'!G17)*(1+'Other Assumptions'!K$45)*'Active Mode Assumptions'!G20*'Active Mode Assumptions'!G24</f>
        <v>155.37668635909191</v>
      </c>
      <c r="H19" s="4">
        <f ca="1">(H162*'Total Duration Tables Sup #1'!H19-'PT Assumptions'!H17*'Total Duration Tables Sup #2'!H170-'PT Assumptions'!H29*'Total Duration Tables Sup #2'!H173)*(1+'Other Assumptions'!L$45)-(H159*'Total Duration Tables Sup #1'!H16)*(1+'Other Assumptions'!L$45)*'Active Mode Assumptions'!H11*'Active Mode Assumptions'!H15-(H160*'Total Duration Tables Sup #1'!H17)*(1+'Other Assumptions'!L$45)*'Active Mode Assumptions'!H20*'Active Mode Assumptions'!H24</f>
        <v>153.64079919143981</v>
      </c>
      <c r="I19" s="4">
        <f ca="1">(I162*'Total Duration Tables Sup #1'!I19-'PT Assumptions'!I17*'Total Duration Tables Sup #2'!I170-'PT Assumptions'!I29*'Total Duration Tables Sup #2'!I173)*(1+'Other Assumptions'!M$45)-(I159*'Total Duration Tables Sup #1'!I16)*(1+'Other Assumptions'!M$45)*'Active Mode Assumptions'!I11*'Active Mode Assumptions'!I15-(I160*'Total Duration Tables Sup #1'!I17)*(1+'Other Assumptions'!M$45)*'Active Mode Assumptions'!I20*'Active Mode Assumptions'!I24</f>
        <v>156.36784698748409</v>
      </c>
      <c r="J19" s="4">
        <f ca="1">(J162*'Total Duration Tables Sup #1'!J19-'PT Assumptions'!J17*'Total Duration Tables Sup #2'!J170-'PT Assumptions'!J29*'Total Duration Tables Sup #2'!J173)*(1+'Other Assumptions'!N$45)-(J159*'Total Duration Tables Sup #1'!J16)*(1+'Other Assumptions'!N$45)*'Active Mode Assumptions'!J11*'Active Mode Assumptions'!J15-(J160*'Total Duration Tables Sup #1'!J17)*(1+'Other Assumptions'!N$45)*'Active Mode Assumptions'!J20*'Active Mode Assumptions'!J24</f>
        <v>158.49611536304832</v>
      </c>
      <c r="K19" s="4">
        <f ca="1">(K162*'Total Duration Tables Sup #1'!K19-'PT Assumptions'!K17*'Total Duration Tables Sup #2'!K170-'PT Assumptions'!K29*'Total Duration Tables Sup #2'!K173)*(1+'Other Assumptions'!O$45)-(K159*'Total Duration Tables Sup #1'!K16)*(1+'Other Assumptions'!O$45)*'Active Mode Assumptions'!K11*'Active Mode Assumptions'!K15-(K160*'Total Duration Tables Sup #1'!K17)*(1+'Other Assumptions'!O$45)*'Active Mode Assumptions'!K20*'Active Mode Assumptions'!K24</f>
        <v>160.02759246578731</v>
      </c>
    </row>
    <row r="20" spans="1:11" x14ac:dyDescent="0.2">
      <c r="A20" t="str">
        <f ca="1">OFFSET(Auckland_Reference,28,2)</f>
        <v>Taxi/Vehicle Share</v>
      </c>
      <c r="B20" s="4">
        <f ca="1">B163*'Total Duration Tables Sup #1'!B20*(1+'Other Assumptions'!D$45)</f>
        <v>1.9131795197999999</v>
      </c>
      <c r="C20" s="4">
        <f ca="1">C163*'Total Duration Tables Sup #1'!C20*(1+'Other Assumptions'!G$45)</f>
        <v>2.2411733650548</v>
      </c>
      <c r="D20" s="4">
        <f ca="1">D163*'Total Duration Tables Sup #1'!D20*(1+'Other Assumptions'!H$45)</f>
        <v>2.5029620513320605</v>
      </c>
      <c r="E20" s="4">
        <f ca="1">E163*'Total Duration Tables Sup #1'!E20*(1+'Other Assumptions'!I$45)</f>
        <v>2.7231207049079091</v>
      </c>
      <c r="F20" s="4">
        <f ca="1">F163*'Total Duration Tables Sup #1'!F20*(1+'Other Assumptions'!J$45)</f>
        <v>2.9182339586996462</v>
      </c>
      <c r="G20" s="4">
        <f ca="1">G163*'Total Duration Tables Sup #1'!G20*(1+'Other Assumptions'!K$45)</f>
        <v>3.0612652837703513</v>
      </c>
      <c r="H20" s="4">
        <f ca="1">H163*'Total Duration Tables Sup #1'!H20*(1+'Other Assumptions'!L$45)</f>
        <v>3.1924436135370953</v>
      </c>
      <c r="I20" s="4">
        <f ca="1">I163*'Total Duration Tables Sup #1'!I20*(1+'Other Assumptions'!M$45)</f>
        <v>3.2872300682212336</v>
      </c>
      <c r="J20" s="4">
        <f ca="1">J163*'Total Duration Tables Sup #1'!J20*(1+'Other Assumptions'!N$45)</f>
        <v>3.3748454590123291</v>
      </c>
      <c r="K20" s="4">
        <f ca="1">K163*'Total Duration Tables Sup #1'!K20*(1+'Other Assumptions'!O$45)</f>
        <v>3.4581485399632497</v>
      </c>
    </row>
    <row r="21" spans="1:11" x14ac:dyDescent="0.2">
      <c r="A21" t="str">
        <f ca="1">OFFSET(Auckland_Reference,35,2)</f>
        <v>Motorcyclist</v>
      </c>
      <c r="B21" s="4">
        <f ca="1">B164*'Total Duration Tables Sup #1'!B21*(1+'Other Assumptions'!D$45)</f>
        <v>1.5334409518000001</v>
      </c>
      <c r="C21" s="4">
        <f ca="1">C164*'Total Duration Tables Sup #1'!C21*(1+'Other Assumptions'!G$45)</f>
        <v>1.7116236718392628</v>
      </c>
      <c r="D21" s="4">
        <f ca="1">D164*'Total Duration Tables Sup #1'!D21*(1+'Other Assumptions'!H$45)</f>
        <v>1.8203646399550641</v>
      </c>
      <c r="E21" s="4">
        <f ca="1">E164*'Total Duration Tables Sup #1'!E21*(1+'Other Assumptions'!I$45)</f>
        <v>1.8993593411484637</v>
      </c>
      <c r="F21" s="4">
        <f ca="1">F164*'Total Duration Tables Sup #1'!F21*(1+'Other Assumptions'!J$45)</f>
        <v>1.9697930695976613</v>
      </c>
      <c r="G21" s="4">
        <f ca="1">G164*'Total Duration Tables Sup #1'!G21*(1+'Other Assumptions'!K$45)</f>
        <v>2.0110982446004462</v>
      </c>
      <c r="H21" s="4">
        <f ca="1">H164*'Total Duration Tables Sup #1'!H21*(1+'Other Assumptions'!L$45)</f>
        <v>2.0407022319434507</v>
      </c>
      <c r="I21" s="4">
        <f ca="1">I164*'Total Duration Tables Sup #1'!I21*(1+'Other Assumptions'!M$45)</f>
        <v>2.1148479437333316</v>
      </c>
      <c r="J21" s="4">
        <f ca="1">J164*'Total Duration Tables Sup #1'!J21*(1+'Other Assumptions'!N$45)</f>
        <v>2.1852143650500024</v>
      </c>
      <c r="K21" s="4">
        <f ca="1">K164*'Total Duration Tables Sup #1'!K21*(1+'Other Assumptions'!O$45)</f>
        <v>2.2535736885879647</v>
      </c>
    </row>
    <row r="22" spans="1:11" x14ac:dyDescent="0.2">
      <c r="A22" t="str">
        <f ca="1">OFFSET(Auckland_Reference,42,2)</f>
        <v>Local Train</v>
      </c>
      <c r="B22" s="4">
        <f ca="1">'Total Duration Tables Sup #1'!B22*(1+'PT Assumptions'!B11)*(1+'Other Assumptions'!D$45)</f>
        <v>5.3839181294388831</v>
      </c>
      <c r="C22" s="4">
        <f ca="1">'Total Duration Tables Sup #1'!C22*(1+'PT Assumptions'!C11)*(1+'Other Assumptions'!G$45)</f>
        <v>10.741581901885192</v>
      </c>
      <c r="D22" s="4">
        <f ca="1">'Total Duration Tables Sup #1'!D22*(1+'PT Assumptions'!D11)*(1+'Other Assumptions'!H$45)</f>
        <v>21.123809927385704</v>
      </c>
      <c r="E22" s="4">
        <f ca="1">'Total Duration Tables Sup #1'!E22*(1+'PT Assumptions'!E11)*(1+'Other Assumptions'!I$45)</f>
        <v>30.572710417109107</v>
      </c>
      <c r="F22" s="4">
        <f ca="1">'Total Duration Tables Sup #1'!F22*(1+'PT Assumptions'!F11)*(1+'Other Assumptions'!J$45)</f>
        <v>34.362811318382597</v>
      </c>
      <c r="G22" s="4">
        <f ca="1">'Total Duration Tables Sup #1'!G22*(1+'PT Assumptions'!G11)*(1+'Other Assumptions'!K$45)</f>
        <v>37.848390141106812</v>
      </c>
      <c r="H22" s="4">
        <f ca="1">'Total Duration Tables Sup #1'!H22*(1+'PT Assumptions'!H11)*(1+'Other Assumptions'!L$45)</f>
        <v>41.031745457375322</v>
      </c>
      <c r="I22" s="4">
        <f ca="1">'Total Duration Tables Sup #1'!I22*(1+'PT Assumptions'!I11)*(1+'Other Assumptions'!M$45)</f>
        <v>45.241904697743571</v>
      </c>
      <c r="J22" s="4">
        <f ca="1">'Total Duration Tables Sup #1'!J22*(1+'PT Assumptions'!J11)*(1+'Other Assumptions'!N$45)</f>
        <v>49.670820125669664</v>
      </c>
      <c r="K22" s="4">
        <f ca="1">'Total Duration Tables Sup #1'!K22*(1+'PT Assumptions'!K11)*(1+'Other Assumptions'!O$45)</f>
        <v>54.545160435145014</v>
      </c>
    </row>
    <row r="23" spans="1:11" x14ac:dyDescent="0.2">
      <c r="A23" t="str">
        <f ca="1">OFFSET(Auckland_Reference,49,2)</f>
        <v>Local Bus</v>
      </c>
      <c r="B23" s="4">
        <f ca="1">'Total Duration Tables Sup #1'!B23*(1+'PT Assumptions'!B23)*(1+'Other Assumptions'!D$45)</f>
        <v>22.597670440041398</v>
      </c>
      <c r="C23" s="4">
        <f ca="1">'Total Duration Tables Sup #1'!C23*(1+'PT Assumptions'!C23)*(1+'Other Assumptions'!G$45)</f>
        <v>24.032137116452621</v>
      </c>
      <c r="D23" s="4">
        <f ca="1">'Total Duration Tables Sup #1'!D23*(1+'PT Assumptions'!D23)*(1+'Other Assumptions'!H$45)</f>
        <v>31.523641717779523</v>
      </c>
      <c r="E23" s="4">
        <f ca="1">'Total Duration Tables Sup #1'!E23*(1+'PT Assumptions'!E23)*(1+'Other Assumptions'!I$45)</f>
        <v>37.510431204569102</v>
      </c>
      <c r="F23" s="4">
        <f ca="1">'Total Duration Tables Sup #1'!F23*(1+'PT Assumptions'!F23)*(1+'Other Assumptions'!J$45)</f>
        <v>39.849532943535117</v>
      </c>
      <c r="G23" s="4">
        <f ca="1">'Total Duration Tables Sup #1'!G23*(1+'PT Assumptions'!G23)*(1+'Other Assumptions'!K$45)</f>
        <v>41.722534068270086</v>
      </c>
      <c r="H23" s="4">
        <f ca="1">'Total Duration Tables Sup #1'!H23*(1+'PT Assumptions'!H23)*(1+'Other Assumptions'!L$45)</f>
        <v>43.20734485658479</v>
      </c>
      <c r="I23" s="4">
        <f ca="1">'Total Duration Tables Sup #1'!I23*(1+'PT Assumptions'!I23)*(1+'Other Assumptions'!M$45)</f>
        <v>46.742468832819526</v>
      </c>
      <c r="J23" s="4">
        <f ca="1">'Total Duration Tables Sup #1'!J23*(1+'PT Assumptions'!J23)*(1+'Other Assumptions'!N$45)</f>
        <v>50.423490753770821</v>
      </c>
      <c r="K23" s="4">
        <f ca="1">'Total Duration Tables Sup #1'!K23*(1+'PT Assumptions'!K23)*(1+'Other Assumptions'!O$45)</f>
        <v>54.406227279069945</v>
      </c>
    </row>
    <row r="24" spans="1:11" x14ac:dyDescent="0.2">
      <c r="A24" t="str">
        <f ca="1">OFFSET(Auckland_Reference,56,2)</f>
        <v>Local Ferry</v>
      </c>
      <c r="B24" s="4">
        <f ca="1">B167*'Total Duration Tables Sup #1'!B24*(1+'PT Assumptions'!B34)*(1+'Other Assumptions'!D$45)</f>
        <v>1.3948644118033415</v>
      </c>
      <c r="C24" s="4">
        <f ca="1">C167*'Total Duration Tables Sup #1'!C24*(1+'PT Assumptions'!C34)*(1+'Other Assumptions'!G$45)</f>
        <v>1.593763278897623</v>
      </c>
      <c r="D24" s="4">
        <f ca="1">D167*'Total Duration Tables Sup #1'!D24*(1+'PT Assumptions'!D34)*(1+'Other Assumptions'!H$45)</f>
        <v>1.7277670426595511</v>
      </c>
      <c r="E24" s="4">
        <f ca="1">E167*'Total Duration Tables Sup #1'!E24*(1+'PT Assumptions'!E34)*(1+'Other Assumptions'!I$45)</f>
        <v>1.8145321084922603</v>
      </c>
      <c r="F24" s="4">
        <f ca="1">F167*'Total Duration Tables Sup #1'!F24*(1+'PT Assumptions'!F34)*(1+'Other Assumptions'!J$45)</f>
        <v>1.8780721537815597</v>
      </c>
      <c r="G24" s="4">
        <f ca="1">G167*'Total Duration Tables Sup #1'!G24*(1+'PT Assumptions'!G34)*(1+'Other Assumptions'!K$45)</f>
        <v>1.971621469119837</v>
      </c>
      <c r="H24" s="4">
        <f ca="1">H167*'Total Duration Tables Sup #1'!H24*(1+'PT Assumptions'!H34)*(1+'Other Assumptions'!L$45)</f>
        <v>2.0502848652743397</v>
      </c>
      <c r="I24" s="4">
        <f ca="1">I167*'Total Duration Tables Sup #1'!I24*(1+'PT Assumptions'!I34)*(1+'Other Assumptions'!M$45)</f>
        <v>2.1022886037371458</v>
      </c>
      <c r="J24" s="4">
        <f ca="1">J167*'Total Duration Tables Sup #1'!J24*(1+'PT Assumptions'!J34)*(1+'Other Assumptions'!N$45)</f>
        <v>2.1494065368097606</v>
      </c>
      <c r="K24" s="4">
        <f ca="1">K167*'Total Duration Tables Sup #1'!K24*(1+'PT Assumptions'!K34)*(1+'Other Assumptions'!O$45)</f>
        <v>2.1935211788828273</v>
      </c>
    </row>
    <row r="25" spans="1:11" x14ac:dyDescent="0.2">
      <c r="A25" t="str">
        <f ca="1">OFFSET(Auckland_Reference,63,2)</f>
        <v>Other Household Travel</v>
      </c>
      <c r="B25" s="4">
        <f ca="1">B168*'Total Duration Tables Sup #1'!B25*(1+'Other Assumptions'!D$45)</f>
        <v>2.4325058500000001</v>
      </c>
      <c r="C25" s="4">
        <f ca="1">C168*'Total Duration Tables Sup #1'!C25*(1+'Other Assumptions'!G$45)</f>
        <v>2.7269866129336418</v>
      </c>
      <c r="D25" s="4">
        <f ca="1">D168*'Total Duration Tables Sup #1'!D25*(1+'Other Assumptions'!H$45)</f>
        <v>2.9498841914385858</v>
      </c>
      <c r="E25" s="4">
        <f ca="1">E168*'Total Duration Tables Sup #1'!E25*(1+'Other Assumptions'!I$45)</f>
        <v>3.087699177882794</v>
      </c>
      <c r="F25" s="4">
        <f ca="1">F168*'Total Duration Tables Sup #1'!F25*(1+'Other Assumptions'!J$45)</f>
        <v>3.1995063006377706</v>
      </c>
      <c r="G25" s="4">
        <f ca="1">G168*'Total Duration Tables Sup #1'!G25*(1+'Other Assumptions'!K$45)</f>
        <v>3.3169450781524148</v>
      </c>
      <c r="H25" s="4">
        <f ca="1">H168*'Total Duration Tables Sup #1'!H25*(1+'Other Assumptions'!L$45)</f>
        <v>3.409942487821334</v>
      </c>
      <c r="I25" s="4">
        <f ca="1">I168*'Total Duration Tables Sup #1'!I25*(1+'Other Assumptions'!M$45)</f>
        <v>3.514498745223094</v>
      </c>
      <c r="J25" s="4">
        <f ca="1">J168*'Total Duration Tables Sup #1'!J25*(1+'Other Assumptions'!N$45)</f>
        <v>3.6117032498919999</v>
      </c>
      <c r="K25" s="4">
        <f ca="1">K168*'Total Duration Tables Sup #1'!K25*(1+'Other Assumptions'!O$45)</f>
        <v>3.7046018593530299</v>
      </c>
    </row>
    <row r="26" spans="1:11" x14ac:dyDescent="0.2">
      <c r="A26" t="str">
        <f ca="1">OFFSET(Waikato_Reference,0,0)</f>
        <v>03 WAIKATO</v>
      </c>
    </row>
    <row r="27" spans="1:11" x14ac:dyDescent="0.2">
      <c r="A27" t="str">
        <f ca="1">OFFSET(Waikato_Reference,0,2)</f>
        <v>Pedestrian</v>
      </c>
      <c r="B27" s="4">
        <f ca="1">B159*'Total Duration Tables Sup #1'!B27*(1+'Other Assumptions'!D$46)*(1+'Active Mode Assumptions'!B11)</f>
        <v>13.69170819</v>
      </c>
      <c r="C27" s="4">
        <f ca="1">C159*'Total Duration Tables Sup #1'!C27*(1+'Other Assumptions'!G$46)*(1+'Active Mode Assumptions'!C11)</f>
        <v>14.723080176659934</v>
      </c>
      <c r="D27" s="4">
        <f ca="1">D159*'Total Duration Tables Sup #1'!D27*(1+'Other Assumptions'!H$46)*(1+'Active Mode Assumptions'!D11)</f>
        <v>15.808594713630225</v>
      </c>
      <c r="E27" s="4">
        <f ca="1">E159*'Total Duration Tables Sup #1'!E27*(1+'Other Assumptions'!I$46)*(1+'Active Mode Assumptions'!E11)</f>
        <v>16.656782813125627</v>
      </c>
      <c r="F27" s="4">
        <f ca="1">F159*'Total Duration Tables Sup #1'!F27*(1+'Other Assumptions'!J$46)*(1+'Active Mode Assumptions'!F11)</f>
        <v>17.344488331383509</v>
      </c>
      <c r="G27" s="4">
        <f ca="1">G159*'Total Duration Tables Sup #1'!G27*(1+'Other Assumptions'!K$46)*(1+'Active Mode Assumptions'!G11)</f>
        <v>17.945177385637784</v>
      </c>
      <c r="H27" s="4">
        <f ca="1">H159*'Total Duration Tables Sup #1'!H27*(1+'Other Assumptions'!L$46)*(1+'Active Mode Assumptions'!H11)</f>
        <v>18.465547223668182</v>
      </c>
      <c r="I27" s="4">
        <f ca="1">I159*'Total Duration Tables Sup #1'!I27*(1+'Other Assumptions'!M$46)*(1+'Active Mode Assumptions'!I11)</f>
        <v>18.750363645978457</v>
      </c>
      <c r="J27" s="4">
        <f ca="1">J159*'Total Duration Tables Sup #1'!J27*(1+'Other Assumptions'!N$46)*(1+'Active Mode Assumptions'!J11)</f>
        <v>18.977891459603839</v>
      </c>
      <c r="K27" s="4">
        <f ca="1">K159*'Total Duration Tables Sup #1'!K27*(1+'Other Assumptions'!O$46)*(1+'Active Mode Assumptions'!K11)</f>
        <v>19.165749553701577</v>
      </c>
    </row>
    <row r="28" spans="1:11" x14ac:dyDescent="0.2">
      <c r="A28" t="str">
        <f ca="1">OFFSET(Waikato_Reference,7,2)</f>
        <v>Cyclist</v>
      </c>
      <c r="B28" s="4">
        <f ca="1">B160*'Total Duration Tables Sup #1'!B28*(1+'Other Assumptions'!D$46)*(1+'Active Mode Assumptions'!B20)</f>
        <v>1.7805943500000001</v>
      </c>
      <c r="C28" s="4">
        <f ca="1">C160*'Total Duration Tables Sup #1'!C28*(1+'Other Assumptions'!G$46)*(1+'Active Mode Assumptions'!C20)</f>
        <v>1.9671240888224482</v>
      </c>
      <c r="D28" s="4">
        <f ca="1">D160*'Total Duration Tables Sup #1'!D28*(1+'Other Assumptions'!H$46)*(1+'Active Mode Assumptions'!D20)</f>
        <v>2.4660960093504727</v>
      </c>
      <c r="E28" s="4">
        <f ca="1">E160*'Total Duration Tables Sup #1'!E28*(1+'Other Assumptions'!I$46)*(1+'Active Mode Assumptions'!E20)</f>
        <v>2.9353589815060039</v>
      </c>
      <c r="F28" s="4">
        <f ca="1">F160*'Total Duration Tables Sup #1'!F28*(1+'Other Assumptions'!J$46)*(1+'Active Mode Assumptions'!F20)</f>
        <v>3.4440132214829959</v>
      </c>
      <c r="G28" s="4">
        <f ca="1">G160*'Total Duration Tables Sup #1'!G28*(1+'Other Assumptions'!K$46)*(1+'Active Mode Assumptions'!G20)</f>
        <v>4.009121495350346</v>
      </c>
      <c r="H28" s="4">
        <f ca="1">H160*'Total Duration Tables Sup #1'!H28*(1+'Other Assumptions'!L$46)*(1+'Active Mode Assumptions'!H20)</f>
        <v>4.6038017073474178</v>
      </c>
      <c r="I28" s="4">
        <f ca="1">I160*'Total Duration Tables Sup #1'!I28*(1+'Other Assumptions'!M$46)*(1+'Active Mode Assumptions'!I20)</f>
        <v>4.6787089364947514</v>
      </c>
      <c r="J28" s="4">
        <f ca="1">J160*'Total Duration Tables Sup #1'!J28*(1+'Other Assumptions'!N$46)*(1+'Active Mode Assumptions'!J20)</f>
        <v>4.7393974105917742</v>
      </c>
      <c r="K28" s="4">
        <f ca="1">K160*'Total Duration Tables Sup #1'!K28*(1+'Other Assumptions'!O$46)*(1+'Active Mode Assumptions'!K20)</f>
        <v>4.7902375669621886</v>
      </c>
    </row>
    <row r="29" spans="1:11" x14ac:dyDescent="0.2">
      <c r="A29" t="str">
        <f ca="1">OFFSET(Waikato_Reference,14,2)</f>
        <v>Light Vehicle Driver</v>
      </c>
      <c r="B29" s="4">
        <f ca="1">B161*'Total Duration Tables Sup #1'!B29*(1+'Other Assumptions'!D$46)-(B27*'Active Mode Assumptions'!B11*'Active Mode Assumptions'!B14/(1+'Active Mode Assumptions'!B11))-(B28*'Active Mode Assumptions'!B20*'Active Mode Assumptions'!B23/(1+'Active Mode Assumptions'!B20))</f>
        <v>82.274552721999996</v>
      </c>
      <c r="C29" s="4">
        <f ca="1">C161*'Total Duration Tables Sup #1'!C29*(1+'Other Assumptions'!G$46)-(C27*'Active Mode Assumptions'!C11*'Active Mode Assumptions'!C14/(1+'Active Mode Assumptions'!C11))-(C28*'Active Mode Assumptions'!C20*'Active Mode Assumptions'!C23/(1+'Active Mode Assumptions'!C20))</f>
        <v>91.543737138214851</v>
      </c>
      <c r="D29" s="4">
        <f ca="1">D161*'Total Duration Tables Sup #1'!D29*(1+'Other Assumptions'!H$46)-(D27*'Active Mode Assumptions'!D11*'Active Mode Assumptions'!D14/(1+'Active Mode Assumptions'!D11))-(D28*'Active Mode Assumptions'!D20*'Active Mode Assumptions'!D23/(1+'Active Mode Assumptions'!D20))</f>
        <v>96.25773301453556</v>
      </c>
      <c r="E29" s="4">
        <f ca="1">E161*'Total Duration Tables Sup #1'!E29*(1+'Other Assumptions'!I$46)-(E27*'Active Mode Assumptions'!E11*'Active Mode Assumptions'!E14/(1+'Active Mode Assumptions'!E11))-(E28*'Active Mode Assumptions'!E20*'Active Mode Assumptions'!E23/(1+'Active Mode Assumptions'!E20))</f>
        <v>100.23672182830394</v>
      </c>
      <c r="F29" s="4">
        <f ca="1">F161*'Total Duration Tables Sup #1'!F29*(1+'Other Assumptions'!J$46)-(F27*'Active Mode Assumptions'!F11*'Active Mode Assumptions'!F14/(1+'Active Mode Assumptions'!F11))-(F28*'Active Mode Assumptions'!F20*'Active Mode Assumptions'!F23/(1+'Active Mode Assumptions'!F20))</f>
        <v>103.69032140757434</v>
      </c>
      <c r="G29" s="4">
        <f ca="1">G161*'Total Duration Tables Sup #1'!G29*(1+'Other Assumptions'!K$46)-(G27*'Active Mode Assumptions'!G11*'Active Mode Assumptions'!G14/(1+'Active Mode Assumptions'!G11))-(G28*'Active Mode Assumptions'!G20*'Active Mode Assumptions'!G23/(1+'Active Mode Assumptions'!G20))</f>
        <v>106.00539015326061</v>
      </c>
      <c r="H29" s="4">
        <f ca="1">H161*'Total Duration Tables Sup #1'!H29*(1+'Other Assumptions'!L$46)-(H27*'Active Mode Assumptions'!H11*'Active Mode Assumptions'!H14/(1+'Active Mode Assumptions'!H11))-(H28*'Active Mode Assumptions'!H20*'Active Mode Assumptions'!H23/(1+'Active Mode Assumptions'!H20))</f>
        <v>107.76782409182054</v>
      </c>
      <c r="I29" s="4">
        <f ca="1">I161*'Total Duration Tables Sup #1'!I29*(1+'Other Assumptions'!M$46)-(I27*'Active Mode Assumptions'!I11*'Active Mode Assumptions'!I14/(1+'Active Mode Assumptions'!I11))-(I28*'Active Mode Assumptions'!I20*'Active Mode Assumptions'!I23/(1+'Active Mode Assumptions'!I20))</f>
        <v>109.49074636266971</v>
      </c>
      <c r="J29" s="4">
        <f ca="1">J161*'Total Duration Tables Sup #1'!J29*(1+'Other Assumptions'!N$46)-(J27*'Active Mode Assumptions'!J11*'Active Mode Assumptions'!J14/(1+'Active Mode Assumptions'!J11))-(J28*'Active Mode Assumptions'!J20*'Active Mode Assumptions'!J23/(1+'Active Mode Assumptions'!J20))</f>
        <v>110.880226941676</v>
      </c>
      <c r="K29" s="4">
        <f ca="1">K161*'Total Duration Tables Sup #1'!K29*(1+'Other Assumptions'!O$46)-(K27*'Active Mode Assumptions'!K11*'Active Mode Assumptions'!K14/(1+'Active Mode Assumptions'!K11))-(K28*'Active Mode Assumptions'!K20*'Active Mode Assumptions'!K23/(1+'Active Mode Assumptions'!K20))</f>
        <v>112.0387259376261</v>
      </c>
    </row>
    <row r="30" spans="1:11" x14ac:dyDescent="0.2">
      <c r="A30" t="str">
        <f ca="1">OFFSET(Waikato_Reference,21,2)</f>
        <v>Light Vehicle Passenger</v>
      </c>
      <c r="B30" s="4">
        <f ca="1">B162*'Total Duration Tables Sup #1'!B30*(1+'Other Assumptions'!D$46)-(B27*'Active Mode Assumptions'!B11*'Active Mode Assumptions'!B15/(1+'Active Mode Assumptions'!B11))-(B28*'Active Mode Assumptions'!B20*'Active Mode Assumptions'!B24/(1+'Active Mode Assumptions'!B20))</f>
        <v>42.037273755000001</v>
      </c>
      <c r="C30" s="4">
        <f ca="1">C162*'Total Duration Tables Sup #1'!C30*(1+'Other Assumptions'!G$46)-(C27*'Active Mode Assumptions'!C11*'Active Mode Assumptions'!C15/(1+'Active Mode Assumptions'!C11))-(C28*'Active Mode Assumptions'!C20*'Active Mode Assumptions'!C24/(1+'Active Mode Assumptions'!C20))</f>
        <v>44.863384114770895</v>
      </c>
      <c r="D30" s="4">
        <f ca="1">D162*'Total Duration Tables Sup #1'!D30*(1+'Other Assumptions'!H$46)-(D27*'Active Mode Assumptions'!D11*'Active Mode Assumptions'!D15/(1+'Active Mode Assumptions'!D11))-(D28*'Active Mode Assumptions'!D20*'Active Mode Assumptions'!D24/(1+'Active Mode Assumptions'!D20))</f>
        <v>45.96906698233667</v>
      </c>
      <c r="E30" s="4">
        <f ca="1">E162*'Total Duration Tables Sup #1'!E30*(1+'Other Assumptions'!I$46)-(E27*'Active Mode Assumptions'!E11*'Active Mode Assumptions'!E15/(1+'Active Mode Assumptions'!E11))-(E28*'Active Mode Assumptions'!E20*'Active Mode Assumptions'!E24/(1+'Active Mode Assumptions'!E20))</f>
        <v>46.648491230888588</v>
      </c>
      <c r="F30" s="4">
        <f ca="1">F162*'Total Duration Tables Sup #1'!F30*(1+'Other Assumptions'!J$46)-(F27*'Active Mode Assumptions'!F11*'Active Mode Assumptions'!F15/(1+'Active Mode Assumptions'!F11))-(F28*'Active Mode Assumptions'!F20*'Active Mode Assumptions'!F24/(1+'Active Mode Assumptions'!F20))</f>
        <v>46.988828928927454</v>
      </c>
      <c r="G30" s="4">
        <f ca="1">G162*'Total Duration Tables Sup #1'!G30*(1+'Other Assumptions'!K$46)-(G27*'Active Mode Assumptions'!G11*'Active Mode Assumptions'!G15/(1+'Active Mode Assumptions'!G11))-(G28*'Active Mode Assumptions'!G20*'Active Mode Assumptions'!G24/(1+'Active Mode Assumptions'!G20))</f>
        <v>46.979970408356898</v>
      </c>
      <c r="H30" s="4">
        <f ca="1">H162*'Total Duration Tables Sup #1'!H30*(1+'Other Assumptions'!L$46)-(H27*'Active Mode Assumptions'!H11*'Active Mode Assumptions'!H15/(1+'Active Mode Assumptions'!H11))-(H28*'Active Mode Assumptions'!H20*'Active Mode Assumptions'!H24/(1+'Active Mode Assumptions'!H20))</f>
        <v>46.701460010679313</v>
      </c>
      <c r="I30" s="4">
        <f ca="1">I162*'Total Duration Tables Sup #1'!I30*(1+'Other Assumptions'!M$46)-(I27*'Active Mode Assumptions'!I11*'Active Mode Assumptions'!I15/(1+'Active Mode Assumptions'!I11))-(I28*'Active Mode Assumptions'!I20*'Active Mode Assumptions'!I24/(1+'Active Mode Assumptions'!I20))</f>
        <v>47.47670696570691</v>
      </c>
      <c r="J30" s="4">
        <f ca="1">J162*'Total Duration Tables Sup #1'!J30*(1+'Other Assumptions'!N$46)-(J27*'Active Mode Assumptions'!J11*'Active Mode Assumptions'!J15/(1+'Active Mode Assumptions'!J11))-(J28*'Active Mode Assumptions'!J20*'Active Mode Assumptions'!J24/(1+'Active Mode Assumptions'!J20))</f>
        <v>48.108027757821624</v>
      </c>
      <c r="K30" s="4">
        <f ca="1">K162*'Total Duration Tables Sup #1'!K30*(1+'Other Assumptions'!O$46)-(K27*'Active Mode Assumptions'!K11*'Active Mode Assumptions'!K15/(1+'Active Mode Assumptions'!K11))-(K28*'Active Mode Assumptions'!K20*'Active Mode Assumptions'!K24/(1+'Active Mode Assumptions'!K20))</f>
        <v>48.639623998105236</v>
      </c>
    </row>
    <row r="31" spans="1:11" x14ac:dyDescent="0.2">
      <c r="A31" t="str">
        <f ca="1">OFFSET(Waikato_Reference,28,2)</f>
        <v>Taxi/Vehicle Share</v>
      </c>
      <c r="B31" s="4">
        <f ca="1">B163*'Total Duration Tables Sup #1'!B31*(1+'Other Assumptions'!D$46)</f>
        <v>0.1633822556</v>
      </c>
      <c r="C31" s="4">
        <f ca="1">C163*'Total Duration Tables Sup #1'!C31*(1+'Other Assumptions'!G$46)</f>
        <v>0.18892709887277406</v>
      </c>
      <c r="D31" s="4">
        <f ca="1">D163*'Total Duration Tables Sup #1'!D31*(1+'Other Assumptions'!H$46)</f>
        <v>0.20717528541286973</v>
      </c>
      <c r="E31" s="4">
        <f ca="1">E163*'Total Duration Tables Sup #1'!E31*(1+'Other Assumptions'!I$46)</f>
        <v>0.22213647768953479</v>
      </c>
      <c r="F31" s="4">
        <f ca="1">F163*'Total Duration Tables Sup #1'!F31*(1+'Other Assumptions'!J$46)</f>
        <v>0.23448887822684952</v>
      </c>
      <c r="G31" s="4">
        <f ca="1">G163*'Total Duration Tables Sup #1'!G31*(1+'Other Assumptions'!K$46)</f>
        <v>0.24224737955883821</v>
      </c>
      <c r="H31" s="4">
        <f ca="1">H163*'Total Duration Tables Sup #1'!H31*(1+'Other Assumptions'!L$46)</f>
        <v>0.24873421882949937</v>
      </c>
      <c r="I31" s="4">
        <f ca="1">I163*'Total Duration Tables Sup #1'!I31*(1+'Other Assumptions'!M$46)</f>
        <v>0.25209706148757582</v>
      </c>
      <c r="J31" s="4">
        <f ca="1">J163*'Total Duration Tables Sup #1'!J31*(1+'Other Assumptions'!N$46)</f>
        <v>0.25467642503148608</v>
      </c>
      <c r="K31" s="4">
        <f ca="1">K163*'Total Duration Tables Sup #1'!K31*(1+'Other Assumptions'!O$46)</f>
        <v>0.25671307773567204</v>
      </c>
    </row>
    <row r="32" spans="1:11" x14ac:dyDescent="0.2">
      <c r="A32" t="str">
        <f ca="1">OFFSET(Waikato_Reference,35,2)</f>
        <v>Motorcyclist</v>
      </c>
      <c r="B32" s="4">
        <f ca="1">B164*'Total Duration Tables Sup #1'!B32*(1+'Other Assumptions'!D$46)</f>
        <v>0.60639269429999998</v>
      </c>
      <c r="C32" s="4">
        <f ca="1">C164*'Total Duration Tables Sup #1'!C32*(1+'Other Assumptions'!G$46)</f>
        <v>0.66813592835104996</v>
      </c>
      <c r="D32" s="4">
        <f ca="1">D164*'Total Duration Tables Sup #1'!D32*(1+'Other Assumptions'!H$46)</f>
        <v>0.69771781230213603</v>
      </c>
      <c r="E32" s="4">
        <f ca="1">E164*'Total Duration Tables Sup #1'!E32*(1+'Other Assumptions'!I$46)</f>
        <v>0.71746028333122447</v>
      </c>
      <c r="F32" s="4">
        <f ca="1">F164*'Total Duration Tables Sup #1'!F32*(1+'Other Assumptions'!J$46)</f>
        <v>0.73292660379298702</v>
      </c>
      <c r="G32" s="4">
        <f ca="1">G164*'Total Duration Tables Sup #1'!G32*(1+'Other Assumptions'!K$46)</f>
        <v>0.73693493859054604</v>
      </c>
      <c r="H32" s="4">
        <f ca="1">H164*'Total Duration Tables Sup #1'!H32*(1+'Other Assumptions'!L$46)</f>
        <v>0.73625741055774108</v>
      </c>
      <c r="I32" s="4">
        <f ca="1">I164*'Total Duration Tables Sup #1'!I32*(1+'Other Assumptions'!M$46)</f>
        <v>0.75102530237092668</v>
      </c>
      <c r="J32" s="4">
        <f ca="1">J164*'Total Duration Tables Sup #1'!J32*(1+'Other Assumptions'!N$46)</f>
        <v>0.76360126661903704</v>
      </c>
      <c r="K32" s="4">
        <f ca="1">K164*'Total Duration Tables Sup #1'!K32*(1+'Other Assumptions'!O$46)</f>
        <v>0.7746648524030243</v>
      </c>
    </row>
    <row r="33" spans="1:11" x14ac:dyDescent="0.2">
      <c r="A33" t="str">
        <f ca="1">OFFSET(Waikato_Reference,42,2)</f>
        <v>Local Train</v>
      </c>
      <c r="B33" s="4">
        <f ca="1">B165*'Total Duration Tables Sup #1'!B33*(1+'Other Assumptions'!D$46)</f>
        <v>0</v>
      </c>
      <c r="C33" s="4">
        <f ca="1">C165*'Total Duration Tables Sup #1'!C33*(1+'Other Assumptions'!G$46)</f>
        <v>0</v>
      </c>
      <c r="D33" s="4">
        <f ca="1">D165*'Total Duration Tables Sup #1'!D33*(1+'Other Assumptions'!H$46)</f>
        <v>0</v>
      </c>
      <c r="E33" s="4">
        <f ca="1">E165*'Total Duration Tables Sup #1'!E33*(1+'Other Assumptions'!I$46)</f>
        <v>0</v>
      </c>
      <c r="F33" s="4">
        <f ca="1">F165*'Total Duration Tables Sup #1'!F33*(1+'Other Assumptions'!J$46)</f>
        <v>0</v>
      </c>
      <c r="G33" s="4">
        <f ca="1">G165*'Total Duration Tables Sup #1'!G33*(1+'Other Assumptions'!K$46)</f>
        <v>0</v>
      </c>
      <c r="H33" s="4">
        <f ca="1">H165*'Total Duration Tables Sup #1'!H33*(1+'Other Assumptions'!L$46)</f>
        <v>0</v>
      </c>
      <c r="I33" s="4">
        <f ca="1">I165*'Total Duration Tables Sup #1'!I33*(1+'Other Assumptions'!M$46)</f>
        <v>0</v>
      </c>
      <c r="J33" s="4">
        <f ca="1">J165*'Total Duration Tables Sup #1'!J33*(1+'Other Assumptions'!N$46)</f>
        <v>0</v>
      </c>
      <c r="K33" s="4">
        <f ca="1">K165*'Total Duration Tables Sup #1'!K33*(1+'Other Assumptions'!O$46)</f>
        <v>0</v>
      </c>
    </row>
    <row r="34" spans="1:11" x14ac:dyDescent="0.2">
      <c r="A34" t="str">
        <f ca="1">OFFSET(Waikato_Reference,49,2)</f>
        <v>Local Bus</v>
      </c>
      <c r="B34" s="4">
        <f ca="1">B166*'Total Duration Tables Sup #1'!B34*(1+'Other Assumptions'!D$46)</f>
        <v>2.2088814398999999</v>
      </c>
      <c r="C34" s="4">
        <f ca="1">C166*'Total Duration Tables Sup #1'!C34*(1+'Other Assumptions'!G$46)</f>
        <v>2.2285481327347942</v>
      </c>
      <c r="D34" s="4">
        <f ca="1">D166*'Total Duration Tables Sup #1'!D34*(1+'Other Assumptions'!H$46)</f>
        <v>2.2184916492050939</v>
      </c>
      <c r="E34" s="4">
        <f ca="1">E166*'Total Duration Tables Sup #1'!E34*(1+'Other Assumptions'!I$46)</f>
        <v>2.2140748532098713</v>
      </c>
      <c r="F34" s="4">
        <f ca="1">F166*'Total Duration Tables Sup #1'!F34*(1+'Other Assumptions'!J$46)</f>
        <v>2.1772625262078744</v>
      </c>
      <c r="G34" s="4">
        <f ca="1">G166*'Total Duration Tables Sup #1'!G34*(1+'Other Assumptions'!K$46)</f>
        <v>2.1486047904553742</v>
      </c>
      <c r="H34" s="4">
        <f ca="1">H166*'Total Duration Tables Sup #1'!H34*(1+'Other Assumptions'!L$46)</f>
        <v>2.1095685298222233</v>
      </c>
      <c r="I34" s="4">
        <f ca="1">I166*'Total Duration Tables Sup #1'!I34*(1+'Other Assumptions'!M$46)</f>
        <v>2.1477506916753502</v>
      </c>
      <c r="J34" s="4">
        <f ca="1">J166*'Total Duration Tables Sup #1'!J34*(1+'Other Assumptions'!N$46)</f>
        <v>2.1794976588808592</v>
      </c>
      <c r="K34" s="4">
        <f ca="1">K166*'Total Duration Tables Sup #1'!K34*(1+'Other Assumptions'!O$46)</f>
        <v>2.2067841658721643</v>
      </c>
    </row>
    <row r="35" spans="1:11" x14ac:dyDescent="0.2">
      <c r="A35" t="str">
        <f ca="1">OFFSET(Waikato_Reference,56,2)</f>
        <v>Local Ferry</v>
      </c>
      <c r="B35" s="4">
        <f ca="1">B167*'Total Duration Tables Sup #1'!B35*(1+'Other Assumptions'!D$46)</f>
        <v>9.334266179999999E-2</v>
      </c>
      <c r="C35" s="4">
        <f ca="1">C167*'Total Duration Tables Sup #1'!C35*(1+'Other Assumptions'!G$46)</f>
        <v>0.10527897365494616</v>
      </c>
      <c r="D35" s="4">
        <f ca="1">D167*'Total Duration Tables Sup #1'!D35*(1+'Other Assumptions'!H$46)</f>
        <v>0.11206445652019897</v>
      </c>
      <c r="E35" s="4">
        <f ca="1">E167*'Total Duration Tables Sup #1'!E35*(1+'Other Assumptions'!I$46)</f>
        <v>0.11598896401900829</v>
      </c>
      <c r="F35" s="4">
        <f ca="1">F167*'Total Duration Tables Sup #1'!F35*(1+'Other Assumptions'!J$46)</f>
        <v>0.11825334614396754</v>
      </c>
      <c r="G35" s="4">
        <f ca="1">G167*'Total Duration Tables Sup #1'!G35*(1+'Other Assumptions'!K$46)</f>
        <v>0.12225895604254741</v>
      </c>
      <c r="H35" s="4">
        <f ca="1">H167*'Total Duration Tables Sup #1'!H35*(1+'Other Assumptions'!L$46)</f>
        <v>0.12517728553488877</v>
      </c>
      <c r="I35" s="4">
        <f ca="1">I167*'Total Duration Tables Sup #1'!I35*(1+'Other Assumptions'!M$46)</f>
        <v>0.12633655836811378</v>
      </c>
      <c r="J35" s="4">
        <f ca="1">J167*'Total Duration Tables Sup #1'!J35*(1+'Other Assumptions'!N$46)</f>
        <v>0.12710201710762417</v>
      </c>
      <c r="K35" s="4">
        <f ca="1">K167*'Total Duration Tables Sup #1'!K35*(1+'Other Assumptions'!O$46)</f>
        <v>0.12759839294083403</v>
      </c>
    </row>
    <row r="36" spans="1:11" x14ac:dyDescent="0.2">
      <c r="A36" t="str">
        <f ca="1">OFFSET(Waikato_Reference,63,2)</f>
        <v>Other Household Travel</v>
      </c>
      <c r="B36" s="4">
        <f ca="1">B168*'Total Duration Tables Sup #1'!B36*(1+'Other Assumptions'!D$46)</f>
        <v>0.63404452519999999</v>
      </c>
      <c r="C36" s="4">
        <f ca="1">C168*'Total Duration Tables Sup #1'!C36*(1+'Other Assumptions'!G$46)</f>
        <v>0.70164673450549786</v>
      </c>
      <c r="D36" s="4">
        <f ca="1">D168*'Total Duration Tables Sup #1'!D36*(1+'Other Assumptions'!H$46)</f>
        <v>0.74525576870205212</v>
      </c>
      <c r="E36" s="4">
        <f ca="1">E168*'Total Duration Tables Sup #1'!E36*(1+'Other Assumptions'!I$46)</f>
        <v>0.76878459140198585</v>
      </c>
      <c r="F36" s="4">
        <f ca="1">F168*'Total Duration Tables Sup #1'!F36*(1+'Other Assumptions'!J$46)</f>
        <v>0.78469667258879605</v>
      </c>
      <c r="G36" s="4">
        <f ca="1">G168*'Total Duration Tables Sup #1'!G36*(1+'Other Assumptions'!K$46)</f>
        <v>0.80114864267278363</v>
      </c>
      <c r="H36" s="4">
        <f ca="1">H168*'Total Duration Tables Sup #1'!H36*(1+'Other Assumptions'!L$46)</f>
        <v>0.81091634498245002</v>
      </c>
      <c r="I36" s="4">
        <f ca="1">I168*'Total Duration Tables Sup #1'!I36*(1+'Other Assumptions'!M$46)</f>
        <v>0.82265506223519724</v>
      </c>
      <c r="J36" s="4">
        <f ca="1">J168*'Total Duration Tables Sup #1'!J36*(1+'Other Assumptions'!N$46)</f>
        <v>0.8318856133752951</v>
      </c>
      <c r="K36" s="4">
        <f ca="1">K168*'Total Duration Tables Sup #1'!K36*(1+'Other Assumptions'!O$46)</f>
        <v>0.83938767727532126</v>
      </c>
    </row>
    <row r="37" spans="1:11" x14ac:dyDescent="0.2">
      <c r="A37" t="str">
        <f ca="1">OFFSET(BOP_Reference,0,0)</f>
        <v>04 BAY OF PLENTY</v>
      </c>
    </row>
    <row r="38" spans="1:11" x14ac:dyDescent="0.2">
      <c r="A38" t="str">
        <f ca="1">OFFSET(BOP_Reference,0,2)</f>
        <v>Pedestrian</v>
      </c>
      <c r="B38" s="4">
        <f ca="1">B159*'Total Duration Tables Sup #1'!B38*(1+'Other Assumptions'!D$47)*(1+'Active Mode Assumptions'!B11)</f>
        <v>9.1706746114000008</v>
      </c>
      <c r="C38" s="4">
        <f ca="1">C159*'Total Duration Tables Sup #1'!C38*(1+'Other Assumptions'!G$47)*(1+'Active Mode Assumptions'!C11)</f>
        <v>9.7140310625465176</v>
      </c>
      <c r="D38" s="4">
        <f ca="1">D159*'Total Duration Tables Sup #1'!D38*(1+'Other Assumptions'!H$47)*(1+'Active Mode Assumptions'!D11)</f>
        <v>10.33687306690601</v>
      </c>
      <c r="E38" s="4">
        <f ca="1">E159*'Total Duration Tables Sup #1'!E38*(1+'Other Assumptions'!I$47)*(1+'Active Mode Assumptions'!E11)</f>
        <v>10.811394644550161</v>
      </c>
      <c r="F38" s="4">
        <f ca="1">F159*'Total Duration Tables Sup #1'!F38*(1+'Other Assumptions'!J$47)*(1+'Active Mode Assumptions'!F11)</f>
        <v>11.176188954944049</v>
      </c>
      <c r="G38" s="4">
        <f ca="1">G159*'Total Duration Tables Sup #1'!G38*(1+'Other Assumptions'!K$47)*(1+'Active Mode Assumptions'!G11)</f>
        <v>11.476728409606286</v>
      </c>
      <c r="H38" s="4">
        <f ca="1">H159*'Total Duration Tables Sup #1'!H38*(1+'Other Assumptions'!L$47)*(1+'Active Mode Assumptions'!H11)</f>
        <v>11.722989743336855</v>
      </c>
      <c r="I38" s="4">
        <f ca="1">I159*'Total Duration Tables Sup #1'!I38*(1+'Other Assumptions'!M$47)*(1+'Active Mode Assumptions'!I11)</f>
        <v>11.815951282246433</v>
      </c>
      <c r="J38" s="4">
        <f ca="1">J159*'Total Duration Tables Sup #1'!J38*(1+'Other Assumptions'!N$47)*(1+'Active Mode Assumptions'!J11)</f>
        <v>11.870414529035182</v>
      </c>
      <c r="K38" s="4">
        <f ca="1">K159*'Total Duration Tables Sup #1'!K38*(1+'Other Assumptions'!O$47)*(1+'Active Mode Assumptions'!K11)</f>
        <v>11.898109140065442</v>
      </c>
    </row>
    <row r="39" spans="1:11" x14ac:dyDescent="0.2">
      <c r="A39" t="str">
        <f ca="1">OFFSET(BOP_Reference,7,2)</f>
        <v>Cyclist</v>
      </c>
      <c r="B39" s="4">
        <f ca="1">B160*'Total Duration Tables Sup #1'!B39*(1+'Other Assumptions'!D$47)*(1+'Active Mode Assumptions'!B20)</f>
        <v>0.91801276549999999</v>
      </c>
      <c r="C39" s="4">
        <f ca="1">C160*'Total Duration Tables Sup #1'!C39*(1+'Other Assumptions'!G$47)*(1+'Active Mode Assumptions'!C20)</f>
        <v>0.99901646727120075</v>
      </c>
      <c r="D39" s="4">
        <f ca="1">D160*'Total Duration Tables Sup #1'!D39*(1+'Other Assumptions'!H$47)*(1+'Active Mode Assumptions'!D20)</f>
        <v>1.2412120344315596</v>
      </c>
      <c r="E39" s="4">
        <f ca="1">E160*'Total Duration Tables Sup #1'!E39*(1+'Other Assumptions'!I$47)*(1+'Active Mode Assumptions'!E20)</f>
        <v>1.4665331966349298</v>
      </c>
      <c r="F39" s="4">
        <f ca="1">F160*'Total Duration Tables Sup #1'!F39*(1+'Other Assumptions'!J$47)*(1+'Active Mode Assumptions'!F20)</f>
        <v>1.7081937667944544</v>
      </c>
      <c r="G39" s="4">
        <f ca="1">G160*'Total Duration Tables Sup #1'!G39*(1+'Other Assumptions'!K$47)*(1+'Active Mode Assumptions'!G20)</f>
        <v>1.9736023152409652</v>
      </c>
      <c r="H39" s="4">
        <f ca="1">H160*'Total Duration Tables Sup #1'!H39*(1+'Other Assumptions'!L$47)*(1+'Active Mode Assumptions'!H20)</f>
        <v>2.2497429096961166</v>
      </c>
      <c r="I39" s="4">
        <f ca="1">I160*'Total Duration Tables Sup #1'!I39*(1+'Other Assumptions'!M$47)*(1+'Active Mode Assumptions'!I20)</f>
        <v>2.269473441690153</v>
      </c>
      <c r="J39" s="4">
        <f ca="1">J160*'Total Duration Tables Sup #1'!J39*(1+'Other Assumptions'!N$47)*(1+'Active Mode Assumptions'!J20)</f>
        <v>2.2818186914556731</v>
      </c>
      <c r="K39" s="4">
        <f ca="1">K160*'Total Duration Tables Sup #1'!K39*(1+'Other Assumptions'!O$47)*(1+'Active Mode Assumptions'!K20)</f>
        <v>2.2890183354465634</v>
      </c>
    </row>
    <row r="40" spans="1:11" x14ac:dyDescent="0.2">
      <c r="A40" t="str">
        <f ca="1">OFFSET(BOP_Reference,14,2)</f>
        <v>Light Vehicle Driver</v>
      </c>
      <c r="B40" s="4">
        <f ca="1">B161*'Total Duration Tables Sup #1'!B40*(1+'Other Assumptions'!D$47)-(B38*'Active Mode Assumptions'!B11*'Active Mode Assumptions'!B14/(1+'Active Mode Assumptions'!B11))-(B39*'Active Mode Assumptions'!B20*'Active Mode Assumptions'!B23/(1+'Active Mode Assumptions'!B20))</f>
        <v>45.59682093</v>
      </c>
      <c r="C40" s="4">
        <f ca="1">C161*'Total Duration Tables Sup #1'!C40*(1+'Other Assumptions'!G$47)-(C38*'Active Mode Assumptions'!C11*'Active Mode Assumptions'!C14/(1+'Active Mode Assumptions'!C11))-(C39*'Active Mode Assumptions'!C20*'Active Mode Assumptions'!C23/(1+'Active Mode Assumptions'!C20))</f>
        <v>49.97523361889133</v>
      </c>
      <c r="D40" s="4">
        <f ca="1">D161*'Total Duration Tables Sup #1'!D40*(1+'Other Assumptions'!H$47)-(D38*'Active Mode Assumptions'!D11*'Active Mode Assumptions'!D14/(1+'Active Mode Assumptions'!D11))-(D39*'Active Mode Assumptions'!D20*'Active Mode Assumptions'!D23/(1+'Active Mode Assumptions'!D20))</f>
        <v>52.065038329243045</v>
      </c>
      <c r="E40" s="4">
        <f ca="1">E161*'Total Duration Tables Sup #1'!E40*(1+'Other Assumptions'!I$47)-(E38*'Active Mode Assumptions'!E11*'Active Mode Assumptions'!E14/(1+'Active Mode Assumptions'!E11))-(E39*'Active Mode Assumptions'!E20*'Active Mode Assumptions'!E23/(1+'Active Mode Assumptions'!E20))</f>
        <v>53.805585517845913</v>
      </c>
      <c r="F40" s="4">
        <f ca="1">F161*'Total Duration Tables Sup #1'!F40*(1+'Other Assumptions'!J$47)-(F38*'Active Mode Assumptions'!F11*'Active Mode Assumptions'!F14/(1+'Active Mode Assumptions'!F11))-(F39*'Active Mode Assumptions'!F20*'Active Mode Assumptions'!F23/(1+'Active Mode Assumptions'!F20))</f>
        <v>55.243877720288388</v>
      </c>
      <c r="G40" s="4">
        <f ca="1">G161*'Total Duration Tables Sup #1'!G40*(1+'Other Assumptions'!K$47)-(G38*'Active Mode Assumptions'!G11*'Active Mode Assumptions'!G14/(1+'Active Mode Assumptions'!G11))-(G39*'Active Mode Assumptions'!G20*'Active Mode Assumptions'!G23/(1+'Active Mode Assumptions'!G20))</f>
        <v>56.04307446992344</v>
      </c>
      <c r="H40" s="4">
        <f ca="1">H161*'Total Duration Tables Sup #1'!H40*(1+'Other Assumptions'!L$47)-(H38*'Active Mode Assumptions'!H11*'Active Mode Assumptions'!H14/(1+'Active Mode Assumptions'!H11))-(H39*'Active Mode Assumptions'!H20*'Active Mode Assumptions'!H23/(1+'Active Mode Assumptions'!H20))</f>
        <v>56.546456725324646</v>
      </c>
      <c r="I40" s="4">
        <f ca="1">I161*'Total Duration Tables Sup #1'!I40*(1+'Other Assumptions'!M$47)-(I38*'Active Mode Assumptions'!I11*'Active Mode Assumptions'!I14/(1+'Active Mode Assumptions'!I11))-(I39*'Active Mode Assumptions'!I20*'Active Mode Assumptions'!I23/(1+'Active Mode Assumptions'!I20))</f>
        <v>57.026523541656971</v>
      </c>
      <c r="J40" s="4">
        <f ca="1">J161*'Total Duration Tables Sup #1'!J40*(1+'Other Assumptions'!N$47)-(J38*'Active Mode Assumptions'!J11*'Active Mode Assumptions'!J14/(1+'Active Mode Assumptions'!J11))-(J39*'Active Mode Assumptions'!J20*'Active Mode Assumptions'!J23/(1+'Active Mode Assumptions'!J20))</f>
        <v>57.320888943588372</v>
      </c>
      <c r="K40" s="4">
        <f ca="1">K161*'Total Duration Tables Sup #1'!K40*(1+'Other Assumptions'!O$47)-(K38*'Active Mode Assumptions'!K11*'Active Mode Assumptions'!K14/(1+'Active Mode Assumptions'!K11))-(K39*'Active Mode Assumptions'!K20*'Active Mode Assumptions'!K23/(1+'Active Mode Assumptions'!K20))</f>
        <v>57.485932603145663</v>
      </c>
    </row>
    <row r="41" spans="1:11" x14ac:dyDescent="0.2">
      <c r="A41" t="str">
        <f ca="1">OFFSET(BOP_Reference,21,2)</f>
        <v>Light Vehicle Passenger</v>
      </c>
      <c r="B41" s="4">
        <f ca="1">B162*'Total Duration Tables Sup #1'!B41*(1+'Other Assumptions'!D$47)-(B38*'Active Mode Assumptions'!B11*'Active Mode Assumptions'!B15/(1+'Active Mode Assumptions'!B11))-(B39*'Active Mode Assumptions'!B20*'Active Mode Assumptions'!B24/(1+'Active Mode Assumptions'!B20))</f>
        <v>28.895615969000001</v>
      </c>
      <c r="C41" s="4">
        <f ca="1">C162*'Total Duration Tables Sup #1'!C41*(1+'Other Assumptions'!G$47)-(C38*'Active Mode Assumptions'!C11*'Active Mode Assumptions'!C15/(1+'Active Mode Assumptions'!C11))-(C39*'Active Mode Assumptions'!C20*'Active Mode Assumptions'!C24/(1+'Active Mode Assumptions'!C20))</f>
        <v>30.377120555640051</v>
      </c>
      <c r="D41" s="4">
        <f ca="1">D162*'Total Duration Tables Sup #1'!D41*(1+'Other Assumptions'!H$47)-(D38*'Active Mode Assumptions'!D11*'Active Mode Assumptions'!D15/(1+'Active Mode Assumptions'!D11))-(D39*'Active Mode Assumptions'!D20*'Active Mode Assumptions'!D24/(1+'Active Mode Assumptions'!D20))</f>
        <v>30.867017408757988</v>
      </c>
      <c r="E41" s="4">
        <f ca="1">E162*'Total Duration Tables Sup #1'!E41*(1+'Other Assumptions'!I$47)-(E38*'Active Mode Assumptions'!E11*'Active Mode Assumptions'!E15/(1+'Active Mode Assumptions'!E11))-(E39*'Active Mode Assumptions'!E20*'Active Mode Assumptions'!E24/(1+'Active Mode Assumptions'!E20))</f>
        <v>31.113077803456807</v>
      </c>
      <c r="F41" s="4">
        <f ca="1">F162*'Total Duration Tables Sup #1'!F41*(1+'Other Assumptions'!J$47)-(F38*'Active Mode Assumptions'!F11*'Active Mode Assumptions'!F15/(1+'Active Mode Assumptions'!F11))-(F39*'Active Mode Assumptions'!F20*'Active Mode Assumptions'!F24/(1+'Active Mode Assumptions'!F20))</f>
        <v>31.134044517805947</v>
      </c>
      <c r="G41" s="4">
        <f ca="1">G162*'Total Duration Tables Sup #1'!G41*(1+'Other Assumptions'!K$47)-(G38*'Active Mode Assumptions'!G11*'Active Mode Assumptions'!G15/(1+'Active Mode Assumptions'!G11))-(G39*'Active Mode Assumptions'!G20*'Active Mode Assumptions'!G24/(1+'Active Mode Assumptions'!G20))</f>
        <v>30.917964314129051</v>
      </c>
      <c r="H41" s="4">
        <f ca="1">H162*'Total Duration Tables Sup #1'!H41*(1+'Other Assumptions'!L$47)-(H38*'Active Mode Assumptions'!H11*'Active Mode Assumptions'!H15/(1+'Active Mode Assumptions'!H11))-(H39*'Active Mode Assumptions'!H20*'Active Mode Assumptions'!H24/(1+'Active Mode Assumptions'!H20))</f>
        <v>30.533630746112081</v>
      </c>
      <c r="I41" s="4">
        <f ca="1">I162*'Total Duration Tables Sup #1'!I41*(1+'Other Assumptions'!M$47)-(I38*'Active Mode Assumptions'!I11*'Active Mode Assumptions'!I15/(1+'Active Mode Assumptions'!I11))-(I39*'Active Mode Assumptions'!I20*'Active Mode Assumptions'!I24/(1+'Active Mode Assumptions'!I20))</f>
        <v>30.811350251111342</v>
      </c>
      <c r="J41" s="4">
        <f ca="1">J162*'Total Duration Tables Sup #1'!J41*(1+'Other Assumptions'!N$47)-(J38*'Active Mode Assumptions'!J11*'Active Mode Assumptions'!J15/(1+'Active Mode Assumptions'!J11))-(J39*'Active Mode Assumptions'!J20*'Active Mode Assumptions'!J24/(1+'Active Mode Assumptions'!J20))</f>
        <v>30.988887650294082</v>
      </c>
      <c r="K41" s="4">
        <f ca="1">K162*'Total Duration Tables Sup #1'!K41*(1+'Other Assumptions'!O$47)-(K38*'Active Mode Assumptions'!K11*'Active Mode Assumptions'!K15/(1+'Active Mode Assumptions'!K11))-(K39*'Active Mode Assumptions'!K20*'Active Mode Assumptions'!K24/(1+'Active Mode Assumptions'!K20))</f>
        <v>31.096551051244418</v>
      </c>
    </row>
    <row r="42" spans="1:11" x14ac:dyDescent="0.2">
      <c r="A42" t="str">
        <f ca="1">OFFSET(BOP_Reference,28,2)</f>
        <v>Taxi/Vehicle Share</v>
      </c>
      <c r="B42" s="4">
        <f ca="1">B163*'Total Duration Tables Sup #1'!B42*(1+'Other Assumptions'!D$47)</f>
        <v>7.3048454499999999E-2</v>
      </c>
      <c r="C42" s="4">
        <f ca="1">C163*'Total Duration Tables Sup #1'!C42*(1+'Other Assumptions'!G$47)</f>
        <v>8.3206558784176196E-2</v>
      </c>
      <c r="D42" s="4">
        <f ca="1">D163*'Total Duration Tables Sup #1'!D42*(1+'Other Assumptions'!H$47)</f>
        <v>9.0426632545927671E-2</v>
      </c>
      <c r="E42" s="4">
        <f ca="1">E163*'Total Duration Tables Sup #1'!E42*(1+'Other Assumptions'!I$47)</f>
        <v>9.6243846832935964E-2</v>
      </c>
      <c r="F42" s="4">
        <f ca="1">F163*'Total Duration Tables Sup #1'!F42*(1+'Other Assumptions'!J$47)</f>
        <v>0.10085954086654948</v>
      </c>
      <c r="G42" s="4">
        <f ca="1">G163*'Total Duration Tables Sup #1'!G42*(1+'Other Assumptions'!K$47)</f>
        <v>0.10341699904822907</v>
      </c>
      <c r="H42" s="4">
        <f ca="1">H163*'Total Duration Tables Sup #1'!H42*(1+'Other Assumptions'!L$47)</f>
        <v>0.10540816021345961</v>
      </c>
      <c r="I42" s="4">
        <f ca="1">I163*'Total Duration Tables Sup #1'!I42*(1+'Other Assumptions'!M$47)</f>
        <v>0.10604477496670528</v>
      </c>
      <c r="J42" s="4">
        <f ca="1">J163*'Total Duration Tables Sup #1'!J42*(1+'Other Assumptions'!N$47)</f>
        <v>0.10633326919019984</v>
      </c>
      <c r="K42" s="4">
        <f ca="1">K163*'Total Duration Tables Sup #1'!K42*(1+'Other Assumptions'!O$47)</f>
        <v>0.10638064708193842</v>
      </c>
    </row>
    <row r="43" spans="1:11" x14ac:dyDescent="0.2">
      <c r="A43" t="str">
        <f ca="1">OFFSET(BOP_Reference,35,2)</f>
        <v>Motorcyclist</v>
      </c>
      <c r="B43" s="4">
        <f ca="1">B164*'Total Duration Tables Sup #1'!B43*(1+'Other Assumptions'!D$47)</f>
        <v>0.60409197079999999</v>
      </c>
      <c r="C43" s="4">
        <f ca="1">C164*'Total Duration Tables Sup #1'!C43*(1+'Other Assumptions'!G$47)</f>
        <v>0.65564852740875135</v>
      </c>
      <c r="D43" s="4">
        <f ca="1">D164*'Total Duration Tables Sup #1'!D43*(1+'Other Assumptions'!H$47)</f>
        <v>0.67854894776404062</v>
      </c>
      <c r="E43" s="4">
        <f ca="1">E164*'Total Duration Tables Sup #1'!E43*(1+'Other Assumptions'!I$47)</f>
        <v>0.69261822557848163</v>
      </c>
      <c r="F43" s="4">
        <f ca="1">F164*'Total Duration Tables Sup #1'!F43*(1+'Other Assumptions'!J$47)</f>
        <v>0.70242212476643906</v>
      </c>
      <c r="G43" s="4">
        <f ca="1">G164*'Total Duration Tables Sup #1'!G43*(1+'Other Assumptions'!K$47)</f>
        <v>0.70097890587177614</v>
      </c>
      <c r="H43" s="4">
        <f ca="1">H164*'Total Duration Tables Sup #1'!H43*(1+'Other Assumptions'!L$47)</f>
        <v>0.69520251545669853</v>
      </c>
      <c r="I43" s="4">
        <f ca="1">I164*'Total Duration Tables Sup #1'!I43*(1+'Other Assumptions'!M$47)</f>
        <v>0.7039130533541923</v>
      </c>
      <c r="J43" s="4">
        <f ca="1">J164*'Total Duration Tables Sup #1'!J43*(1+'Other Assumptions'!N$47)</f>
        <v>0.71037884572460352</v>
      </c>
      <c r="K43" s="4">
        <f ca="1">K164*'Total Duration Tables Sup #1'!K43*(1+'Other Assumptions'!O$47)</f>
        <v>0.71527236260884808</v>
      </c>
    </row>
    <row r="44" spans="1:11" x14ac:dyDescent="0.2">
      <c r="A44" t="str">
        <f ca="1">OFFSET(Auckland_Reference,42,2)</f>
        <v>Local Train</v>
      </c>
      <c r="B44" s="4">
        <f ca="1">B165*'Total Duration Tables Sup #1'!B44*(1+'Other Assumptions'!D$47)</f>
        <v>0</v>
      </c>
      <c r="C44" s="4">
        <f ca="1">C165*'Total Duration Tables Sup #1'!C44*(1+'Other Assumptions'!G$47)</f>
        <v>0</v>
      </c>
      <c r="D44" s="4">
        <f ca="1">D165*'Total Duration Tables Sup #1'!D44*(1+'Other Assumptions'!H$47)</f>
        <v>0</v>
      </c>
      <c r="E44" s="4">
        <f ca="1">E165*'Total Duration Tables Sup #1'!E44*(1+'Other Assumptions'!I$47)</f>
        <v>0</v>
      </c>
      <c r="F44" s="4">
        <f ca="1">F165*'Total Duration Tables Sup #1'!F44*(1+'Other Assumptions'!J$47)</f>
        <v>0</v>
      </c>
      <c r="G44" s="4">
        <f ca="1">G165*'Total Duration Tables Sup #1'!G44*(1+'Other Assumptions'!K$47)</f>
        <v>0</v>
      </c>
      <c r="H44" s="4">
        <f ca="1">H165*'Total Duration Tables Sup #1'!H44*(1+'Other Assumptions'!L$47)</f>
        <v>0</v>
      </c>
      <c r="I44" s="4">
        <f ca="1">I165*'Total Duration Tables Sup #1'!I44*(1+'Other Assumptions'!M$47)</f>
        <v>0</v>
      </c>
      <c r="J44" s="4">
        <f ca="1">J165*'Total Duration Tables Sup #1'!J44*(1+'Other Assumptions'!N$47)</f>
        <v>0</v>
      </c>
      <c r="K44" s="4">
        <f ca="1">K165*'Total Duration Tables Sup #1'!K44*(1+'Other Assumptions'!O$47)</f>
        <v>0</v>
      </c>
    </row>
    <row r="45" spans="1:11" x14ac:dyDescent="0.2">
      <c r="A45" t="str">
        <f ca="1">OFFSET(BOP_Reference,42,2)</f>
        <v>Local Bus</v>
      </c>
      <c r="B45" s="4">
        <f ca="1">B166*'Total Duration Tables Sup #1'!B45*(1+'Other Assumptions'!D$47)</f>
        <v>2.9412276716000001</v>
      </c>
      <c r="C45" s="4">
        <f ca="1">C166*'Total Duration Tables Sup #1'!C45*(1+'Other Assumptions'!G$47)</f>
        <v>2.9230444299725993</v>
      </c>
      <c r="D45" s="4">
        <f ca="1">D166*'Total Duration Tables Sup #1'!D45*(1+'Other Assumptions'!H$47)</f>
        <v>2.8838077419036061</v>
      </c>
      <c r="E45" s="4">
        <f ca="1">E166*'Total Duration Tables Sup #1'!E45*(1+'Other Assumptions'!I$47)</f>
        <v>2.8569029284062966</v>
      </c>
      <c r="F45" s="4">
        <f ca="1">F166*'Total Duration Tables Sup #1'!F45*(1+'Other Assumptions'!J$47)</f>
        <v>2.7890456865470235</v>
      </c>
      <c r="G45" s="4">
        <f ca="1">G166*'Total Duration Tables Sup #1'!G45*(1+'Other Assumptions'!K$47)</f>
        <v>2.7317407162797624</v>
      </c>
      <c r="H45" s="4">
        <f ca="1">H166*'Total Duration Tables Sup #1'!H45*(1+'Other Assumptions'!L$47)</f>
        <v>2.6624559308167641</v>
      </c>
      <c r="I45" s="4">
        <f ca="1">I166*'Total Duration Tables Sup #1'!I45*(1+'Other Assumptions'!M$47)</f>
        <v>2.6906391167413228</v>
      </c>
      <c r="J45" s="4">
        <f ca="1">J166*'Total Duration Tables Sup #1'!J45*(1+'Other Assumptions'!N$47)</f>
        <v>2.7101100146400827</v>
      </c>
      <c r="K45" s="4">
        <f ca="1">K166*'Total Duration Tables Sup #1'!K45*(1+'Other Assumptions'!O$47)</f>
        <v>2.7234824815438934</v>
      </c>
    </row>
    <row r="46" spans="1:11" x14ac:dyDescent="0.2">
      <c r="A46" t="str">
        <f ca="1">OFFSET(Waikato_Reference,56,2)</f>
        <v>Local Ferry</v>
      </c>
      <c r="B46" s="4">
        <f ca="1">B167*'Total Duration Tables Sup #1'!B46*(1+'Other Assumptions'!D$47)</f>
        <v>0</v>
      </c>
      <c r="C46" s="4">
        <f ca="1">C167*'Total Duration Tables Sup #1'!C46*(1+'Other Assumptions'!G$47)</f>
        <v>0</v>
      </c>
      <c r="D46" s="4">
        <f ca="1">D167*'Total Duration Tables Sup #1'!D46*(1+'Other Assumptions'!H$47)</f>
        <v>0</v>
      </c>
      <c r="E46" s="4">
        <f ca="1">E167*'Total Duration Tables Sup #1'!E46*(1+'Other Assumptions'!I$47)</f>
        <v>0</v>
      </c>
      <c r="F46" s="4">
        <f ca="1">F167*'Total Duration Tables Sup #1'!F46*(1+'Other Assumptions'!J$47)</f>
        <v>0</v>
      </c>
      <c r="G46" s="4">
        <f ca="1">G167*'Total Duration Tables Sup #1'!G46*(1+'Other Assumptions'!K$47)</f>
        <v>0</v>
      </c>
      <c r="H46" s="4">
        <f ca="1">H167*'Total Duration Tables Sup #1'!H46*(1+'Other Assumptions'!L$47)</f>
        <v>0</v>
      </c>
      <c r="I46" s="4">
        <f ca="1">I167*'Total Duration Tables Sup #1'!I46*(1+'Other Assumptions'!M$47)</f>
        <v>0</v>
      </c>
      <c r="J46" s="4">
        <f ca="1">J167*'Total Duration Tables Sup #1'!J46*(1+'Other Assumptions'!N$47)</f>
        <v>0</v>
      </c>
      <c r="K46" s="4">
        <f ca="1">K167*'Total Duration Tables Sup #1'!K46*(1+'Other Assumptions'!O$47)</f>
        <v>0</v>
      </c>
    </row>
    <row r="47" spans="1:11" x14ac:dyDescent="0.2">
      <c r="A47" t="str">
        <f ca="1">OFFSET(BOP_Reference,49,2)</f>
        <v>Other Household Travel</v>
      </c>
      <c r="B47" s="4">
        <f ca="1">B168*'Total Duration Tables Sup #1'!B47*(1+'Other Assumptions'!D$47)</f>
        <v>0.21279540499999999</v>
      </c>
      <c r="C47" s="4">
        <f ca="1">C168*'Total Duration Tables Sup #1'!C47*(1+'Other Assumptions'!G$47)</f>
        <v>0.23196270157289592</v>
      </c>
      <c r="D47" s="4">
        <f ca="1">D168*'Total Duration Tables Sup #1'!D47*(1+'Other Assumptions'!H$47)</f>
        <v>0.24417438538769082</v>
      </c>
      <c r="E47" s="4">
        <f ca="1">E168*'Total Duration Tables Sup #1'!E47*(1+'Other Assumptions'!I$47)</f>
        <v>0.25003114333793069</v>
      </c>
      <c r="F47" s="4">
        <f ca="1">F168*'Total Duration Tables Sup #1'!F47*(1+'Other Assumptions'!J$47)</f>
        <v>0.25335699148512891</v>
      </c>
      <c r="G47" s="4">
        <f ca="1">G168*'Total Duration Tables Sup #1'!G47*(1+'Other Assumptions'!K$47)</f>
        <v>0.25673335077795445</v>
      </c>
      <c r="H47" s="4">
        <f ca="1">H168*'Total Duration Tables Sup #1'!H47*(1+'Other Assumptions'!L$47)</f>
        <v>0.25795924422735472</v>
      </c>
      <c r="I47" s="4">
        <f ca="1">I168*'Total Duration Tables Sup #1'!I47*(1+'Other Assumptions'!M$47)</f>
        <v>0.2597619945767437</v>
      </c>
      <c r="J47" s="4">
        <f ca="1">J168*'Total Duration Tables Sup #1'!J47*(1+'Other Assumptions'!N$47)</f>
        <v>0.26072362129292548</v>
      </c>
      <c r="K47" s="4">
        <f ca="1">K168*'Total Duration Tables Sup #1'!K47*(1+'Other Assumptions'!O$47)</f>
        <v>0.26110402571816482</v>
      </c>
    </row>
    <row r="48" spans="1:11" x14ac:dyDescent="0.2">
      <c r="A48" t="str">
        <f ca="1">OFFSET(Gisborne_Reference,0,0)</f>
        <v>05 GISBORNE</v>
      </c>
    </row>
    <row r="49" spans="1:11" x14ac:dyDescent="0.2">
      <c r="A49" t="str">
        <f ca="1">OFFSET(Gisborne_Reference,0,2)</f>
        <v>Pedestrian</v>
      </c>
      <c r="B49" s="4">
        <f ca="1">B159*'Total Duration Tables Sup #1'!B49*(1+'Other Assumptions'!D$48)*(1+'Active Mode Assumptions'!B11)</f>
        <v>2.2694063563000002</v>
      </c>
      <c r="C49" s="4">
        <f ca="1">C159*'Total Duration Tables Sup #1'!C49*(1+'Other Assumptions'!G$48)*(1+'Active Mode Assumptions'!C11)</f>
        <v>2.2983906238002705</v>
      </c>
      <c r="D49" s="4">
        <f ca="1">D159*'Total Duration Tables Sup #1'!D49*(1+'Other Assumptions'!H$48)*(1+'Active Mode Assumptions'!D11)</f>
        <v>2.3846992433827925</v>
      </c>
      <c r="E49" s="4">
        <f ca="1">E159*'Total Duration Tables Sup #1'!E49*(1+'Other Assumptions'!I$48)*(1+'Active Mode Assumptions'!E11)</f>
        <v>2.4455256460991968</v>
      </c>
      <c r="F49" s="4">
        <f ca="1">F159*'Total Duration Tables Sup #1'!F49*(1+'Other Assumptions'!J$48)*(1+'Active Mode Assumptions'!F11)</f>
        <v>2.4809266712118019</v>
      </c>
      <c r="G49" s="4">
        <f ca="1">G159*'Total Duration Tables Sup #1'!G49*(1+'Other Assumptions'!K$48)*(1+'Active Mode Assumptions'!G11)</f>
        <v>2.4984164572081999</v>
      </c>
      <c r="H49" s="4">
        <f ca="1">H159*'Total Duration Tables Sup #1'!H49*(1+'Other Assumptions'!L$48)*(1+'Active Mode Assumptions'!H11)</f>
        <v>2.5045388762324254</v>
      </c>
      <c r="I49" s="4">
        <f ca="1">I159*'Total Duration Tables Sup #1'!I49*(1+'Other Assumptions'!M$48)*(1+'Active Mode Assumptions'!I11)</f>
        <v>2.4777317351361821</v>
      </c>
      <c r="J49" s="4">
        <f ca="1">J159*'Total Duration Tables Sup #1'!J49*(1+'Other Assumptions'!N$48)*(1+'Active Mode Assumptions'!J11)</f>
        <v>2.4434495516909025</v>
      </c>
      <c r="K49" s="4">
        <f ca="1">K159*'Total Duration Tables Sup #1'!K49*(1+'Other Assumptions'!O$48)*(1+'Active Mode Assumptions'!K11)</f>
        <v>2.4045028230294441</v>
      </c>
    </row>
    <row r="50" spans="1:11" x14ac:dyDescent="0.2">
      <c r="A50" t="str">
        <f ca="1">OFFSET(Gisborne_Reference,7,2)</f>
        <v>Cyclist</v>
      </c>
      <c r="B50" s="4">
        <f ca="1">B160*'Total Duration Tables Sup #1'!B50*(1+'Other Assumptions'!D$48)*(1+'Active Mode Assumptions'!B20)</f>
        <v>0.28046850410000002</v>
      </c>
      <c r="C50" s="4">
        <f ca="1">C160*'Total Duration Tables Sup #1'!C50*(1+'Other Assumptions'!G$48)*(1+'Active Mode Assumptions'!C20)</f>
        <v>0.29182426179471438</v>
      </c>
      <c r="D50" s="4">
        <f ca="1">D160*'Total Duration Tables Sup #1'!D50*(1+'Other Assumptions'!H$48)*(1+'Active Mode Assumptions'!D20)</f>
        <v>0.35352066338944488</v>
      </c>
      <c r="E50" s="4">
        <f ca="1">E160*'Total Duration Tables Sup #1'!E50*(1+'Other Assumptions'!I$48)*(1+'Active Mode Assumptions'!E20)</f>
        <v>0.40954987191965592</v>
      </c>
      <c r="F50" s="4">
        <f ca="1">F160*'Total Duration Tables Sup #1'!F50*(1+'Other Assumptions'!J$48)*(1+'Active Mode Assumptions'!F20)</f>
        <v>0.46814643472046485</v>
      </c>
      <c r="G50" s="4">
        <f ca="1">G160*'Total Duration Tables Sup #1'!G50*(1+'Other Assumptions'!K$48)*(1+'Active Mode Assumptions'!G20)</f>
        <v>0.5304332852506779</v>
      </c>
      <c r="H50" s="4">
        <f ca="1">H160*'Total Duration Tables Sup #1'!H50*(1+'Other Assumptions'!L$48)*(1+'Active Mode Assumptions'!H20)</f>
        <v>0.59339882126135324</v>
      </c>
      <c r="I50" s="4">
        <f ca="1">I160*'Total Duration Tables Sup #1'!I50*(1+'Other Assumptions'!M$48)*(1+'Active Mode Assumptions'!I20)</f>
        <v>0.58753682455208545</v>
      </c>
      <c r="J50" s="4">
        <f ca="1">J160*'Total Duration Tables Sup #1'!J50*(1+'Other Assumptions'!N$48)*(1+'Active Mode Assumptions'!J20)</f>
        <v>0.57988652908318639</v>
      </c>
      <c r="K50" s="4">
        <f ca="1">K160*'Total Duration Tables Sup #1'!K50*(1+'Other Assumptions'!O$48)*(1+'Active Mode Assumptions'!K20)</f>
        <v>0.57111163721776348</v>
      </c>
    </row>
    <row r="51" spans="1:11" x14ac:dyDescent="0.2">
      <c r="A51" t="str">
        <f ca="1">OFFSET(Gisborne_Reference,14,2)</f>
        <v>Light Vehicle Driver</v>
      </c>
      <c r="B51" s="4">
        <f ca="1">B161*'Total Duration Tables Sup #1'!B51*(1+'Other Assumptions'!D$48)-(B49*'Active Mode Assumptions'!B11*'Active Mode Assumptions'!B14/(1+'Active Mode Assumptions'!B11))-(B50*'Active Mode Assumptions'!B20*'Active Mode Assumptions'!B23/(1+'Active Mode Assumptions'!B20))</f>
        <v>6.0182660548999998</v>
      </c>
      <c r="C51" s="4">
        <f ca="1">C161*'Total Duration Tables Sup #1'!C51*(1+'Other Assumptions'!G$48)-(C49*'Active Mode Assumptions'!C11*'Active Mode Assumptions'!C14/(1+'Active Mode Assumptions'!C11))-(C50*'Active Mode Assumptions'!C20*'Active Mode Assumptions'!C23/(1+'Active Mode Assumptions'!C20))</f>
        <v>6.3067413867032887</v>
      </c>
      <c r="D51" s="4">
        <f ca="1">D161*'Total Duration Tables Sup #1'!D51*(1+'Other Assumptions'!H$48)-(D49*'Active Mode Assumptions'!D11*'Active Mode Assumptions'!D14/(1+'Active Mode Assumptions'!D11))-(D50*'Active Mode Assumptions'!D20*'Active Mode Assumptions'!D23/(1+'Active Mode Assumptions'!D20))</f>
        <v>6.3873693131985299</v>
      </c>
      <c r="E51" s="4">
        <f ca="1">E161*'Total Duration Tables Sup #1'!E51*(1+'Other Assumptions'!I$48)-(E49*'Active Mode Assumptions'!E11*'Active Mode Assumptions'!E14/(1+'Active Mode Assumptions'!E11))-(E50*'Active Mode Assumptions'!E20*'Active Mode Assumptions'!E23/(1+'Active Mode Assumptions'!E20))</f>
        <v>6.4537314654142648</v>
      </c>
      <c r="F51" s="4">
        <f ca="1">F161*'Total Duration Tables Sup #1'!F51*(1+'Other Assumptions'!J$48)-(F49*'Active Mode Assumptions'!F11*'Active Mode Assumptions'!F14/(1+'Active Mode Assumptions'!F11))-(F50*'Active Mode Assumptions'!F20*'Active Mode Assumptions'!F23/(1+'Active Mode Assumptions'!F20))</f>
        <v>6.4848522739727166</v>
      </c>
      <c r="G51" s="4">
        <f ca="1">G161*'Total Duration Tables Sup #1'!G51*(1+'Other Assumptions'!K$48)-(G49*'Active Mode Assumptions'!G11*'Active Mode Assumptions'!G14/(1+'Active Mode Assumptions'!G11))-(G50*'Active Mode Assumptions'!G20*'Active Mode Assumptions'!G23/(1+'Active Mode Assumptions'!G20))</f>
        <v>6.4335286785823627</v>
      </c>
      <c r="H51" s="4">
        <f ca="1">H161*'Total Duration Tables Sup #1'!H51*(1+'Other Assumptions'!L$48)-(H49*'Active Mode Assumptions'!H11*'Active Mode Assumptions'!H14/(1+'Active Mode Assumptions'!H11))-(H50*'Active Mode Assumptions'!H20*'Active Mode Assumptions'!H23/(1+'Active Mode Assumptions'!H20))</f>
        <v>6.3526561804452193</v>
      </c>
      <c r="I51" s="4">
        <f ca="1">I161*'Total Duration Tables Sup #1'!I51*(1+'Other Assumptions'!M$48)-(I49*'Active Mode Assumptions'!I11*'Active Mode Assumptions'!I14/(1+'Active Mode Assumptions'!I11))-(I50*'Active Mode Assumptions'!I20*'Active Mode Assumptions'!I23/(1+'Active Mode Assumptions'!I20))</f>
        <v>6.2881674513460828</v>
      </c>
      <c r="J51" s="4">
        <f ca="1">J161*'Total Duration Tables Sup #1'!J51*(1+'Other Assumptions'!N$48)-(J49*'Active Mode Assumptions'!J11*'Active Mode Assumptions'!J14/(1+'Active Mode Assumptions'!J11))-(J50*'Active Mode Assumptions'!J20*'Active Mode Assumptions'!J23/(1+'Active Mode Assumptions'!J20))</f>
        <v>6.2045894655926395</v>
      </c>
      <c r="K51" s="4">
        <f ca="1">K161*'Total Duration Tables Sup #1'!K51*(1+'Other Assumptions'!O$48)-(K49*'Active Mode Assumptions'!K11*'Active Mode Assumptions'!K14/(1+'Active Mode Assumptions'!K11))-(K50*'Active Mode Assumptions'!K20*'Active Mode Assumptions'!K23/(1+'Active Mode Assumptions'!K20))</f>
        <v>6.1090346058770928</v>
      </c>
    </row>
    <row r="52" spans="1:11" x14ac:dyDescent="0.2">
      <c r="A52" t="str">
        <f ca="1">OFFSET(Gisborne_Reference,21,2)</f>
        <v>Light Vehicle Passenger</v>
      </c>
      <c r="B52" s="4">
        <f ca="1">B162*'Total Duration Tables Sup #1'!B52*(1+'Other Assumptions'!D$48)-(B49*'Active Mode Assumptions'!B11*'Active Mode Assumptions'!B15/(1+'Active Mode Assumptions'!B11))-(B50*'Active Mode Assumptions'!B20*'Active Mode Assumptions'!B24/(1+'Active Mode Assumptions'!B20))</f>
        <v>4.5909579553000004</v>
      </c>
      <c r="C52" s="4">
        <f ca="1">C162*'Total Duration Tables Sup #1'!C52*(1+'Other Assumptions'!G$48)-(C49*'Active Mode Assumptions'!C11*'Active Mode Assumptions'!C15/(1+'Active Mode Assumptions'!C11))-(C50*'Active Mode Assumptions'!C20*'Active Mode Assumptions'!C24/(1+'Active Mode Assumptions'!C20))</f>
        <v>4.6145710190342841</v>
      </c>
      <c r="D52" s="4">
        <f ca="1">D162*'Total Duration Tables Sup #1'!D52*(1+'Other Assumptions'!H$48)-(D49*'Active Mode Assumptions'!D11*'Active Mode Assumptions'!D15/(1+'Active Mode Assumptions'!D11))-(D50*'Active Mode Assumptions'!D20*'Active Mode Assumptions'!D24/(1+'Active Mode Assumptions'!D20))</f>
        <v>4.5566511126909184</v>
      </c>
      <c r="E52" s="4">
        <f ca="1">E162*'Total Duration Tables Sup #1'!E52*(1+'Other Assumptions'!I$48)-(E49*'Active Mode Assumptions'!E11*'Active Mode Assumptions'!E15/(1+'Active Mode Assumptions'!E11))-(E50*'Active Mode Assumptions'!E20*'Active Mode Assumptions'!E24/(1+'Active Mode Assumptions'!E20))</f>
        <v>4.4882436808187016</v>
      </c>
      <c r="F52" s="4">
        <f ca="1">F162*'Total Duration Tables Sup #1'!F52*(1+'Other Assumptions'!J$48)-(F49*'Active Mode Assumptions'!F11*'Active Mode Assumptions'!F15/(1+'Active Mode Assumptions'!F11))-(F50*'Active Mode Assumptions'!F20*'Active Mode Assumptions'!F24/(1+'Active Mode Assumptions'!F20))</f>
        <v>4.3924199047742771</v>
      </c>
      <c r="G52" s="4">
        <f ca="1">G162*'Total Duration Tables Sup #1'!G52*(1+'Other Assumptions'!K$48)-(G49*'Active Mode Assumptions'!G11*'Active Mode Assumptions'!G15/(1+'Active Mode Assumptions'!G11))-(G50*'Active Mode Assumptions'!G20*'Active Mode Assumptions'!G24/(1+'Active Mode Assumptions'!G20))</f>
        <v>4.2622088333573087</v>
      </c>
      <c r="H52" s="4">
        <f ca="1">H162*'Total Duration Tables Sup #1'!H52*(1+'Other Assumptions'!L$48)-(H49*'Active Mode Assumptions'!H11*'Active Mode Assumptions'!H15/(1+'Active Mode Assumptions'!H11))-(H50*'Active Mode Assumptions'!H20*'Active Mode Assumptions'!H24/(1+'Active Mode Assumptions'!H20))</f>
        <v>4.1152512729297444</v>
      </c>
      <c r="I52" s="4">
        <f ca="1">I162*'Total Duration Tables Sup #1'!I52*(1+'Other Assumptions'!M$48)-(I49*'Active Mode Assumptions'!I11*'Active Mode Assumptions'!I15/(1+'Active Mode Assumptions'!I11))-(I50*'Active Mode Assumptions'!I20*'Active Mode Assumptions'!I24/(1+'Active Mode Assumptions'!I20))</f>
        <v>4.0759664859732574</v>
      </c>
      <c r="J52" s="4">
        <f ca="1">J162*'Total Duration Tables Sup #1'!J52*(1+'Other Assumptions'!N$48)-(J49*'Active Mode Assumptions'!J11*'Active Mode Assumptions'!J15/(1+'Active Mode Assumptions'!J11))-(J50*'Active Mode Assumptions'!J20*'Active Mode Assumptions'!J24/(1+'Active Mode Assumptions'!J20))</f>
        <v>4.0242363341318477</v>
      </c>
      <c r="K52" s="4">
        <f ca="1">K162*'Total Duration Tables Sup #1'!K52*(1+'Other Assumptions'!O$48)-(K49*'Active Mode Assumptions'!K11*'Active Mode Assumptions'!K15/(1+'Active Mode Assumptions'!K11))-(K50*'Active Mode Assumptions'!K20*'Active Mode Assumptions'!K24/(1+'Active Mode Assumptions'!K20))</f>
        <v>3.9646534526179793</v>
      </c>
    </row>
    <row r="53" spans="1:11" x14ac:dyDescent="0.2">
      <c r="A53" t="str">
        <f ca="1">OFFSET(Gisborne_Reference,28,2)</f>
        <v>Taxi/Vehicle Share</v>
      </c>
      <c r="B53" s="4">
        <f ca="1">B163*'Total Duration Tables Sup #1'!B53*(1+'Other Assumptions'!D$48)</f>
        <v>5.0534828E-3</v>
      </c>
      <c r="C53" s="4">
        <f ca="1">C163*'Total Duration Tables Sup #1'!C53*(1+'Other Assumptions'!G$48)</f>
        <v>5.5036485339431942E-3</v>
      </c>
      <c r="D53" s="4">
        <f ca="1">D163*'Total Duration Tables Sup #1'!D53*(1+'Other Assumptions'!H$48)</f>
        <v>5.8318932539712385E-3</v>
      </c>
      <c r="E53" s="4">
        <f ca="1">E163*'Total Duration Tables Sup #1'!E53*(1+'Other Assumptions'!I$48)</f>
        <v>6.0860042557402769E-3</v>
      </c>
      <c r="F53" s="4">
        <f ca="1">F163*'Total Duration Tables Sup #1'!F53*(1+'Other Assumptions'!J$48)</f>
        <v>6.259014482558758E-3</v>
      </c>
      <c r="G53" s="4">
        <f ca="1">G163*'Total Duration Tables Sup #1'!G53*(1+'Other Assumptions'!K$48)</f>
        <v>6.2937202665844681E-3</v>
      </c>
      <c r="H53" s="4">
        <f ca="1">H163*'Total Duration Tables Sup #1'!H53*(1+'Other Assumptions'!L$48)</f>
        <v>6.2955315239100794E-3</v>
      </c>
      <c r="I53" s="4">
        <f ca="1">I163*'Total Duration Tables Sup #1'!I53*(1+'Other Assumptions'!M$48)</f>
        <v>6.2164671623528393E-3</v>
      </c>
      <c r="J53" s="4">
        <f ca="1">J163*'Total Duration Tables Sup #1'!J53*(1+'Other Assumptions'!N$48)</f>
        <v>6.1189293004480635E-3</v>
      </c>
      <c r="K53" s="4">
        <f ca="1">K163*'Total Duration Tables Sup #1'!K53*(1+'Other Assumptions'!O$48)</f>
        <v>6.0100591737776345E-3</v>
      </c>
    </row>
    <row r="54" spans="1:11" x14ac:dyDescent="0.2">
      <c r="A54" t="str">
        <f ca="1">OFFSET(Gisborne_Reference,35,2)</f>
        <v>Motorcyclist</v>
      </c>
      <c r="B54" s="4">
        <f ca="1">B164*'Total Duration Tables Sup #1'!B54*(1+'Other Assumptions'!D$48)</f>
        <v>4.6418087199999999E-2</v>
      </c>
      <c r="C54" s="4">
        <f ca="1">C164*'Total Duration Tables Sup #1'!C54*(1+'Other Assumptions'!G$48)</f>
        <v>4.8169111715382164E-2</v>
      </c>
      <c r="D54" s="4">
        <f ca="1">D164*'Total Duration Tables Sup #1'!D54*(1+'Other Assumptions'!H$48)</f>
        <v>4.8606998716852305E-2</v>
      </c>
      <c r="E54" s="4">
        <f ca="1">E164*'Total Duration Tables Sup #1'!E54*(1+'Other Assumptions'!I$48)</f>
        <v>4.8647173340424107E-2</v>
      </c>
      <c r="F54" s="4">
        <f ca="1">F164*'Total Duration Tables Sup #1'!F54*(1+'Other Assumptions'!J$48)</f>
        <v>4.8416296811522645E-2</v>
      </c>
      <c r="G54" s="4">
        <f ca="1">G164*'Total Duration Tables Sup #1'!G54*(1+'Other Assumptions'!K$48)</f>
        <v>4.73832527571326E-2</v>
      </c>
      <c r="H54" s="4">
        <f ca="1">H164*'Total Duration Tables Sup #1'!H54*(1+'Other Assumptions'!L$48)</f>
        <v>4.6118367022115477E-2</v>
      </c>
      <c r="I54" s="4">
        <f ca="1">I164*'Total Duration Tables Sup #1'!I54*(1+'Other Assumptions'!M$48)</f>
        <v>4.5832949304359237E-2</v>
      </c>
      <c r="J54" s="4">
        <f ca="1">J164*'Total Duration Tables Sup #1'!J54*(1+'Other Assumptions'!N$48)</f>
        <v>4.5404689047826172E-2</v>
      </c>
      <c r="K54" s="4">
        <f ca="1">K164*'Total Duration Tables Sup #1'!K54*(1+'Other Assumptions'!O$48)</f>
        <v>4.4884044231360269E-2</v>
      </c>
    </row>
    <row r="55" spans="1:11" x14ac:dyDescent="0.2">
      <c r="A55" t="str">
        <f ca="1">OFFSET(Gisborne_Reference,42,2)</f>
        <v>Local Train</v>
      </c>
      <c r="B55" s="4">
        <f ca="1">B165*'Total Duration Tables Sup #1'!B55*(1+'Other Assumptions'!D$48)</f>
        <v>0</v>
      </c>
      <c r="C55" s="4">
        <f ca="1">C165*'Total Duration Tables Sup #1'!C55*(1+'Other Assumptions'!G$48)</f>
        <v>0</v>
      </c>
      <c r="D55" s="4">
        <f ca="1">D165*'Total Duration Tables Sup #1'!D55*(1+'Other Assumptions'!H$48)</f>
        <v>0</v>
      </c>
      <c r="E55" s="4">
        <f ca="1">E165*'Total Duration Tables Sup #1'!E55*(1+'Other Assumptions'!I$48)</f>
        <v>0</v>
      </c>
      <c r="F55" s="4">
        <f ca="1">F165*'Total Duration Tables Sup #1'!F55*(1+'Other Assumptions'!J$48)</f>
        <v>0</v>
      </c>
      <c r="G55" s="4">
        <f ca="1">G165*'Total Duration Tables Sup #1'!G55*(1+'Other Assumptions'!K$48)</f>
        <v>0</v>
      </c>
      <c r="H55" s="4">
        <f ca="1">H165*'Total Duration Tables Sup #1'!H55*(1+'Other Assumptions'!L$48)</f>
        <v>0</v>
      </c>
      <c r="I55" s="4">
        <f ca="1">I165*'Total Duration Tables Sup #1'!I55*(1+'Other Assumptions'!M$48)</f>
        <v>0</v>
      </c>
      <c r="J55" s="4">
        <f ca="1">J165*'Total Duration Tables Sup #1'!J55*(1+'Other Assumptions'!N$48)</f>
        <v>0</v>
      </c>
      <c r="K55" s="4">
        <f ca="1">K165*'Total Duration Tables Sup #1'!K55*(1+'Other Assumptions'!O$48)</f>
        <v>0</v>
      </c>
    </row>
    <row r="56" spans="1:11" x14ac:dyDescent="0.2">
      <c r="A56" t="str">
        <f ca="1">OFFSET(Gisborne_Reference,49,2)</f>
        <v>Local Bus</v>
      </c>
      <c r="B56" s="4">
        <f ca="1">B166*'Total Duration Tables Sup #1'!B56*(1+'Other Assumptions'!D$48)</f>
        <v>0.17812381360000001</v>
      </c>
      <c r="C56" s="4">
        <f ca="1">C166*'Total Duration Tables Sup #1'!C56*(1+'Other Assumptions'!G$48)</f>
        <v>0.16925524233466949</v>
      </c>
      <c r="D56" s="4">
        <f ca="1">D166*'Total Duration Tables Sup #1'!D56*(1+'Other Assumptions'!H$48)</f>
        <v>0.1628145048864599</v>
      </c>
      <c r="E56" s="4">
        <f ca="1">E166*'Total Duration Tables Sup #1'!E56*(1+'Other Assumptions'!I$48)</f>
        <v>0.15814968971315368</v>
      </c>
      <c r="F56" s="4">
        <f ca="1">F166*'Total Duration Tables Sup #1'!F56*(1+'Other Assumptions'!J$48)</f>
        <v>0.15151588941618058</v>
      </c>
      <c r="G56" s="4">
        <f ca="1">G166*'Total Duration Tables Sup #1'!G56*(1+'Other Assumptions'!K$48)</f>
        <v>0.14553537264455438</v>
      </c>
      <c r="H56" s="4">
        <f ca="1">H166*'Total Duration Tables Sup #1'!H56*(1+'Other Assumptions'!L$48)</f>
        <v>0.13920478991986496</v>
      </c>
      <c r="I56" s="4">
        <f ca="1">I166*'Total Duration Tables Sup #1'!I56*(1+'Other Assumptions'!M$48)</f>
        <v>0.13807765486172954</v>
      </c>
      <c r="J56" s="4">
        <f ca="1">J166*'Total Duration Tables Sup #1'!J56*(1+'Other Assumptions'!N$48)</f>
        <v>0.13652329815688893</v>
      </c>
      <c r="K56" s="4">
        <f ca="1">K166*'Total Duration Tables Sup #1'!K56*(1+'Other Assumptions'!O$48)</f>
        <v>0.1346958725390229</v>
      </c>
    </row>
    <row r="57" spans="1:11" x14ac:dyDescent="0.2">
      <c r="A57" t="str">
        <f ca="1">OFFSET(Gisborne_Reference,56,2)</f>
        <v>Local Ferry</v>
      </c>
      <c r="B57" s="4">
        <f ca="1">B167*'Total Duration Tables Sup #1'!B57*(1+'Other Assumptions'!D$48)</f>
        <v>6.5213138999999981E-3</v>
      </c>
      <c r="C57" s="4">
        <f ca="1">C167*'Total Duration Tables Sup #1'!C57*(1+'Other Assumptions'!G$48)</f>
        <v>6.9273494821047955E-3</v>
      </c>
      <c r="D57" s="4">
        <f ca="1">D167*'Total Duration Tables Sup #1'!D57*(1+'Other Assumptions'!H$48)</f>
        <v>7.125388182770801E-3</v>
      </c>
      <c r="E57" s="4">
        <f ca="1">E167*'Total Duration Tables Sup #1'!E57*(1+'Other Assumptions'!I$48)</f>
        <v>7.1779108417725267E-3</v>
      </c>
      <c r="F57" s="4">
        <f ca="1">F167*'Total Duration Tables Sup #1'!F57*(1+'Other Assumptions'!J$48)</f>
        <v>7.1296164292090885E-3</v>
      </c>
      <c r="G57" s="4">
        <f ca="1">G167*'Total Duration Tables Sup #1'!G57*(1+'Other Assumptions'!K$48)</f>
        <v>7.1746059100940918E-3</v>
      </c>
      <c r="H57" s="4">
        <f ca="1">H167*'Total Duration Tables Sup #1'!H57*(1+'Other Assumptions'!L$48)</f>
        <v>7.1563474193974746E-3</v>
      </c>
      <c r="I57" s="4">
        <f ca="1">I167*'Total Duration Tables Sup #1'!I57*(1+'Other Assumptions'!M$48)</f>
        <v>7.0367791652231346E-3</v>
      </c>
      <c r="J57" s="4">
        <f ca="1">J167*'Total Duration Tables Sup #1'!J57*(1+'Other Assumptions'!N$48)</f>
        <v>6.8977611647381403E-3</v>
      </c>
      <c r="K57" s="4">
        <f ca="1">K167*'Total Duration Tables Sup #1'!K57*(1+'Other Assumptions'!O$48)</f>
        <v>6.7475324017153343E-3</v>
      </c>
    </row>
    <row r="58" spans="1:11" x14ac:dyDescent="0.2">
      <c r="A58" t="str">
        <f ca="1">OFFSET(Gisborne_Reference,63,2)</f>
        <v>Other Household Travel</v>
      </c>
      <c r="B58" s="4">
        <f ca="1">B168*'Total Duration Tables Sup #1'!B58*(1+'Other Assumptions'!D$48)</f>
        <v>5.2226492000000003E-3</v>
      </c>
      <c r="C58" s="4">
        <f ca="1">C168*'Total Duration Tables Sup #1'!C58*(1+'Other Assumptions'!G$48)</f>
        <v>5.4432732829653024E-3</v>
      </c>
      <c r="D58" s="4">
        <f ca="1">D168*'Total Duration Tables Sup #1'!D58*(1+'Other Assumptions'!H$48)</f>
        <v>5.5867876075460466E-3</v>
      </c>
      <c r="E58" s="4">
        <f ca="1">E168*'Total Duration Tables Sup #1'!E58*(1+'Other Assumptions'!I$48)</f>
        <v>5.6092169176032826E-3</v>
      </c>
      <c r="F58" s="4">
        <f ca="1">F168*'Total Duration Tables Sup #1'!F58*(1+'Other Assumptions'!J$48)</f>
        <v>5.5778998572965982E-3</v>
      </c>
      <c r="G58" s="4">
        <f ca="1">G168*'Total Duration Tables Sup #1'!G58*(1+'Other Assumptions'!K$48)</f>
        <v>5.5430225314286579E-3</v>
      </c>
      <c r="H58" s="4">
        <f ca="1">H168*'Total Duration Tables Sup #1'!H58*(1+'Other Assumptions'!L$48)</f>
        <v>5.465855114577675E-3</v>
      </c>
      <c r="I58" s="4">
        <f ca="1">I168*'Total Duration Tables Sup #1'!I58*(1+'Other Assumptions'!M$48)</f>
        <v>5.4023016374725574E-3</v>
      </c>
      <c r="J58" s="4">
        <f ca="1">J168*'Total Duration Tables Sup #1'!J58*(1+'Other Assumptions'!N$48)</f>
        <v>5.3227430121921635E-3</v>
      </c>
      <c r="K58" s="4">
        <f ca="1">K168*'Total Duration Tables Sup #1'!K58*(1+'Other Assumptions'!O$48)</f>
        <v>5.2333350256855418E-3</v>
      </c>
    </row>
    <row r="59" spans="1:11" x14ac:dyDescent="0.2">
      <c r="A59" t="str">
        <f ca="1">OFFSET(Hawkes_Bay_Reference,0,0)</f>
        <v>06 HAWKE`S BAY</v>
      </c>
    </row>
    <row r="60" spans="1:11" x14ac:dyDescent="0.2">
      <c r="A60" t="str">
        <f ca="1">OFFSET(Hawkes_Bay_Reference,0,2)</f>
        <v>Pedestrian</v>
      </c>
      <c r="B60" s="4">
        <f ca="1">B159*'Total Duration Tables Sup #1'!B60*(1+'Other Assumptions'!D$49)*(1+'Active Mode Assumptions'!B11)</f>
        <v>5.9462513095</v>
      </c>
      <c r="C60" s="4">
        <f ca="1">C159*'Total Duration Tables Sup #1'!C60*(1+'Other Assumptions'!G$49)*(1+'Active Mode Assumptions'!C11)</f>
        <v>6.2508559629629925</v>
      </c>
      <c r="D60" s="4">
        <f ca="1">D159*'Total Duration Tables Sup #1'!D60*(1+'Other Assumptions'!H$49)*(1+'Active Mode Assumptions'!D11)</f>
        <v>6.6480345536681487</v>
      </c>
      <c r="E60" s="4">
        <f ca="1">E159*'Total Duration Tables Sup #1'!E60*(1+'Other Assumptions'!I$49)*(1+'Active Mode Assumptions'!E11)</f>
        <v>6.9547813732355257</v>
      </c>
      <c r="F60" s="4">
        <f ca="1">F159*'Total Duration Tables Sup #1'!F60*(1+'Other Assumptions'!J$49)*(1+'Active Mode Assumptions'!F11)</f>
        <v>7.1923663684318377</v>
      </c>
      <c r="G60" s="4">
        <f ca="1">G159*'Total Duration Tables Sup #1'!G60*(1+'Other Assumptions'!K$49)*(1+'Active Mode Assumptions'!G11)</f>
        <v>7.3956091162800481</v>
      </c>
      <c r="H60" s="4">
        <f ca="1">H159*'Total Duration Tables Sup #1'!H60*(1+'Other Assumptions'!L$49)*(1+'Active Mode Assumptions'!H11)</f>
        <v>7.5726441425812414</v>
      </c>
      <c r="I60" s="4">
        <f ca="1">I159*'Total Duration Tables Sup #1'!I60*(1+'Other Assumptions'!M$49)*(1+'Active Mode Assumptions'!I11)</f>
        <v>7.6568705327531017</v>
      </c>
      <c r="J60" s="4">
        <f ca="1">J159*'Total Duration Tables Sup #1'!J60*(1+'Other Assumptions'!N$49)*(1+'Active Mode Assumptions'!J11)</f>
        <v>7.7222896385443081</v>
      </c>
      <c r="K60" s="4">
        <f ca="1">K159*'Total Duration Tables Sup #1'!K60*(1+'Other Assumptions'!O$49)*(1+'Active Mode Assumptions'!K11)</f>
        <v>7.7764907170070945</v>
      </c>
    </row>
    <row r="61" spans="1:11" x14ac:dyDescent="0.2">
      <c r="A61" t="str">
        <f ca="1">OFFSET(Hawkes_Bay_Reference,7,2)</f>
        <v>Cyclist</v>
      </c>
      <c r="B61" s="4">
        <f ca="1">B160*'Total Duration Tables Sup #1'!B61*(1+'Other Assumptions'!D$49)*(1+'Active Mode Assumptions'!B20)</f>
        <v>0.88401106659999995</v>
      </c>
      <c r="C61" s="4">
        <f ca="1">C160*'Total Duration Tables Sup #1'!C61*(1+'Other Assumptions'!G$49)*(1+'Active Mode Assumptions'!C20)</f>
        <v>0.95472799308883627</v>
      </c>
      <c r="D61" s="4">
        <f ca="1">D160*'Total Duration Tables Sup #1'!D61*(1+'Other Assumptions'!H$49)*(1+'Active Mode Assumptions'!D20)</f>
        <v>1.1855423382602992</v>
      </c>
      <c r="E61" s="4">
        <f ca="1">E160*'Total Duration Tables Sup #1'!E61*(1+'Other Assumptions'!I$49)*(1+'Active Mode Assumptions'!E20)</f>
        <v>1.40107268307808</v>
      </c>
      <c r="F61" s="4">
        <f ca="1">F160*'Total Duration Tables Sup #1'!F61*(1+'Other Assumptions'!J$49)*(1+'Active Mode Assumptions'!F20)</f>
        <v>1.6326090679612628</v>
      </c>
      <c r="G61" s="4">
        <f ca="1">G160*'Total Duration Tables Sup #1'!G61*(1+'Other Assumptions'!K$49)*(1+'Active Mode Assumptions'!G20)</f>
        <v>1.8887848750877436</v>
      </c>
      <c r="H61" s="4">
        <f ca="1">H160*'Total Duration Tables Sup #1'!H61*(1+'Other Assumptions'!L$49)*(1+'Active Mode Assumptions'!H20)</f>
        <v>2.1582863357491346</v>
      </c>
      <c r="I61" s="4">
        <f ca="1">I160*'Total Duration Tables Sup #1'!I61*(1+'Other Assumptions'!M$49)*(1+'Active Mode Assumptions'!I20)</f>
        <v>2.1841110831902615</v>
      </c>
      <c r="J61" s="4">
        <f ca="1">J160*'Total Duration Tables Sup #1'!J61*(1+'Other Assumptions'!N$49)*(1+'Active Mode Assumptions'!J20)</f>
        <v>2.2045925747380548</v>
      </c>
      <c r="K61" s="4">
        <f ca="1">K160*'Total Duration Tables Sup #1'!K61*(1+'Other Assumptions'!O$49)*(1+'Active Mode Assumptions'!K20)</f>
        <v>2.2218870961102644</v>
      </c>
    </row>
    <row r="62" spans="1:11" x14ac:dyDescent="0.2">
      <c r="A62" t="str">
        <f ca="1">OFFSET(Hawkes_Bay_Reference,14,2)</f>
        <v>Light Vehicle Driver</v>
      </c>
      <c r="B62" s="4">
        <f ca="1">B161*'Total Duration Tables Sup #1'!B62*(1+'Other Assumptions'!D$49)-(B60*'Active Mode Assumptions'!B11*'Active Mode Assumptions'!B14/(1+'Active Mode Assumptions'!B11))-(B61*'Active Mode Assumptions'!B20*'Active Mode Assumptions'!B23/(1+'Active Mode Assumptions'!B20))</f>
        <v>25.377986313000001</v>
      </c>
      <c r="C62" s="4">
        <f ca="1">C161*'Total Duration Tables Sup #1'!C62*(1+'Other Assumptions'!G$49)-(C60*'Active Mode Assumptions'!C11*'Active Mode Assumptions'!C14/(1+'Active Mode Assumptions'!C11))-(C61*'Active Mode Assumptions'!C20*'Active Mode Assumptions'!C23/(1+'Active Mode Assumptions'!C20))</f>
        <v>27.604218457562606</v>
      </c>
      <c r="D62" s="4">
        <f ca="1">D161*'Total Duration Tables Sup #1'!D62*(1+'Other Assumptions'!H$49)-(D60*'Active Mode Assumptions'!D11*'Active Mode Assumptions'!D14/(1+'Active Mode Assumptions'!D11))-(D61*'Active Mode Assumptions'!D20*'Active Mode Assumptions'!D23/(1+'Active Mode Assumptions'!D20))</f>
        <v>28.713021237688199</v>
      </c>
      <c r="E62" s="4">
        <f ca="1">E161*'Total Duration Tables Sup #1'!E62*(1+'Other Assumptions'!I$49)-(E60*'Active Mode Assumptions'!E11*'Active Mode Assumptions'!E14/(1+'Active Mode Assumptions'!E11))-(E61*'Active Mode Assumptions'!E20*'Active Mode Assumptions'!E23/(1+'Active Mode Assumptions'!E20))</f>
        <v>29.650011552177013</v>
      </c>
      <c r="F62" s="4">
        <f ca="1">F161*'Total Duration Tables Sup #1'!F62*(1+'Other Assumptions'!J$49)-(F60*'Active Mode Assumptions'!F11*'Active Mode Assumptions'!F14/(1+'Active Mode Assumptions'!F11))-(F61*'Active Mode Assumptions'!F20*'Active Mode Assumptions'!F23/(1+'Active Mode Assumptions'!F20))</f>
        <v>30.425194364198077</v>
      </c>
      <c r="G62" s="4">
        <f ca="1">G161*'Total Duration Tables Sup #1'!G62*(1+'Other Assumptions'!K$49)-(G60*'Active Mode Assumptions'!G11*'Active Mode Assumptions'!G14/(1+'Active Mode Assumptions'!G11))-(G61*'Active Mode Assumptions'!G20*'Active Mode Assumptions'!G23/(1+'Active Mode Assumptions'!G20))</f>
        <v>30.875083467083602</v>
      </c>
      <c r="H62" s="4">
        <f ca="1">H161*'Total Duration Tables Sup #1'!H62*(1+'Other Assumptions'!L$49)-(H60*'Active Mode Assumptions'!H11*'Active Mode Assumptions'!H14/(1+'Active Mode Assumptions'!H11))-(H61*'Active Mode Assumptions'!H20*'Active Mode Assumptions'!H23/(1+'Active Mode Assumptions'!H20))</f>
        <v>31.195621675558439</v>
      </c>
      <c r="I62" s="4">
        <f ca="1">I161*'Total Duration Tables Sup #1'!I62*(1+'Other Assumptions'!M$49)-(I60*'Active Mode Assumptions'!I11*'Active Mode Assumptions'!I14/(1+'Active Mode Assumptions'!I11))-(I61*'Active Mode Assumptions'!I20*'Active Mode Assumptions'!I23/(1+'Active Mode Assumptions'!I20))</f>
        <v>31.560109271369686</v>
      </c>
      <c r="J62" s="4">
        <f ca="1">J161*'Total Duration Tables Sup #1'!J62*(1+'Other Assumptions'!N$49)-(J60*'Active Mode Assumptions'!J11*'Active Mode Assumptions'!J14/(1+'Active Mode Assumptions'!J11))-(J61*'Active Mode Assumptions'!J20*'Active Mode Assumptions'!J23/(1+'Active Mode Assumptions'!J20))</f>
        <v>31.847255421183675</v>
      </c>
      <c r="K62" s="4">
        <f ca="1">K161*'Total Duration Tables Sup #1'!K62*(1+'Other Assumptions'!O$49)-(K60*'Active Mode Assumptions'!K11*'Active Mode Assumptions'!K14/(1+'Active Mode Assumptions'!K11))-(K61*'Active Mode Assumptions'!K20*'Active Mode Assumptions'!K23/(1+'Active Mode Assumptions'!K20))</f>
        <v>32.088253936795361</v>
      </c>
    </row>
    <row r="63" spans="1:11" x14ac:dyDescent="0.2">
      <c r="A63" t="str">
        <f ca="1">OFFSET(Hawkes_Bay_Reference,21,2)</f>
        <v>Light Vehicle Passenger</v>
      </c>
      <c r="B63" s="4">
        <f ca="1">B162*'Total Duration Tables Sup #1'!B63*(1+'Other Assumptions'!D$49)-(B60*'Active Mode Assumptions'!B11*'Active Mode Assumptions'!B15/(1+'Active Mode Assumptions'!B11))-(B61*'Active Mode Assumptions'!B20*'Active Mode Assumptions'!B24/(1+'Active Mode Assumptions'!B20))</f>
        <v>15.230731736999999</v>
      </c>
      <c r="C63" s="4">
        <f ca="1">C162*'Total Duration Tables Sup #1'!C63*(1+'Other Assumptions'!G$49)-(C60*'Active Mode Assumptions'!C11*'Active Mode Assumptions'!C15/(1+'Active Mode Assumptions'!C11))-(C61*'Active Mode Assumptions'!C20*'Active Mode Assumptions'!C24/(1+'Active Mode Assumptions'!C20))</f>
        <v>15.890349334359691</v>
      </c>
      <c r="D63" s="4">
        <f ca="1">D162*'Total Duration Tables Sup #1'!D63*(1+'Other Assumptions'!H$49)-(D60*'Active Mode Assumptions'!D11*'Active Mode Assumptions'!D15/(1+'Active Mode Assumptions'!D11))-(D61*'Active Mode Assumptions'!D20*'Active Mode Assumptions'!D24/(1+'Active Mode Assumptions'!D20))</f>
        <v>16.103528972491986</v>
      </c>
      <c r="E63" s="4">
        <f ca="1">E162*'Total Duration Tables Sup #1'!E63*(1+'Other Assumptions'!I$49)-(E60*'Active Mode Assumptions'!E11*'Active Mode Assumptions'!E15/(1+'Active Mode Assumptions'!E11))-(E61*'Active Mode Assumptions'!E20*'Active Mode Assumptions'!E24/(1+'Active Mode Assumptions'!E20))</f>
        <v>16.200758093334148</v>
      </c>
      <c r="F63" s="4">
        <f ca="1">F162*'Total Duration Tables Sup #1'!F63*(1+'Other Assumptions'!J$49)-(F60*'Active Mode Assumptions'!F11*'Active Mode Assumptions'!F15/(1+'Active Mode Assumptions'!F11))-(F61*'Active Mode Assumptions'!F20*'Active Mode Assumptions'!F24/(1+'Active Mode Assumptions'!F20))</f>
        <v>16.182405332901009</v>
      </c>
      <c r="G63" s="4">
        <f ca="1">G162*'Total Duration Tables Sup #1'!G63*(1+'Other Assumptions'!K$49)-(G60*'Active Mode Assumptions'!G11*'Active Mode Assumptions'!G15/(1+'Active Mode Assumptions'!G11))-(G61*'Active Mode Assumptions'!G20*'Active Mode Assumptions'!G24/(1+'Active Mode Assumptions'!G20))</f>
        <v>16.053515177861264</v>
      </c>
      <c r="H63" s="4">
        <f ca="1">H162*'Total Duration Tables Sup #1'!H63*(1+'Other Assumptions'!L$49)-(H60*'Active Mode Assumptions'!H11*'Active Mode Assumptions'!H15/(1+'Active Mode Assumptions'!H11))-(H61*'Active Mode Assumptions'!H20*'Active Mode Assumptions'!H24/(1+'Active Mode Assumptions'!H20))</f>
        <v>15.852582816350909</v>
      </c>
      <c r="I63" s="4">
        <f ca="1">I162*'Total Duration Tables Sup #1'!I63*(1+'Other Assumptions'!M$49)-(I60*'Active Mode Assumptions'!I11*'Active Mode Assumptions'!I15/(1+'Active Mode Assumptions'!I11))-(I61*'Active Mode Assumptions'!I20*'Active Mode Assumptions'!I24/(1+'Active Mode Assumptions'!I20))</f>
        <v>16.047548897357593</v>
      </c>
      <c r="J63" s="4">
        <f ca="1">J162*'Total Duration Tables Sup #1'!J63*(1+'Other Assumptions'!N$49)-(J60*'Active Mode Assumptions'!J11*'Active Mode Assumptions'!J15/(1+'Active Mode Assumptions'!J11))-(J61*'Active Mode Assumptions'!J20*'Active Mode Assumptions'!J24/(1+'Active Mode Assumptions'!J20))</f>
        <v>16.203337451721865</v>
      </c>
      <c r="K63" s="4">
        <f ca="1">K162*'Total Duration Tables Sup #1'!K63*(1+'Other Assumptions'!O$49)-(K60*'Active Mode Assumptions'!K11*'Active Mode Assumptions'!K15/(1+'Active Mode Assumptions'!K11))-(K61*'Active Mode Assumptions'!K20*'Active Mode Assumptions'!K24/(1+'Active Mode Assumptions'!K20))</f>
        <v>16.335751524170586</v>
      </c>
    </row>
    <row r="64" spans="1:11" x14ac:dyDescent="0.2">
      <c r="A64" t="str">
        <f ca="1">OFFSET(Hawkes_Bay_Reference,28,2)</f>
        <v>Taxi/Vehicle Share</v>
      </c>
      <c r="B64" s="4">
        <f ca="1">B163*'Total Duration Tables Sup #1'!B64*(1+'Other Assumptions'!D$49)</f>
        <v>4.5837477299999999E-2</v>
      </c>
      <c r="C64" s="4">
        <f ca="1">C163*'Total Duration Tables Sup #1'!C64*(1+'Other Assumptions'!G$49)</f>
        <v>5.1816164771550592E-2</v>
      </c>
      <c r="D64" s="4">
        <f ca="1">D163*'Total Duration Tables Sup #1'!D64*(1+'Other Assumptions'!H$49)</f>
        <v>5.6281821330662049E-2</v>
      </c>
      <c r="E64" s="4">
        <f ca="1">E163*'Total Duration Tables Sup #1'!E64*(1+'Other Assumptions'!I$49)</f>
        <v>5.9915948012332881E-2</v>
      </c>
      <c r="F64" s="4">
        <f ca="1">F163*'Total Duration Tables Sup #1'!F64*(1+'Other Assumptions'!J$49)</f>
        <v>6.2814911599769971E-2</v>
      </c>
      <c r="G64" s="4">
        <f ca="1">G163*'Total Duration Tables Sup #1'!G64*(1+'Other Assumptions'!K$49)</f>
        <v>6.4493430187102394E-2</v>
      </c>
      <c r="H64" s="4">
        <f ca="1">H163*'Total Duration Tables Sup #1'!H64*(1+'Other Assumptions'!L$49)</f>
        <v>6.5894792872588898E-2</v>
      </c>
      <c r="I64" s="4">
        <f ca="1">I163*'Total Duration Tables Sup #1'!I64*(1+'Other Assumptions'!M$49)</f>
        <v>6.6502747357306088E-2</v>
      </c>
      <c r="J64" s="4">
        <f ca="1">J163*'Total Duration Tables Sup #1'!J64*(1+'Other Assumptions'!N$49)</f>
        <v>6.6944833830452882E-2</v>
      </c>
      <c r="K64" s="4">
        <f ca="1">K163*'Total Duration Tables Sup #1'!K64*(1+'Other Assumptions'!O$49)</f>
        <v>6.7287754815612819E-2</v>
      </c>
    </row>
    <row r="65" spans="1:11" x14ac:dyDescent="0.2">
      <c r="A65" t="str">
        <f ca="1">OFFSET(Hawkes_Bay_Reference,35,2)</f>
        <v>Motorcyclist</v>
      </c>
      <c r="B65" s="4">
        <f ca="1">B164*'Total Duration Tables Sup #1'!B65*(1+'Other Assumptions'!D$49)</f>
        <v>0.11763194120000001</v>
      </c>
      <c r="C65" s="4">
        <f ca="1">C164*'Total Duration Tables Sup #1'!C65*(1+'Other Assumptions'!G$49)</f>
        <v>0.1267042897301085</v>
      </c>
      <c r="D65" s="4">
        <f ca="1">D164*'Total Duration Tables Sup #1'!D65*(1+'Other Assumptions'!H$49)</f>
        <v>0.13105858988969443</v>
      </c>
      <c r="E65" s="4">
        <f ca="1">E164*'Total Duration Tables Sup #1'!E65*(1+'Other Assumptions'!I$49)</f>
        <v>0.13380609670622101</v>
      </c>
      <c r="F65" s="4">
        <f ca="1">F164*'Total Duration Tables Sup #1'!F65*(1+'Other Assumptions'!J$49)</f>
        <v>0.13575519974908357</v>
      </c>
      <c r="G65" s="4">
        <f ca="1">G164*'Total Duration Tables Sup #1'!G65*(1+'Other Assumptions'!K$49)</f>
        <v>0.13565662832494532</v>
      </c>
      <c r="H65" s="4">
        <f ca="1">H164*'Total Duration Tables Sup #1'!H65*(1+'Other Assumptions'!L$49)</f>
        <v>0.13486545545030404</v>
      </c>
      <c r="I65" s="4">
        <f ca="1">I164*'Total Duration Tables Sup #1'!I65*(1+'Other Assumptions'!M$49)</f>
        <v>0.13698778887623608</v>
      </c>
      <c r="J65" s="4">
        <f ca="1">J164*'Total Duration Tables Sup #1'!J65*(1+'Other Assumptions'!N$49)</f>
        <v>0.13878752986207599</v>
      </c>
      <c r="K65" s="4">
        <f ca="1">K164*'Total Duration Tables Sup #1'!K65*(1+'Other Assumptions'!O$49)</f>
        <v>0.14039685489502662</v>
      </c>
    </row>
    <row r="66" spans="1:11" x14ac:dyDescent="0.2">
      <c r="A66" t="str">
        <f ca="1">OFFSET(Auckland_Reference,42,2)</f>
        <v>Local Train</v>
      </c>
      <c r="B66" s="4">
        <f ca="1">B165*'Total Duration Tables Sup #1'!B66*(1+'Other Assumptions'!D$49)</f>
        <v>0</v>
      </c>
      <c r="C66" s="4">
        <f ca="1">C165*'Total Duration Tables Sup #1'!C66*(1+'Other Assumptions'!G$49)</f>
        <v>0</v>
      </c>
      <c r="D66" s="4">
        <f ca="1">D165*'Total Duration Tables Sup #1'!D66*(1+'Other Assumptions'!H$49)</f>
        <v>0</v>
      </c>
      <c r="E66" s="4">
        <f ca="1">E165*'Total Duration Tables Sup #1'!E66*(1+'Other Assumptions'!I$49)</f>
        <v>0</v>
      </c>
      <c r="F66" s="4">
        <f ca="1">F165*'Total Duration Tables Sup #1'!F66*(1+'Other Assumptions'!J$49)</f>
        <v>0</v>
      </c>
      <c r="G66" s="4">
        <f ca="1">G165*'Total Duration Tables Sup #1'!G66*(1+'Other Assumptions'!K$49)</f>
        <v>0</v>
      </c>
      <c r="H66" s="4">
        <f ca="1">H165*'Total Duration Tables Sup #1'!H66*(1+'Other Assumptions'!L$49)</f>
        <v>0</v>
      </c>
      <c r="I66" s="4">
        <f ca="1">I165*'Total Duration Tables Sup #1'!I66*(1+'Other Assumptions'!M$49)</f>
        <v>0</v>
      </c>
      <c r="J66" s="4">
        <f ca="1">J165*'Total Duration Tables Sup #1'!J66*(1+'Other Assumptions'!N$49)</f>
        <v>0</v>
      </c>
      <c r="K66" s="4">
        <f ca="1">K165*'Total Duration Tables Sup #1'!K66*(1+'Other Assumptions'!O$49)</f>
        <v>0</v>
      </c>
    </row>
    <row r="67" spans="1:11" x14ac:dyDescent="0.2">
      <c r="A67" t="str">
        <f ca="1">OFFSET(Hawkes_Bay_Reference,42,2)</f>
        <v>Local Bus</v>
      </c>
      <c r="B67" s="4">
        <f ca="1">B166*'Total Duration Tables Sup #1'!B67*(1+'Other Assumptions'!D$49)</f>
        <v>1.3660147812000001</v>
      </c>
      <c r="C67" s="4">
        <f ca="1">C166*'Total Duration Tables Sup #1'!C67*(1+'Other Assumptions'!G$49)</f>
        <v>1.3472872509506069</v>
      </c>
      <c r="D67" s="4">
        <f ca="1">D166*'Total Duration Tables Sup #1'!D67*(1+'Other Assumptions'!H$49)</f>
        <v>1.3284804506304626</v>
      </c>
      <c r="E67" s="4">
        <f ca="1">E166*'Total Duration Tables Sup #1'!E67*(1+'Other Assumptions'!I$49)</f>
        <v>1.3163822744243245</v>
      </c>
      <c r="F67" s="4">
        <f ca="1">F166*'Total Duration Tables Sup #1'!F67*(1+'Other Assumptions'!J$49)</f>
        <v>1.2856373293745418</v>
      </c>
      <c r="G67" s="4">
        <f ca="1">G166*'Total Duration Tables Sup #1'!G67*(1+'Other Assumptions'!K$49)</f>
        <v>1.2608984192436918</v>
      </c>
      <c r="H67" s="4">
        <f ca="1">H166*'Total Duration Tables Sup #1'!H67*(1+'Other Assumptions'!L$49)</f>
        <v>1.23190259905319</v>
      </c>
      <c r="I67" s="4">
        <f ca="1">I166*'Total Duration Tables Sup #1'!I67*(1+'Other Assumptions'!M$49)</f>
        <v>1.2488861334564985</v>
      </c>
      <c r="J67" s="4">
        <f ca="1">J166*'Total Duration Tables Sup #1'!J67*(1+'Other Assumptions'!N$49)</f>
        <v>1.2628503882762945</v>
      </c>
      <c r="K67" s="4">
        <f ca="1">K166*'Total Duration Tables Sup #1'!K67*(1+'Other Assumptions'!O$49)</f>
        <v>1.2750143579424196</v>
      </c>
    </row>
    <row r="68" spans="1:11" x14ac:dyDescent="0.2">
      <c r="A68" t="str">
        <f ca="1">OFFSET(Waikato_Reference,56,2)</f>
        <v>Local Ferry</v>
      </c>
      <c r="B68" s="4">
        <f ca="1">B167*'Total Duration Tables Sup #1'!B68*(1+'Other Assumptions'!D$49)</f>
        <v>0</v>
      </c>
      <c r="C68" s="4">
        <f ca="1">C167*'Total Duration Tables Sup #1'!C68*(1+'Other Assumptions'!G$49)</f>
        <v>0</v>
      </c>
      <c r="D68" s="4">
        <f ca="1">D167*'Total Duration Tables Sup #1'!D68*(1+'Other Assumptions'!H$49)</f>
        <v>0</v>
      </c>
      <c r="E68" s="4">
        <f ca="1">E167*'Total Duration Tables Sup #1'!E68*(1+'Other Assumptions'!I$49)</f>
        <v>0</v>
      </c>
      <c r="F68" s="4">
        <f ca="1">F167*'Total Duration Tables Sup #1'!F68*(1+'Other Assumptions'!J$49)</f>
        <v>0</v>
      </c>
      <c r="G68" s="4">
        <f ca="1">G167*'Total Duration Tables Sup #1'!G68*(1+'Other Assumptions'!K$49)</f>
        <v>0</v>
      </c>
      <c r="H68" s="4">
        <f ca="1">H167*'Total Duration Tables Sup #1'!H68*(1+'Other Assumptions'!L$49)</f>
        <v>0</v>
      </c>
      <c r="I68" s="4">
        <f ca="1">I167*'Total Duration Tables Sup #1'!I68*(1+'Other Assumptions'!M$49)</f>
        <v>0</v>
      </c>
      <c r="J68" s="4">
        <f ca="1">J167*'Total Duration Tables Sup #1'!J68*(1+'Other Assumptions'!N$49)</f>
        <v>0</v>
      </c>
      <c r="K68" s="4">
        <f ca="1">K167*'Total Duration Tables Sup #1'!K68*(1+'Other Assumptions'!O$49)</f>
        <v>0</v>
      </c>
    </row>
    <row r="69" spans="1:11" x14ac:dyDescent="0.2">
      <c r="A69" t="str">
        <f ca="1">OFFSET(Hawkes_Bay_Reference,49,2)</f>
        <v>Other Household Travel</v>
      </c>
      <c r="B69" s="4">
        <f ca="1">B168*'Total Duration Tables Sup #1'!B69*(1+'Other Assumptions'!D$49)</f>
        <v>0.15778150060000001</v>
      </c>
      <c r="C69" s="4">
        <f ca="1">C168*'Total Duration Tables Sup #1'!C69*(1+'Other Assumptions'!G$49)</f>
        <v>0.17069076411913831</v>
      </c>
      <c r="D69" s="4">
        <f ca="1">D168*'Total Duration Tables Sup #1'!D69*(1+'Other Assumptions'!H$49)</f>
        <v>0.17957920665339472</v>
      </c>
      <c r="E69" s="4">
        <f ca="1">E168*'Total Duration Tables Sup #1'!E69*(1+'Other Assumptions'!I$49)</f>
        <v>0.18392794951047955</v>
      </c>
      <c r="F69" s="4">
        <f ca="1">F168*'Total Duration Tables Sup #1'!F69*(1+'Other Assumptions'!J$49)</f>
        <v>0.18645018551138484</v>
      </c>
      <c r="G69" s="4">
        <f ca="1">G168*'Total Duration Tables Sup #1'!G69*(1+'Other Assumptions'!K$49)</f>
        <v>0.18918643539165883</v>
      </c>
      <c r="H69" s="4">
        <f ca="1">H168*'Total Duration Tables Sup #1'!H69*(1+'Other Assumptions'!L$49)</f>
        <v>0.19055138959532789</v>
      </c>
      <c r="I69" s="4">
        <f ca="1">I168*'Total Duration Tables Sup #1'!I69*(1+'Other Assumptions'!M$49)</f>
        <v>0.19249084683508963</v>
      </c>
      <c r="J69" s="4">
        <f ca="1">J168*'Total Duration Tables Sup #1'!J69*(1+'Other Assumptions'!N$49)</f>
        <v>0.19396011883223402</v>
      </c>
      <c r="K69" s="4">
        <f ca="1">K168*'Total Duration Tables Sup #1'!K69*(1+'Other Assumptions'!O$49)</f>
        <v>0.19515116041928926</v>
      </c>
    </row>
    <row r="70" spans="1:11" x14ac:dyDescent="0.2">
      <c r="A70" t="str">
        <f ca="1">OFFSET(Taranaki_Reference,0,0)</f>
        <v>07 TARANAKI</v>
      </c>
    </row>
    <row r="71" spans="1:11" x14ac:dyDescent="0.2">
      <c r="A71" t="str">
        <f ca="1">OFFSET(Taranaki_Reference,0,2)</f>
        <v>Pedestrian</v>
      </c>
      <c r="B71" s="4">
        <f ca="1">B159*'Total Duration Tables Sup #1'!B71*(1+'Other Assumptions'!D$50)*(1+'Active Mode Assumptions'!B11)</f>
        <v>4.7547330373000003</v>
      </c>
      <c r="C71" s="4">
        <f ca="1">C159*'Total Duration Tables Sup #1'!C71*(1+'Other Assumptions'!G$50)*(1+'Active Mode Assumptions'!C11)</f>
        <v>5.0435140573256829</v>
      </c>
      <c r="D71" s="4">
        <f ca="1">D159*'Total Duration Tables Sup #1'!D71*(1+'Other Assumptions'!H$50)*(1+'Active Mode Assumptions'!D11)</f>
        <v>5.4091666714746021</v>
      </c>
      <c r="E71" s="4">
        <f ca="1">E159*'Total Duration Tables Sup #1'!E71*(1+'Other Assumptions'!I$50)*(1+'Active Mode Assumptions'!E11)</f>
        <v>5.6997949001710895</v>
      </c>
      <c r="F71" s="4">
        <f ca="1">F159*'Total Duration Tables Sup #1'!F71*(1+'Other Assumptions'!J$50)*(1+'Active Mode Assumptions'!F11)</f>
        <v>5.9436418069950978</v>
      </c>
      <c r="G71" s="4">
        <f ca="1">G159*'Total Duration Tables Sup #1'!G71*(1+'Other Assumptions'!K$50)*(1+'Active Mode Assumptions'!G11)</f>
        <v>6.164943302672012</v>
      </c>
      <c r="H71" s="4">
        <f ca="1">H159*'Total Duration Tables Sup #1'!H71*(1+'Other Assumptions'!L$50)*(1+'Active Mode Assumptions'!H11)</f>
        <v>6.3669893555353356</v>
      </c>
      <c r="I71" s="4">
        <f ca="1">I159*'Total Duration Tables Sup #1'!I71*(1+'Other Assumptions'!M$50)*(1+'Active Mode Assumptions'!I11)</f>
        <v>6.4921495648353309</v>
      </c>
      <c r="J71" s="4">
        <f ca="1">J159*'Total Duration Tables Sup #1'!J71*(1+'Other Assumptions'!N$50)*(1+'Active Mode Assumptions'!J11)</f>
        <v>6.6016402914712708</v>
      </c>
      <c r="K71" s="4">
        <f ca="1">K159*'Total Duration Tables Sup #1'!K71*(1+'Other Assumptions'!O$50)*(1+'Active Mode Assumptions'!K11)</f>
        <v>6.7015425400593136</v>
      </c>
    </row>
    <row r="72" spans="1:11" x14ac:dyDescent="0.2">
      <c r="A72" t="str">
        <f ca="1">OFFSET(Taranaki_Reference,7,2)</f>
        <v>Cyclist</v>
      </c>
      <c r="B72" s="4">
        <f ca="1">B160*'Total Duration Tables Sup #1'!B72*(1+'Other Assumptions'!D$50)*(1+'Active Mode Assumptions'!B20)</f>
        <v>0.51341482110000003</v>
      </c>
      <c r="C72" s="4">
        <f ca="1">C160*'Total Duration Tables Sup #1'!C72*(1+'Other Assumptions'!G$50)*(1+'Active Mode Assumptions'!C20)</f>
        <v>0.55950145794453154</v>
      </c>
      <c r="D72" s="4">
        <f ca="1">D160*'Total Duration Tables Sup #1'!D72*(1+'Other Assumptions'!H$50)*(1+'Active Mode Assumptions'!D20)</f>
        <v>0.70061912094899859</v>
      </c>
      <c r="E72" s="4">
        <f ca="1">E160*'Total Duration Tables Sup #1'!E72*(1+'Other Assumptions'!I$50)*(1+'Active Mode Assumptions'!E20)</f>
        <v>0.83399651119096008</v>
      </c>
      <c r="F72" s="4">
        <f ca="1">F160*'Total Duration Tables Sup #1'!F72*(1+'Other Assumptions'!J$50)*(1+'Active Mode Assumptions'!F20)</f>
        <v>0.97992052359697923</v>
      </c>
      <c r="G72" s="4">
        <f ca="1">G160*'Total Duration Tables Sup #1'!G72*(1+'Other Assumptions'!K$50)*(1+'Active Mode Assumptions'!G20)</f>
        <v>1.1435771161598522</v>
      </c>
      <c r="H72" s="4">
        <f ca="1">H160*'Total Duration Tables Sup #1'!H72*(1+'Other Assumptions'!L$50)*(1+'Active Mode Assumptions'!H20)</f>
        <v>1.3180244247127029</v>
      </c>
      <c r="I72" s="4">
        <f ca="1">I160*'Total Duration Tables Sup #1'!I72*(1+'Other Assumptions'!M$50)*(1+'Active Mode Assumptions'!I20)</f>
        <v>1.3450541147820942</v>
      </c>
      <c r="J72" s="4">
        <f ca="1">J160*'Total Duration Tables Sup #1'!J72*(1+'Other Assumptions'!N$50)*(1+'Active Mode Assumptions'!J20)</f>
        <v>1.3688691398527639</v>
      </c>
      <c r="K72" s="4">
        <f ca="1">K160*'Total Duration Tables Sup #1'!K72*(1+'Other Assumptions'!O$50)*(1+'Active Mode Assumptions'!K20)</f>
        <v>1.3907239368226345</v>
      </c>
    </row>
    <row r="73" spans="1:11" x14ac:dyDescent="0.2">
      <c r="A73" t="str">
        <f ca="1">OFFSET(Taranaki_Reference,14,2)</f>
        <v>Light Vehicle Driver</v>
      </c>
      <c r="B73" s="4">
        <f ca="1">B161*'Total Duration Tables Sup #1'!B73*(1+'Other Assumptions'!D$50)-(B71*'Active Mode Assumptions'!B11*'Active Mode Assumptions'!B14/(1+'Active Mode Assumptions'!B11))-(B72*'Active Mode Assumptions'!B20*'Active Mode Assumptions'!B23/(1+'Active Mode Assumptions'!B20))</f>
        <v>21.205429401</v>
      </c>
      <c r="C73" s="4">
        <f ca="1">C161*'Total Duration Tables Sup #1'!C73*(1+'Other Assumptions'!G$50)-(C71*'Active Mode Assumptions'!C11*'Active Mode Assumptions'!C14/(1+'Active Mode Assumptions'!C11))-(C72*'Active Mode Assumptions'!C20*'Active Mode Assumptions'!C23/(1+'Active Mode Assumptions'!C20))</f>
        <v>23.274278905769435</v>
      </c>
      <c r="D73" s="4">
        <f ca="1">D161*'Total Duration Tables Sup #1'!D73*(1+'Other Assumptions'!H$50)-(D71*'Active Mode Assumptions'!D11*'Active Mode Assumptions'!D14/(1+'Active Mode Assumptions'!D11))-(D72*'Active Mode Assumptions'!D20*'Active Mode Assumptions'!D23/(1+'Active Mode Assumptions'!D20))</f>
        <v>24.428252129604623</v>
      </c>
      <c r="E73" s="4">
        <f ca="1">E161*'Total Duration Tables Sup #1'!E73*(1+'Other Assumptions'!I$50)-(E71*'Active Mode Assumptions'!E11*'Active Mode Assumptions'!E14/(1+'Active Mode Assumptions'!E11))-(E72*'Active Mode Assumptions'!E20*'Active Mode Assumptions'!E23/(1+'Active Mode Assumptions'!E20))</f>
        <v>25.42351097096757</v>
      </c>
      <c r="F73" s="4">
        <f ca="1">F161*'Total Duration Tables Sup #1'!F73*(1+'Other Assumptions'!J$50)-(F71*'Active Mode Assumptions'!F11*'Active Mode Assumptions'!F14/(1+'Active Mode Assumptions'!F11))-(F72*'Active Mode Assumptions'!F20*'Active Mode Assumptions'!F23/(1+'Active Mode Assumptions'!F20))</f>
        <v>26.321164870642793</v>
      </c>
      <c r="G73" s="4">
        <f ca="1">G161*'Total Duration Tables Sup #1'!G73*(1+'Other Assumptions'!K$50)-(G71*'Active Mode Assumptions'!G11*'Active Mode Assumptions'!G14/(1+'Active Mode Assumptions'!G11))-(G72*'Active Mode Assumptions'!G20*'Active Mode Assumptions'!G23/(1+'Active Mode Assumptions'!G20))</f>
        <v>26.960231828395344</v>
      </c>
      <c r="H73" s="4">
        <f ca="1">H161*'Total Duration Tables Sup #1'!H73*(1+'Other Assumptions'!L$50)-(H71*'Active Mode Assumptions'!H11*'Active Mode Assumptions'!H14/(1+'Active Mode Assumptions'!H11))-(H72*'Active Mode Assumptions'!H20*'Active Mode Assumptions'!H23/(1+'Active Mode Assumptions'!H20))</f>
        <v>27.492839608395734</v>
      </c>
      <c r="I73" s="4">
        <f ca="1">I161*'Total Duration Tables Sup #1'!I73*(1+'Other Assumptions'!M$50)-(I71*'Active Mode Assumptions'!I11*'Active Mode Assumptions'!I14/(1+'Active Mode Assumptions'!I11))-(I72*'Active Mode Assumptions'!I20*'Active Mode Assumptions'!I23/(1+'Active Mode Assumptions'!I20))</f>
        <v>28.048865662895377</v>
      </c>
      <c r="J73" s="4">
        <f ca="1">J161*'Total Duration Tables Sup #1'!J73*(1+'Other Assumptions'!N$50)-(J71*'Active Mode Assumptions'!J11*'Active Mode Assumptions'!J14/(1+'Active Mode Assumptions'!J11))-(J72*'Active Mode Assumptions'!J20*'Active Mode Assumptions'!J23/(1+'Active Mode Assumptions'!J20))</f>
        <v>28.537609132693529</v>
      </c>
      <c r="K73" s="4">
        <f ca="1">K161*'Total Duration Tables Sup #1'!K73*(1+'Other Assumptions'!O$50)-(K71*'Active Mode Assumptions'!K11*'Active Mode Assumptions'!K14/(1+'Active Mode Assumptions'!K11))-(K72*'Active Mode Assumptions'!K20*'Active Mode Assumptions'!K23/(1+'Active Mode Assumptions'!K20))</f>
        <v>28.985261494405869</v>
      </c>
    </row>
    <row r="74" spans="1:11" x14ac:dyDescent="0.2">
      <c r="A74" t="str">
        <f ca="1">OFFSET(Taranaki_Reference,21,2)</f>
        <v>Light Vehicle Passenger</v>
      </c>
      <c r="B74" s="4">
        <f ca="1">B162*'Total Duration Tables Sup #1'!B74*(1+'Other Assumptions'!D$50)-(B71*'Active Mode Assumptions'!B11*'Active Mode Assumptions'!B15/(1+'Active Mode Assumptions'!B11))-(B72*'Active Mode Assumptions'!B20*'Active Mode Assumptions'!B24/(1+'Active Mode Assumptions'!B20))</f>
        <v>13.125178352000001</v>
      </c>
      <c r="C74" s="4">
        <f ca="1">C162*'Total Duration Tables Sup #1'!C74*(1+'Other Assumptions'!G$50)-(C71*'Active Mode Assumptions'!C11*'Active Mode Assumptions'!C15/(1+'Active Mode Assumptions'!C11))-(C72*'Active Mode Assumptions'!C20*'Active Mode Assumptions'!C24/(1+'Active Mode Assumptions'!C20))</f>
        <v>13.817477175381111</v>
      </c>
      <c r="D74" s="4">
        <f ca="1">D162*'Total Duration Tables Sup #1'!D74*(1+'Other Assumptions'!H$50)-(D71*'Active Mode Assumptions'!D11*'Active Mode Assumptions'!D15/(1+'Active Mode Assumptions'!D11))-(D72*'Active Mode Assumptions'!D20*'Active Mode Assumptions'!D24/(1+'Active Mode Assumptions'!D20))</f>
        <v>14.13897853790124</v>
      </c>
      <c r="E74" s="4">
        <f ca="1">E162*'Total Duration Tables Sup #1'!E74*(1+'Other Assumptions'!I$50)-(E71*'Active Mode Assumptions'!E11*'Active Mode Assumptions'!E15/(1+'Active Mode Assumptions'!E11))-(E72*'Active Mode Assumptions'!E20*'Active Mode Assumptions'!E24/(1+'Active Mode Assumptions'!E20))</f>
        <v>14.346133469621162</v>
      </c>
      <c r="F74" s="4">
        <f ca="1">F162*'Total Duration Tables Sup #1'!F74*(1+'Other Assumptions'!J$50)-(F71*'Active Mode Assumptions'!F11*'Active Mode Assumptions'!F15/(1+'Active Mode Assumptions'!F11))-(F72*'Active Mode Assumptions'!F20*'Active Mode Assumptions'!F24/(1+'Active Mode Assumptions'!F20))</f>
        <v>14.46885701980673</v>
      </c>
      <c r="G74" s="4">
        <f ca="1">G162*'Total Duration Tables Sup #1'!G74*(1+'Other Assumptions'!K$50)-(G71*'Active Mode Assumptions'!G11*'Active Mode Assumptions'!G15/(1+'Active Mode Assumptions'!G11))-(G72*'Active Mode Assumptions'!G20*'Active Mode Assumptions'!G24/(1+'Active Mode Assumptions'!G20))</f>
        <v>14.500037706503893</v>
      </c>
      <c r="H74" s="4">
        <f ca="1">H162*'Total Duration Tables Sup #1'!H74*(1+'Other Assumptions'!L$50)-(H71*'Active Mode Assumptions'!H11*'Active Mode Assumptions'!H15/(1+'Active Mode Assumptions'!H11))-(H72*'Active Mode Assumptions'!H20*'Active Mode Assumptions'!H24/(1+'Active Mode Assumptions'!H20))</f>
        <v>14.464744742584266</v>
      </c>
      <c r="I74" s="4">
        <f ca="1">I162*'Total Duration Tables Sup #1'!I74*(1+'Other Assumptions'!M$50)-(I71*'Active Mode Assumptions'!I11*'Active Mode Assumptions'!I15/(1+'Active Mode Assumptions'!I11))-(I72*'Active Mode Assumptions'!I20*'Active Mode Assumptions'!I24/(1+'Active Mode Assumptions'!I20))</f>
        <v>14.766194392855859</v>
      </c>
      <c r="J74" s="4">
        <f ca="1">J162*'Total Duration Tables Sup #1'!J74*(1+'Other Assumptions'!N$50)-(J71*'Active Mode Assumptions'!J11*'Active Mode Assumptions'!J15/(1+'Active Mode Assumptions'!J11))-(J72*'Active Mode Assumptions'!J20*'Active Mode Assumptions'!J24/(1+'Active Mode Assumptions'!J20))</f>
        <v>15.032506923185167</v>
      </c>
      <c r="K74" s="4">
        <f ca="1">K162*'Total Duration Tables Sup #1'!K74*(1+'Other Assumptions'!O$50)-(K71*'Active Mode Assumptions'!K11*'Active Mode Assumptions'!K15/(1+'Active Mode Assumptions'!K11))-(K72*'Active Mode Assumptions'!K20*'Active Mode Assumptions'!K24/(1+'Active Mode Assumptions'!K20))</f>
        <v>15.27741663425866</v>
      </c>
    </row>
    <row r="75" spans="1:11" x14ac:dyDescent="0.2">
      <c r="A75" t="str">
        <f ca="1">OFFSET(Taranaki_Reference,28,2)</f>
        <v>Taxi/Vehicle Share</v>
      </c>
      <c r="B75" s="4">
        <f ca="1">B163*'Total Duration Tables Sup #1'!B75*(1+'Other Assumptions'!D$50)</f>
        <v>0.10005985589999999</v>
      </c>
      <c r="C75" s="4">
        <f ca="1">C163*'Total Duration Tables Sup #1'!C75*(1+'Other Assumptions'!G$50)</f>
        <v>0.11413406794195506</v>
      </c>
      <c r="D75" s="4">
        <f ca="1">D163*'Total Duration Tables Sup #1'!D75*(1+'Other Assumptions'!H$50)</f>
        <v>0.12501482753810086</v>
      </c>
      <c r="E75" s="4">
        <f ca="1">E163*'Total Duration Tables Sup #1'!E75*(1+'Other Assumptions'!I$50)</f>
        <v>0.1340523614727048</v>
      </c>
      <c r="F75" s="4">
        <f ca="1">F163*'Total Duration Tables Sup #1'!F75*(1+'Other Assumptions'!J$50)</f>
        <v>0.14170979431542896</v>
      </c>
      <c r="G75" s="4">
        <f ca="1">G163*'Total Duration Tables Sup #1'!G75*(1+'Other Assumptions'!K$50)</f>
        <v>0.14676648780836637</v>
      </c>
      <c r="H75" s="4">
        <f ca="1">H163*'Total Duration Tables Sup #1'!H75*(1+'Other Assumptions'!L$50)</f>
        <v>0.15124950424134476</v>
      </c>
      <c r="I75" s="4">
        <f ca="1">I163*'Total Duration Tables Sup #1'!I75*(1+'Other Assumptions'!M$50)</f>
        <v>0.15393347990476972</v>
      </c>
      <c r="J75" s="4">
        <f ca="1">J163*'Total Duration Tables Sup #1'!J75*(1+'Other Assumptions'!N$50)</f>
        <v>0.15623528563687863</v>
      </c>
      <c r="K75" s="4">
        <f ca="1">K163*'Total Duration Tables Sup #1'!K75*(1+'Other Assumptions'!O$50)</f>
        <v>0.15830092254901257</v>
      </c>
    </row>
    <row r="76" spans="1:11" x14ac:dyDescent="0.2">
      <c r="A76" t="str">
        <f ca="1">OFFSET(Taranaki_Reference,35,2)</f>
        <v>Motorcyclist</v>
      </c>
      <c r="B76" s="4">
        <f ca="1">B164*'Total Duration Tables Sup #1'!B76*(1+'Other Assumptions'!D$50)</f>
        <v>0.25001806910000002</v>
      </c>
      <c r="C76" s="4">
        <f ca="1">C164*'Total Duration Tables Sup #1'!C76*(1+'Other Assumptions'!G$50)</f>
        <v>0.27173671304765512</v>
      </c>
      <c r="D76" s="4">
        <f ca="1">D164*'Total Duration Tables Sup #1'!D76*(1+'Other Assumptions'!H$50)</f>
        <v>0.28344306884669279</v>
      </c>
      <c r="E76" s="4">
        <f ca="1">E164*'Total Duration Tables Sup #1'!E76*(1+'Other Assumptions'!I$50)</f>
        <v>0.29148412254507627</v>
      </c>
      <c r="F76" s="4">
        <f ca="1">F164*'Total Duration Tables Sup #1'!F76*(1+'Other Assumptions'!J$50)</f>
        <v>0.29819513619561216</v>
      </c>
      <c r="G76" s="4">
        <f ca="1">G164*'Total Duration Tables Sup #1'!G76*(1+'Other Assumptions'!K$50)</f>
        <v>0.30057953731568837</v>
      </c>
      <c r="H76" s="4">
        <f ca="1">H164*'Total Duration Tables Sup #1'!H76*(1+'Other Assumptions'!L$50)</f>
        <v>0.30140507014038825</v>
      </c>
      <c r="I76" s="4">
        <f ca="1">I164*'Total Duration Tables Sup #1'!I76*(1+'Other Assumptions'!M$50)</f>
        <v>0.30873248142475779</v>
      </c>
      <c r="J76" s="4">
        <f ca="1">J164*'Total Duration Tables Sup #1'!J76*(1+'Other Assumptions'!N$50)</f>
        <v>0.31536934182681969</v>
      </c>
      <c r="K76" s="4">
        <f ca="1">K164*'Total Duration Tables Sup #1'!K76*(1+'Other Assumptions'!O$50)</f>
        <v>0.32159682689959568</v>
      </c>
    </row>
    <row r="77" spans="1:11" x14ac:dyDescent="0.2">
      <c r="A77" t="str">
        <f ca="1">OFFSET(Taranaki_Reference,42,2)</f>
        <v>Local Train</v>
      </c>
      <c r="B77" s="4">
        <f ca="1">B165*'Total Duration Tables Sup #1'!B77*(1+'Other Assumptions'!D$50)</f>
        <v>0</v>
      </c>
      <c r="C77" s="4">
        <f ca="1">C165*'Total Duration Tables Sup #1'!C77*(1+'Other Assumptions'!G$50)</f>
        <v>0</v>
      </c>
      <c r="D77" s="4">
        <f ca="1">D165*'Total Duration Tables Sup #1'!D77*(1+'Other Assumptions'!H$50)</f>
        <v>0</v>
      </c>
      <c r="E77" s="4">
        <f ca="1">E165*'Total Duration Tables Sup #1'!E77*(1+'Other Assumptions'!I$50)</f>
        <v>0</v>
      </c>
      <c r="F77" s="4">
        <f ca="1">F165*'Total Duration Tables Sup #1'!F77*(1+'Other Assumptions'!J$50)</f>
        <v>0</v>
      </c>
      <c r="G77" s="4">
        <f ca="1">G165*'Total Duration Tables Sup #1'!G77*(1+'Other Assumptions'!K$50)</f>
        <v>0</v>
      </c>
      <c r="H77" s="4">
        <f ca="1">H165*'Total Duration Tables Sup #1'!H77*(1+'Other Assumptions'!L$50)</f>
        <v>0</v>
      </c>
      <c r="I77" s="4">
        <f ca="1">I165*'Total Duration Tables Sup #1'!I77*(1+'Other Assumptions'!M$50)</f>
        <v>0</v>
      </c>
      <c r="J77" s="4">
        <f ca="1">J165*'Total Duration Tables Sup #1'!J77*(1+'Other Assumptions'!N$50)</f>
        <v>0</v>
      </c>
      <c r="K77" s="4">
        <f ca="1">K165*'Total Duration Tables Sup #1'!K77*(1+'Other Assumptions'!O$50)</f>
        <v>0</v>
      </c>
    </row>
    <row r="78" spans="1:11" x14ac:dyDescent="0.2">
      <c r="A78" t="str">
        <f ca="1">OFFSET(Taranaki_Reference,49,2)</f>
        <v>Local Bus</v>
      </c>
      <c r="B78" s="4">
        <f ca="1">B166*'Total Duration Tables Sup #1'!B78*(1+'Other Assumptions'!D$50)</f>
        <v>0.4632962336</v>
      </c>
      <c r="C78" s="4">
        <f ca="1">C166*'Total Duration Tables Sup #1'!C78*(1+'Other Assumptions'!G$50)</f>
        <v>0.46107803892068644</v>
      </c>
      <c r="D78" s="4">
        <f ca="1">D166*'Total Duration Tables Sup #1'!D78*(1+'Other Assumptions'!H$50)</f>
        <v>0.45847193570249589</v>
      </c>
      <c r="E78" s="4">
        <f ca="1">E166*'Total Duration Tables Sup #1'!E78*(1+'Other Assumptions'!I$50)</f>
        <v>0.4575918333976669</v>
      </c>
      <c r="F78" s="4">
        <f ca="1">F166*'Total Duration Tables Sup #1'!F78*(1+'Other Assumptions'!J$50)</f>
        <v>0.4506296820239854</v>
      </c>
      <c r="G78" s="4">
        <f ca="1">G166*'Total Duration Tables Sup #1'!G78*(1+'Other Assumptions'!K$50)</f>
        <v>0.44581608239441661</v>
      </c>
      <c r="H78" s="4">
        <f ca="1">H166*'Total Duration Tables Sup #1'!H78*(1+'Other Assumptions'!L$50)</f>
        <v>0.43932249335531476</v>
      </c>
      <c r="I78" s="4">
        <f ca="1">I166*'Total Duration Tables Sup #1'!I78*(1+'Other Assumptions'!M$50)</f>
        <v>0.44913877425080945</v>
      </c>
      <c r="J78" s="4">
        <f ca="1">J166*'Total Duration Tables Sup #1'!J78*(1+'Other Assumptions'!N$50)</f>
        <v>0.45790793099214633</v>
      </c>
      <c r="K78" s="4">
        <f ca="1">K166*'Total Duration Tables Sup #1'!K78*(1+'Other Assumptions'!O$50)</f>
        <v>0.46604375138101145</v>
      </c>
    </row>
    <row r="79" spans="1:11" x14ac:dyDescent="0.2">
      <c r="A79" t="str">
        <f ca="1">OFFSET(Waikato_Reference,56,2)</f>
        <v>Local Ferry</v>
      </c>
      <c r="B79" s="4">
        <f ca="1">B167*'Total Duration Tables Sup #1'!B79*(1+'Other Assumptions'!D$50)</f>
        <v>0</v>
      </c>
      <c r="C79" s="4">
        <f ca="1">C167*'Total Duration Tables Sup #1'!C79*(1+'Other Assumptions'!G$50)</f>
        <v>0</v>
      </c>
      <c r="D79" s="4">
        <f ca="1">D167*'Total Duration Tables Sup #1'!D79*(1+'Other Assumptions'!H$50)</f>
        <v>0</v>
      </c>
      <c r="E79" s="4">
        <f ca="1">E167*'Total Duration Tables Sup #1'!E79*(1+'Other Assumptions'!I$50)</f>
        <v>0</v>
      </c>
      <c r="F79" s="4">
        <f ca="1">F167*'Total Duration Tables Sup #1'!F79*(1+'Other Assumptions'!J$50)</f>
        <v>0</v>
      </c>
      <c r="G79" s="4">
        <f ca="1">G167*'Total Duration Tables Sup #1'!G79*(1+'Other Assumptions'!K$50)</f>
        <v>0</v>
      </c>
      <c r="H79" s="4">
        <f ca="1">H167*'Total Duration Tables Sup #1'!H79*(1+'Other Assumptions'!L$50)</f>
        <v>0</v>
      </c>
      <c r="I79" s="4">
        <f ca="1">I167*'Total Duration Tables Sup #1'!I79*(1+'Other Assumptions'!M$50)</f>
        <v>0</v>
      </c>
      <c r="J79" s="4">
        <f ca="1">J167*'Total Duration Tables Sup #1'!J79*(1+'Other Assumptions'!N$50)</f>
        <v>0</v>
      </c>
      <c r="K79" s="4">
        <f ca="1">K167*'Total Duration Tables Sup #1'!K79*(1+'Other Assumptions'!O$50)</f>
        <v>0</v>
      </c>
    </row>
    <row r="80" spans="1:11" x14ac:dyDescent="0.2">
      <c r="A80" t="str">
        <f ca="1">OFFSET(Taranaki_Reference,56,2)</f>
        <v>Other Household Travel</v>
      </c>
      <c r="B80" s="4">
        <f ca="1">B168*'Total Duration Tables Sup #1'!B80*(1+'Other Assumptions'!D$50)</f>
        <v>5.6354069499999999E-2</v>
      </c>
      <c r="C80" s="4">
        <f ca="1">C168*'Total Duration Tables Sup #1'!C80*(1+'Other Assumptions'!G$50)</f>
        <v>6.1516283532961277E-2</v>
      </c>
      <c r="D80" s="4">
        <f ca="1">D168*'Total Duration Tables Sup #1'!D80*(1+'Other Assumptions'!H$50)</f>
        <v>6.5264868518631558E-2</v>
      </c>
      <c r="E80" s="4">
        <f ca="1">E168*'Total Duration Tables Sup #1'!E80*(1+'Other Assumptions'!I$50)</f>
        <v>6.7330183605243427E-2</v>
      </c>
      <c r="F80" s="4">
        <f ca="1">F168*'Total Duration Tables Sup #1'!F80*(1+'Other Assumptions'!J$50)</f>
        <v>6.8822424883444241E-2</v>
      </c>
      <c r="G80" s="4">
        <f ca="1">G168*'Total Duration Tables Sup #1'!G80*(1+'Other Assumptions'!K$50)</f>
        <v>7.0441963917721062E-2</v>
      </c>
      <c r="H80" s="4">
        <f ca="1">H168*'Total Duration Tables Sup #1'!H80*(1+'Other Assumptions'!L$50)</f>
        <v>7.1562420031175675E-2</v>
      </c>
      <c r="I80" s="4">
        <f ca="1">I168*'Total Duration Tables Sup #1'!I80*(1+'Other Assumptions'!M$50)</f>
        <v>7.2901022409188901E-2</v>
      </c>
      <c r="J80" s="4">
        <f ca="1">J168*'Total Duration Tables Sup #1'!J80*(1+'Other Assumptions'!N$50)</f>
        <v>7.4063551793731641E-2</v>
      </c>
      <c r="K80" s="4">
        <f ca="1">K168*'Total Duration Tables Sup #1'!K80*(1+'Other Assumptions'!O$50)</f>
        <v>7.5118789747505396E-2</v>
      </c>
    </row>
    <row r="81" spans="1:11" x14ac:dyDescent="0.2">
      <c r="A81" t="str">
        <f ca="1">OFFSET(Manawatu_Reference,0,0)</f>
        <v>08 MANAWATU-WANGANUI</v>
      </c>
    </row>
    <row r="82" spans="1:11" x14ac:dyDescent="0.2">
      <c r="A82" t="str">
        <f ca="1">OFFSET(Manawatu_Reference,0,2)</f>
        <v>Pedestrian</v>
      </c>
      <c r="B82" s="4">
        <f ca="1">B159*'Total Duration Tables Sup #1'!B82*(1+'Other Assumptions'!D$51)*(1+'Active Mode Assumptions'!B11)</f>
        <v>8.3408449691000008</v>
      </c>
      <c r="C82" s="4">
        <f ca="1">C159*'Total Duration Tables Sup #1'!C82*(1+'Other Assumptions'!G$51)*(1+'Active Mode Assumptions'!C11)</f>
        <v>8.6740539154974137</v>
      </c>
      <c r="D82" s="4">
        <f ca="1">D159*'Total Duration Tables Sup #1'!D82*(1+'Other Assumptions'!H$51)*(1+'Active Mode Assumptions'!D11)</f>
        <v>9.1139951319120005</v>
      </c>
      <c r="E82" s="4">
        <f ca="1">E159*'Total Duration Tables Sup #1'!E82*(1+'Other Assumptions'!I$51)*(1+'Active Mode Assumptions'!E11)</f>
        <v>9.438644979959415</v>
      </c>
      <c r="F82" s="4">
        <f ca="1">F159*'Total Duration Tables Sup #1'!F82*(1+'Other Assumptions'!J$51)*(1+'Active Mode Assumptions'!F11)</f>
        <v>9.6644216582738895</v>
      </c>
      <c r="G82" s="4">
        <f ca="1">G159*'Total Duration Tables Sup #1'!G82*(1+'Other Assumptions'!K$51)*(1+'Active Mode Assumptions'!G11)</f>
        <v>9.8385519729973581</v>
      </c>
      <c r="H82" s="4">
        <f ca="1">H159*'Total Duration Tables Sup #1'!H82*(1+'Other Assumptions'!L$51)*(1+'Active Mode Assumptions'!H11)</f>
        <v>9.9617713298526294</v>
      </c>
      <c r="I82" s="4">
        <f ca="1">I159*'Total Duration Tables Sup #1'!I82*(1+'Other Assumptions'!M$51)*(1+'Active Mode Assumptions'!I11)</f>
        <v>9.9595552109308176</v>
      </c>
      <c r="J82" s="4">
        <f ca="1">J159*'Total Duration Tables Sup #1'!J82*(1+'Other Assumptions'!N$51)*(1+'Active Mode Assumptions'!J11)</f>
        <v>9.9313628425322857</v>
      </c>
      <c r="K82" s="4">
        <f ca="1">K159*'Total Duration Tables Sup #1'!K82*(1+'Other Assumptions'!O$51)*(1+'Active Mode Assumptions'!K11)</f>
        <v>9.8878528707467837</v>
      </c>
    </row>
    <row r="83" spans="1:11" x14ac:dyDescent="0.2">
      <c r="A83" t="str">
        <f ca="1">OFFSET(Manawatu_Reference,7,2)</f>
        <v>Cyclist</v>
      </c>
      <c r="B83" s="4">
        <f ca="1">B160*'Total Duration Tables Sup #1'!B83*(1+'Other Assumptions'!D$51)*(1+'Active Mode Assumptions'!B20)</f>
        <v>1.7566260256999999</v>
      </c>
      <c r="C83" s="4">
        <f ca="1">C160*'Total Duration Tables Sup #1'!C83*(1+'Other Assumptions'!G$51)*(1+'Active Mode Assumptions'!C20)</f>
        <v>1.8767961511088349</v>
      </c>
      <c r="D83" s="4">
        <f ca="1">D160*'Total Duration Tables Sup #1'!D83*(1+'Other Assumptions'!H$51)*(1+'Active Mode Assumptions'!D20)</f>
        <v>2.3024351906490388</v>
      </c>
      <c r="E83" s="4">
        <f ca="1">E160*'Total Duration Tables Sup #1'!E83*(1+'Other Assumptions'!I$51)*(1+'Active Mode Assumptions'!E20)</f>
        <v>2.6936530489706105</v>
      </c>
      <c r="F83" s="4">
        <f ca="1">F160*'Total Duration Tables Sup #1'!F83*(1+'Other Assumptions'!J$51)*(1+'Active Mode Assumptions'!F20)</f>
        <v>3.1077143613148897</v>
      </c>
      <c r="G83" s="4">
        <f ca="1">G160*'Total Duration Tables Sup #1'!G83*(1+'Other Assumptions'!K$51)*(1+'Active Mode Assumptions'!G20)</f>
        <v>3.5595455390802009</v>
      </c>
      <c r="H83" s="4">
        <f ca="1">H160*'Total Duration Tables Sup #1'!H83*(1+'Other Assumptions'!L$51)*(1+'Active Mode Assumptions'!H20)</f>
        <v>4.0221003593467524</v>
      </c>
      <c r="I83" s="4">
        <f ca="1">I160*'Total Duration Tables Sup #1'!I83*(1+'Other Assumptions'!M$51)*(1+'Active Mode Assumptions'!I20)</f>
        <v>4.0245579420512376</v>
      </c>
      <c r="J83" s="4">
        <f ca="1">J160*'Total Duration Tables Sup #1'!J83*(1+'Other Assumptions'!N$51)*(1+'Active Mode Assumptions'!J20)</f>
        <v>4.0164829241632418</v>
      </c>
      <c r="K83" s="4">
        <f ca="1">K160*'Total Duration Tables Sup #1'!K83*(1+'Other Assumptions'!O$51)*(1+'Active Mode Assumptions'!K20)</f>
        <v>4.0021664453570676</v>
      </c>
    </row>
    <row r="84" spans="1:11" x14ac:dyDescent="0.2">
      <c r="A84" t="str">
        <f ca="1">OFFSET(Manawatu_Reference,14,2)</f>
        <v>Light Vehicle Driver</v>
      </c>
      <c r="B84" s="4">
        <f ca="1">B161*'Total Duration Tables Sup #1'!B84*(1+'Other Assumptions'!D$51)-(B82*'Active Mode Assumptions'!B11*'Active Mode Assumptions'!B14/(1+'Active Mode Assumptions'!B11))-(B83*'Active Mode Assumptions'!B20*'Active Mode Assumptions'!B23/(1+'Active Mode Assumptions'!B20))</f>
        <v>42.09204356</v>
      </c>
      <c r="C84" s="4">
        <f ca="1">C161*'Total Duration Tables Sup #1'!C84*(1+'Other Assumptions'!G$51)-(C82*'Active Mode Assumptions'!C11*'Active Mode Assumptions'!C14/(1+'Active Mode Assumptions'!C11))-(C83*'Active Mode Assumptions'!C20*'Active Mode Assumptions'!C23/(1+'Active Mode Assumptions'!C20))</f>
        <v>45.293318857891322</v>
      </c>
      <c r="D84" s="4">
        <f ca="1">D161*'Total Duration Tables Sup #1'!D84*(1+'Other Assumptions'!H$51)-(D82*'Active Mode Assumptions'!D11*'Active Mode Assumptions'!D14/(1+'Active Mode Assumptions'!D11))-(D83*'Active Mode Assumptions'!D20*'Active Mode Assumptions'!D23/(1+'Active Mode Assumptions'!D20))</f>
        <v>46.544853792922289</v>
      </c>
      <c r="E84" s="4">
        <f ca="1">E161*'Total Duration Tables Sup #1'!E84*(1+'Other Assumptions'!I$51)-(E82*'Active Mode Assumptions'!E11*'Active Mode Assumptions'!E14/(1+'Active Mode Assumptions'!E11))-(E83*'Active Mode Assumptions'!E20*'Active Mode Assumptions'!E23/(1+'Active Mode Assumptions'!E20))</f>
        <v>47.580371018124012</v>
      </c>
      <c r="F84" s="4">
        <f ca="1">F161*'Total Duration Tables Sup #1'!F84*(1+'Other Assumptions'!J$51)-(F82*'Active Mode Assumptions'!F11*'Active Mode Assumptions'!F14/(1+'Active Mode Assumptions'!F11))-(F83*'Active Mode Assumptions'!F20*'Active Mode Assumptions'!F23/(1+'Active Mode Assumptions'!F20))</f>
        <v>48.339822927401762</v>
      </c>
      <c r="G84" s="4">
        <f ca="1">G161*'Total Duration Tables Sup #1'!G84*(1+'Other Assumptions'!K$51)-(G82*'Active Mode Assumptions'!G11*'Active Mode Assumptions'!G14/(1+'Active Mode Assumptions'!G11))-(G83*'Active Mode Assumptions'!G20*'Active Mode Assumptions'!G23/(1+'Active Mode Assumptions'!G20))</f>
        <v>48.563525893475784</v>
      </c>
      <c r="H84" s="4">
        <f ca="1">H161*'Total Duration Tables Sup #1'!H84*(1+'Other Assumptions'!L$51)-(H82*'Active Mode Assumptions'!H11*'Active Mode Assumptions'!H14/(1+'Active Mode Assumptions'!H11))-(H83*'Active Mode Assumptions'!H20*'Active Mode Assumptions'!H23/(1+'Active Mode Assumptions'!H20))</f>
        <v>48.516845514269036</v>
      </c>
      <c r="I84" s="4">
        <f ca="1">I161*'Total Duration Tables Sup #1'!I84*(1+'Other Assumptions'!M$51)-(I82*'Active Mode Assumptions'!I11*'Active Mode Assumptions'!I14/(1+'Active Mode Assumptions'!I11))-(I83*'Active Mode Assumptions'!I20*'Active Mode Assumptions'!I23/(1+'Active Mode Assumptions'!I20))</f>
        <v>48.532922752422088</v>
      </c>
      <c r="J84" s="4">
        <f ca="1">J161*'Total Duration Tables Sup #1'!J84*(1+'Other Assumptions'!N$51)-(J82*'Active Mode Assumptions'!J11*'Active Mode Assumptions'!J14/(1+'Active Mode Assumptions'!J11))-(J83*'Active Mode Assumptions'!J20*'Active Mode Assumptions'!J23/(1+'Active Mode Assumptions'!J20))</f>
        <v>48.422087013523274</v>
      </c>
      <c r="K84" s="4">
        <f ca="1">K161*'Total Duration Tables Sup #1'!K84*(1+'Other Assumptions'!O$51)-(K82*'Active Mode Assumptions'!K11*'Active Mode Assumptions'!K14/(1+'Active Mode Assumptions'!K11))-(K83*'Active Mode Assumptions'!K20*'Active Mode Assumptions'!K23/(1+'Active Mode Assumptions'!K20))</f>
        <v>48.236143685765413</v>
      </c>
    </row>
    <row r="85" spans="1:11" x14ac:dyDescent="0.2">
      <c r="A85" t="str">
        <f ca="1">OFFSET(Manawatu_Reference,21,2)</f>
        <v>Light Vehicle Passenger</v>
      </c>
      <c r="B85" s="4">
        <f ca="1">B162*'Total Duration Tables Sup #1'!B85*(1+'Other Assumptions'!D$51)-(B82*'Active Mode Assumptions'!B11*'Active Mode Assumptions'!B15/(1+'Active Mode Assumptions'!B11))-(B83*'Active Mode Assumptions'!B20*'Active Mode Assumptions'!B24/(1+'Active Mode Assumptions'!B20))</f>
        <v>20.286542670999999</v>
      </c>
      <c r="C85" s="4">
        <f ca="1">C162*'Total Duration Tables Sup #1'!C85*(1+'Other Assumptions'!G$51)-(C82*'Active Mode Assumptions'!C11*'Active Mode Assumptions'!C15/(1+'Active Mode Assumptions'!C11))-(C83*'Active Mode Assumptions'!C20*'Active Mode Assumptions'!C24/(1+'Active Mode Assumptions'!C20))</f>
        <v>20.938065373913116</v>
      </c>
      <c r="D85" s="4">
        <f ca="1">D162*'Total Duration Tables Sup #1'!D85*(1+'Other Assumptions'!H$51)-(D82*'Active Mode Assumptions'!D11*'Active Mode Assumptions'!D15/(1+'Active Mode Assumptions'!D11))-(D83*'Active Mode Assumptions'!D20*'Active Mode Assumptions'!D24/(1+'Active Mode Assumptions'!D20))</f>
        <v>20.927124321076807</v>
      </c>
      <c r="E85" s="4">
        <f ca="1">E162*'Total Duration Tables Sup #1'!E85*(1+'Other Assumptions'!I$51)-(E82*'Active Mode Assumptions'!E11*'Active Mode Assumptions'!E15/(1+'Active Mode Assumptions'!E11))-(E83*'Active Mode Assumptions'!E20*'Active Mode Assumptions'!E24/(1+'Active Mode Assumptions'!E20))</f>
        <v>20.805414279017036</v>
      </c>
      <c r="F85" s="4">
        <f ca="1">F162*'Total Duration Tables Sup #1'!F85*(1+'Other Assumptions'!J$51)-(F82*'Active Mode Assumptions'!F11*'Active Mode Assumptions'!F15/(1+'Active Mode Assumptions'!F11))-(F83*'Active Mode Assumptions'!F20*'Active Mode Assumptions'!F24/(1+'Active Mode Assumptions'!F20))</f>
        <v>20.538389585979264</v>
      </c>
      <c r="G85" s="4">
        <f ca="1">G162*'Total Duration Tables Sup #1'!G85*(1+'Other Assumptions'!K$51)-(G82*'Active Mode Assumptions'!G11*'Active Mode Assumptions'!G15/(1+'Active Mode Assumptions'!G11))-(G83*'Active Mode Assumptions'!G20*'Active Mode Assumptions'!G24/(1+'Active Mode Assumptions'!G20))</f>
        <v>20.131547894056272</v>
      </c>
      <c r="H85" s="4">
        <f ca="1">H162*'Total Duration Tables Sup #1'!H85*(1+'Other Assumptions'!L$51)-(H82*'Active Mode Assumptions'!H11*'Active Mode Assumptions'!H15/(1+'Active Mode Assumptions'!H11))-(H83*'Active Mode Assumptions'!H20*'Active Mode Assumptions'!H24/(1+'Active Mode Assumptions'!H20))</f>
        <v>19.615320015711994</v>
      </c>
      <c r="I85" s="4">
        <f ca="1">I162*'Total Duration Tables Sup #1'!I85*(1+'Other Assumptions'!M$51)-(I82*'Active Mode Assumptions'!I11*'Active Mode Assumptions'!I15/(1+'Active Mode Assumptions'!I11))-(I83*'Active Mode Assumptions'!I20*'Active Mode Assumptions'!I24/(1+'Active Mode Assumptions'!I20))</f>
        <v>19.633848785630388</v>
      </c>
      <c r="J85" s="4">
        <f ca="1">J162*'Total Duration Tables Sup #1'!J85*(1+'Other Assumptions'!N$51)-(J82*'Active Mode Assumptions'!J11*'Active Mode Assumptions'!J15/(1+'Active Mode Assumptions'!J11))-(J83*'Active Mode Assumptions'!J20*'Active Mode Assumptions'!J24/(1+'Active Mode Assumptions'!J20))</f>
        <v>19.600947631171458</v>
      </c>
      <c r="K85" s="4">
        <f ca="1">K162*'Total Duration Tables Sup #1'!K85*(1+'Other Assumptions'!O$51)-(K82*'Active Mode Assumptions'!K11*'Active Mode Assumptions'!K15/(1+'Active Mode Assumptions'!K11))-(K83*'Active Mode Assumptions'!K20*'Active Mode Assumptions'!K24/(1+'Active Mode Assumptions'!K20))</f>
        <v>19.537500640294137</v>
      </c>
    </row>
    <row r="86" spans="1:11" x14ac:dyDescent="0.2">
      <c r="A86" t="str">
        <f ca="1">OFFSET(Manawatu_Reference,28,2)</f>
        <v>Taxi/Vehicle Share</v>
      </c>
      <c r="B86" s="4">
        <f ca="1">B163*'Total Duration Tables Sup #1'!B86*(1+'Other Assumptions'!D$51)</f>
        <v>0.26821620219999998</v>
      </c>
      <c r="C86" s="4">
        <f ca="1">C163*'Total Duration Tables Sup #1'!C86*(1+'Other Assumptions'!G$51)</f>
        <v>0.29994760780927643</v>
      </c>
      <c r="D86" s="4">
        <f ca="1">D163*'Total Duration Tables Sup #1'!D86*(1+'Other Assumptions'!H$51)</f>
        <v>0.32187050346065998</v>
      </c>
      <c r="E86" s="4">
        <f ca="1">E163*'Total Duration Tables Sup #1'!E86*(1+'Other Assumptions'!I$51)</f>
        <v>0.33920802324345289</v>
      </c>
      <c r="F86" s="4">
        <f ca="1">F163*'Total Duration Tables Sup #1'!F86*(1+'Other Assumptions'!J$51)</f>
        <v>0.35209862834567918</v>
      </c>
      <c r="G86" s="4">
        <f ca="1">G163*'Total Duration Tables Sup #1'!G86*(1+'Other Assumptions'!K$51)</f>
        <v>0.35790702532771718</v>
      </c>
      <c r="H86" s="4">
        <f ca="1">H163*'Total Duration Tables Sup #1'!H86*(1+'Other Assumptions'!L$51)</f>
        <v>0.36160766597610583</v>
      </c>
      <c r="I86" s="4">
        <f ca="1">I163*'Total Duration Tables Sup #1'!I86*(1+'Other Assumptions'!M$51)</f>
        <v>0.36084919336003396</v>
      </c>
      <c r="J86" s="4">
        <f ca="1">J163*'Total Duration Tables Sup #1'!J86*(1+'Other Assumptions'!N$51)</f>
        <v>0.35915121699441194</v>
      </c>
      <c r="K86" s="4">
        <f ca="1">K163*'Total Duration Tables Sup #1'!K86*(1+'Other Assumptions'!O$51)</f>
        <v>0.35690438770251287</v>
      </c>
    </row>
    <row r="87" spans="1:11" x14ac:dyDescent="0.2">
      <c r="A87" t="str">
        <f ca="1">OFFSET(Manawatu_Reference,35,2)</f>
        <v>Motorcyclist</v>
      </c>
      <c r="B87" s="4">
        <f ca="1">B164*'Total Duration Tables Sup #1'!B87*(1+'Other Assumptions'!D$51)</f>
        <v>0.1643149203</v>
      </c>
      <c r="C87" s="4">
        <f ca="1">C164*'Total Duration Tables Sup #1'!C87*(1+'Other Assumptions'!G$51)</f>
        <v>0.17508901192177437</v>
      </c>
      <c r="D87" s="4">
        <f ca="1">D164*'Total Duration Tables Sup #1'!D87*(1+'Other Assumptions'!H$51)</f>
        <v>0.17892291402254143</v>
      </c>
      <c r="E87" s="4">
        <f ca="1">E164*'Total Duration Tables Sup #1'!E87*(1+'Other Assumptions'!I$51)</f>
        <v>0.18083688533899753</v>
      </c>
      <c r="F87" s="4">
        <f ca="1">F164*'Total Duration Tables Sup #1'!F87*(1+'Other Assumptions'!J$51)</f>
        <v>0.18165421900019371</v>
      </c>
      <c r="G87" s="4">
        <f ca="1">G164*'Total Duration Tables Sup #1'!G87*(1+'Other Assumptions'!K$51)</f>
        <v>0.17971453408774921</v>
      </c>
      <c r="H87" s="4">
        <f ca="1">H164*'Total Duration Tables Sup #1'!H87*(1+'Other Assumptions'!L$51)</f>
        <v>0.17667483345363363</v>
      </c>
      <c r="I87" s="4">
        <f ca="1">I164*'Total Duration Tables Sup #1'!I87*(1+'Other Assumptions'!M$51)</f>
        <v>0.17744159922238259</v>
      </c>
      <c r="J87" s="4">
        <f ca="1">J164*'Total Duration Tables Sup #1'!J87*(1+'Other Assumptions'!N$51)</f>
        <v>0.17774531251378639</v>
      </c>
      <c r="K87" s="4">
        <f ca="1">K164*'Total Duration Tables Sup #1'!K87*(1+'Other Assumptions'!O$51)</f>
        <v>0.17777089719754385</v>
      </c>
    </row>
    <row r="88" spans="1:11" x14ac:dyDescent="0.2">
      <c r="A88" t="str">
        <f ca="1">OFFSET(Taranaki_Reference,42,2)</f>
        <v>Local Train</v>
      </c>
      <c r="B88" s="4">
        <f ca="1">B165*'Total Duration Tables Sup #1'!B88*(1+'Other Assumptions'!D$51)</f>
        <v>0</v>
      </c>
      <c r="C88" s="4">
        <f ca="1">C165*'Total Duration Tables Sup #1'!C88*(1+'Other Assumptions'!G$51)</f>
        <v>0</v>
      </c>
      <c r="D88" s="4">
        <f ca="1">D165*'Total Duration Tables Sup #1'!D88*(1+'Other Assumptions'!H$51)</f>
        <v>0</v>
      </c>
      <c r="E88" s="4">
        <f ca="1">E165*'Total Duration Tables Sup #1'!E88*(1+'Other Assumptions'!I$51)</f>
        <v>0</v>
      </c>
      <c r="F88" s="4">
        <f ca="1">F165*'Total Duration Tables Sup #1'!F88*(1+'Other Assumptions'!J$51)</f>
        <v>0</v>
      </c>
      <c r="G88" s="4">
        <f ca="1">G165*'Total Duration Tables Sup #1'!G88*(1+'Other Assumptions'!K$51)</f>
        <v>0</v>
      </c>
      <c r="H88" s="4">
        <f ca="1">H165*'Total Duration Tables Sup #1'!H88*(1+'Other Assumptions'!L$51)</f>
        <v>0</v>
      </c>
      <c r="I88" s="4">
        <f ca="1">I165*'Total Duration Tables Sup #1'!I88*(1+'Other Assumptions'!M$51)</f>
        <v>0</v>
      </c>
      <c r="J88" s="4">
        <f ca="1">J165*'Total Duration Tables Sup #1'!J88*(1+'Other Assumptions'!N$51)</f>
        <v>0</v>
      </c>
      <c r="K88" s="4">
        <f ca="1">K165*'Total Duration Tables Sup #1'!K88*(1+'Other Assumptions'!O$51)</f>
        <v>0</v>
      </c>
    </row>
    <row r="89" spans="1:11" x14ac:dyDescent="0.2">
      <c r="A89" t="str">
        <f ca="1">OFFSET(Manawatu_Reference,42,2)</f>
        <v>Local Bus</v>
      </c>
      <c r="B89" s="4">
        <f ca="1">B166*'Total Duration Tables Sup #1'!B89*(1+'Other Assumptions'!D$51)</f>
        <v>1.7349616699999999</v>
      </c>
      <c r="C89" s="4">
        <f ca="1">C166*'Total Duration Tables Sup #1'!C89*(1+'Other Assumptions'!G$51)</f>
        <v>1.69281899105335</v>
      </c>
      <c r="D89" s="4">
        <f ca="1">D166*'Total Duration Tables Sup #1'!D89*(1+'Other Assumptions'!H$51)</f>
        <v>1.6490673338223176</v>
      </c>
      <c r="E89" s="4">
        <f ca="1">E166*'Total Duration Tables Sup #1'!E89*(1+'Other Assumptions'!I$51)</f>
        <v>1.6176177035558112</v>
      </c>
      <c r="F89" s="4">
        <f ca="1">F166*'Total Duration Tables Sup #1'!F89*(1+'Other Assumptions'!J$51)</f>
        <v>1.5641926436753839</v>
      </c>
      <c r="G89" s="4">
        <f ca="1">G166*'Total Duration Tables Sup #1'!G89*(1+'Other Assumptions'!K$51)</f>
        <v>1.5188155401302625</v>
      </c>
      <c r="H89" s="4">
        <f ca="1">H166*'Total Duration Tables Sup #1'!H89*(1+'Other Assumptions'!L$51)</f>
        <v>1.4673478765957932</v>
      </c>
      <c r="I89" s="4">
        <f ca="1">I166*'Total Duration Tables Sup #1'!I89*(1+'Other Assumptions'!M$51)</f>
        <v>1.4708865611337252</v>
      </c>
      <c r="J89" s="4">
        <f ca="1">J166*'Total Duration Tables Sup #1'!J89*(1+'Other Assumptions'!N$51)</f>
        <v>1.470558688417432</v>
      </c>
      <c r="K89" s="4">
        <f ca="1">K166*'Total Duration Tables Sup #1'!K89*(1+'Other Assumptions'!O$51)</f>
        <v>1.4679156809418321</v>
      </c>
    </row>
    <row r="90" spans="1:11" x14ac:dyDescent="0.2">
      <c r="A90" t="str">
        <f ca="1">OFFSET(Manawatu_Reference,49,2)</f>
        <v>Local Ferry</v>
      </c>
      <c r="B90" s="4">
        <f ca="1">B167*'Total Duration Tables Sup #1'!B90*(1+'Other Assumptions'!D$51)</f>
        <v>1.3357738999999997E-2</v>
      </c>
      <c r="C90" s="4">
        <f ca="1">C167*'Total Duration Tables Sup #1'!C90*(1+'Other Assumptions'!G$51)</f>
        <v>1.4570197550544733E-2</v>
      </c>
      <c r="D90" s="4">
        <f ca="1">D167*'Total Duration Tables Sup #1'!D90*(1+'Other Assumptions'!H$51)</f>
        <v>1.5176924497518961E-2</v>
      </c>
      <c r="E90" s="4">
        <f ca="1">E167*'Total Duration Tables Sup #1'!E90*(1+'Other Assumptions'!I$51)</f>
        <v>1.5439582594358573E-2</v>
      </c>
      <c r="F90" s="4">
        <f ca="1">F167*'Total Duration Tables Sup #1'!F90*(1+'Other Assumptions'!J$51)</f>
        <v>1.547847512518777E-2</v>
      </c>
      <c r="G90" s="4">
        <f ca="1">G167*'Total Duration Tables Sup #1'!G90*(1+'Other Assumptions'!K$51)</f>
        <v>1.5745790514896135E-2</v>
      </c>
      <c r="H90" s="4">
        <f ca="1">H167*'Total Duration Tables Sup #1'!H90*(1+'Other Assumptions'!L$51)</f>
        <v>1.5863546034618398E-2</v>
      </c>
      <c r="I90" s="4">
        <f ca="1">I167*'Total Duration Tables Sup #1'!I90*(1+'Other Assumptions'!M$51)</f>
        <v>1.5763753965763475E-2</v>
      </c>
      <c r="J90" s="4">
        <f ca="1">J167*'Total Duration Tables Sup #1'!J90*(1+'Other Assumptions'!N$51)</f>
        <v>1.5624772086789418E-2</v>
      </c>
      <c r="K90" s="4">
        <f ca="1">K167*'Total Duration Tables Sup #1'!K90*(1+'Other Assumptions'!O$51)</f>
        <v>1.5463996725348889E-2</v>
      </c>
    </row>
    <row r="91" spans="1:11" x14ac:dyDescent="0.2">
      <c r="A91" t="str">
        <f ca="1">OFFSET(Manawatu_Reference,56,2)</f>
        <v>Other Household Travel</v>
      </c>
      <c r="B91" s="4">
        <f ca="1">B168*'Total Duration Tables Sup #1'!B91*(1+'Other Assumptions'!D$51)</f>
        <v>3.9735238899999997E-2</v>
      </c>
      <c r="C91" s="4">
        <f ca="1">C168*'Total Duration Tables Sup #1'!C91*(1+'Other Assumptions'!G$51)</f>
        <v>4.2525125649771213E-2</v>
      </c>
      <c r="D91" s="4">
        <f ca="1">D168*'Total Duration Tables Sup #1'!D91*(1+'Other Assumptions'!H$51)</f>
        <v>4.4200230090639211E-2</v>
      </c>
      <c r="E91" s="4">
        <f ca="1">E168*'Total Duration Tables Sup #1'!E91*(1+'Other Assumptions'!I$51)</f>
        <v>4.4815356479435541E-2</v>
      </c>
      <c r="F91" s="4">
        <f ca="1">F168*'Total Duration Tables Sup #1'!F91*(1+'Other Assumptions'!J$51)</f>
        <v>4.4980040844629775E-2</v>
      </c>
      <c r="G91" s="4">
        <f ca="1">G168*'Total Duration Tables Sup #1'!G91*(1+'Other Assumptions'!K$51)</f>
        <v>4.5185613870042864E-2</v>
      </c>
      <c r="H91" s="4">
        <f ca="1">H168*'Total Duration Tables Sup #1'!H91*(1+'Other Assumptions'!L$51)</f>
        <v>4.5004308927357246E-2</v>
      </c>
      <c r="I91" s="4">
        <f ca="1">I168*'Total Duration Tables Sup #1'!I91*(1+'Other Assumptions'!M$51)</f>
        <v>4.495227543011588E-2</v>
      </c>
      <c r="J91" s="4">
        <f ca="1">J168*'Total Duration Tables Sup #1'!J91*(1+'Other Assumptions'!N$51)</f>
        <v>4.4784544498350294E-2</v>
      </c>
      <c r="K91" s="4">
        <f ca="1">K168*'Total Duration Tables Sup #1'!K91*(1+'Other Assumptions'!O$51)</f>
        <v>4.4549458859690569E-2</v>
      </c>
    </row>
    <row r="92" spans="1:11" x14ac:dyDescent="0.2">
      <c r="A92" t="str">
        <f ca="1">OFFSET(Wellington_Reference,0,0)</f>
        <v>09 WELLINGTON</v>
      </c>
    </row>
    <row r="93" spans="1:11" x14ac:dyDescent="0.2">
      <c r="A93" t="str">
        <f ca="1">OFFSET(Wellington_Reference,0,2)</f>
        <v>Pedestrian</v>
      </c>
      <c r="B93" s="4">
        <f ca="1">B159*'Total Duration Tables Sup #1'!B93*(1+'Other Assumptions'!D$52)*(1+'Active Mode Assumptions'!B11)-('PT Assumptions'!B44*'Total Duration Tables Sup #2'!B171+'PT Assumptions'!B56*'Total Duration Tables Sup #2'!B174)*(1+'Other Assumptions'!D$52)</f>
        <v>32.985647405999998</v>
      </c>
      <c r="C93" s="4">
        <f ca="1">C159*'Total Duration Tables Sup #1'!C93*(1+'Other Assumptions'!G$52)*(1+'Active Mode Assumptions'!C11)-('PT Assumptions'!C44*'Total Duration Tables Sup #2'!C171+'PT Assumptions'!C56*'Total Duration Tables Sup #2'!C174)*(1+'Other Assumptions'!G$52)</f>
        <v>35.182884366124448</v>
      </c>
      <c r="D93" s="4">
        <f ca="1">D159*'Total Duration Tables Sup #1'!D93*(1+'Other Assumptions'!H$52)*(1+'Active Mode Assumptions'!D11)-('PT Assumptions'!D44*'Total Duration Tables Sup #2'!D171+'PT Assumptions'!D56*'Total Duration Tables Sup #2'!D174)*(1+'Other Assumptions'!H$52)</f>
        <v>37.832151170368768</v>
      </c>
      <c r="E93" s="4">
        <f ca="1">E159*'Total Duration Tables Sup #1'!E93*(1+'Other Assumptions'!I$52)*(1+'Active Mode Assumptions'!E11)-('PT Assumptions'!E44*'Total Duration Tables Sup #2'!E171+'PT Assumptions'!E56*'Total Duration Tables Sup #2'!E174)*(1+'Other Assumptions'!I$52)</f>
        <v>39.98048703509567</v>
      </c>
      <c r="F93" s="4">
        <f ca="1">F159*'Total Duration Tables Sup #1'!F93*(1+'Other Assumptions'!J$52)*(1+'Active Mode Assumptions'!F11)-('PT Assumptions'!F44*'Total Duration Tables Sup #2'!F171+'PT Assumptions'!F56*'Total Duration Tables Sup #2'!F174)*(1+'Other Assumptions'!J$52)</f>
        <v>41.796433731051145</v>
      </c>
      <c r="G93" s="4">
        <f ca="1">G159*'Total Duration Tables Sup #1'!G93*(1+'Other Assumptions'!K$52)*(1+'Active Mode Assumptions'!G11)-('PT Assumptions'!G44*'Total Duration Tables Sup #2'!G171+'PT Assumptions'!G56*'Total Duration Tables Sup #2'!G174)*(1+'Other Assumptions'!K$52)</f>
        <v>43.432796157463542</v>
      </c>
      <c r="H93" s="4">
        <f ca="1">H159*'Total Duration Tables Sup #1'!H93*(1+'Other Assumptions'!L$52)*(1+'Active Mode Assumptions'!H11)-('PT Assumptions'!H44*'Total Duration Tables Sup #2'!H171+'PT Assumptions'!H56*'Total Duration Tables Sup #2'!H174)*(1+'Other Assumptions'!L$52)</f>
        <v>44.897295428493997</v>
      </c>
      <c r="I93" s="4">
        <f ca="1">I159*'Total Duration Tables Sup #1'!I93*(1+'Other Assumptions'!M$52)*(1+'Active Mode Assumptions'!I11)-('PT Assumptions'!I44*'Total Duration Tables Sup #2'!I171+'PT Assumptions'!I56*'Total Duration Tables Sup #2'!I174)*(1+'Other Assumptions'!M$52)</f>
        <v>45.817388152644895</v>
      </c>
      <c r="J93" s="4">
        <f ca="1">J159*'Total Duration Tables Sup #1'!J93*(1+'Other Assumptions'!N$52)*(1+'Active Mode Assumptions'!J11)-('PT Assumptions'!J44*'Total Duration Tables Sup #2'!J171+'PT Assumptions'!J56*'Total Duration Tables Sup #2'!J174)*(1+'Other Assumptions'!N$52)</f>
        <v>46.61758658827852</v>
      </c>
      <c r="K93" s="4">
        <f ca="1">K159*'Total Duration Tables Sup #1'!K93*(1+'Other Assumptions'!O$52)*(1+'Active Mode Assumptions'!K11)-('PT Assumptions'!K44*'Total Duration Tables Sup #2'!K171+'PT Assumptions'!K56*'Total Duration Tables Sup #2'!K174)*(1+'Other Assumptions'!O$52)</f>
        <v>47.340890916096356</v>
      </c>
    </row>
    <row r="94" spans="1:11" x14ac:dyDescent="0.2">
      <c r="A94" t="str">
        <f ca="1">OFFSET(Wellington_Reference,7,2)</f>
        <v>Cyclist</v>
      </c>
      <c r="B94" s="4">
        <f ca="1">B160*'Total Duration Tables Sup #1'!B94*(1+'Other Assumptions'!D$52)*(1+'Active Mode Assumptions'!B20)-('PT Assumptions'!B45*'Total Duration Tables Sup #2'!B171+'PT Assumptions'!B57*'Total Duration Tables Sup #2'!B174)*(1+'Other Assumptions'!D$52)</f>
        <v>3.6978261002999999</v>
      </c>
      <c r="C94" s="4">
        <f ca="1">C160*'Total Duration Tables Sup #1'!C94*(1+'Other Assumptions'!G$52)*(1+'Active Mode Assumptions'!C20)-('PT Assumptions'!C45*'Total Duration Tables Sup #2'!C171+'PT Assumptions'!C57*'Total Duration Tables Sup #2'!C174)*(1+'Other Assumptions'!G$52)</f>
        <v>4.0521624241155081</v>
      </c>
      <c r="D94" s="4">
        <f ca="1">D160*'Total Duration Tables Sup #1'!D94*(1+'Other Assumptions'!H$52)*(1+'Active Mode Assumptions'!D20)-('PT Assumptions'!D45*'Total Duration Tables Sup #2'!D171+'PT Assumptions'!D57*'Total Duration Tables Sup #2'!D174)*(1+'Other Assumptions'!H$52)</f>
        <v>5.0934119829939233</v>
      </c>
      <c r="E94" s="4">
        <f ca="1">E160*'Total Duration Tables Sup #1'!E94*(1+'Other Assumptions'!I$52)*(1+'Active Mode Assumptions'!E20)-('PT Assumptions'!E45*'Total Duration Tables Sup #2'!E171+'PT Assumptions'!E57*'Total Duration Tables Sup #2'!E174)*(1+'Other Assumptions'!I$52)</f>
        <v>6.0847862289206001</v>
      </c>
      <c r="F94" s="4">
        <f ca="1">F160*'Total Duration Tables Sup #1'!F94*(1+'Other Assumptions'!J$52)*(1+'Active Mode Assumptions'!F20)-('PT Assumptions'!F45*'Total Duration Tables Sup #2'!F171+'PT Assumptions'!F57*'Total Duration Tables Sup #2'!F174)*(1+'Other Assumptions'!J$52)</f>
        <v>7.1690390994194821</v>
      </c>
      <c r="G94" s="4">
        <f ca="1">G160*'Total Duration Tables Sup #1'!G94*(1+'Other Assumptions'!K$52)*(1+'Active Mode Assumptions'!G20)-('PT Assumptions'!G45*'Total Duration Tables Sup #2'!G171+'PT Assumptions'!G57*'Total Duration Tables Sup #2'!G174)*(1+'Other Assumptions'!K$52)</f>
        <v>8.3839363999841279</v>
      </c>
      <c r="H94" s="4">
        <f ca="1">H160*'Total Duration Tables Sup #1'!H94*(1+'Other Assumptions'!L$52)*(1+'Active Mode Assumptions'!H20)-('PT Assumptions'!H45*'Total Duration Tables Sup #2'!H171+'PT Assumptions'!H57*'Total Duration Tables Sup #2'!H174)*(1+'Other Assumptions'!L$52)</f>
        <v>9.674580218586927</v>
      </c>
      <c r="I94" s="4">
        <f ca="1">I160*'Total Duration Tables Sup #1'!I94*(1+'Other Assumptions'!M$52)*(1+'Active Mode Assumptions'!I20)-('PT Assumptions'!I45*'Total Duration Tables Sup #2'!I171+'PT Assumptions'!I57*'Total Duration Tables Sup #2'!I174)*(1+'Other Assumptions'!M$52)</f>
        <v>9.8830027946045274</v>
      </c>
      <c r="J94" s="4">
        <f ca="1">J160*'Total Duration Tables Sup #1'!J94*(1+'Other Assumptions'!N$52)*(1+'Active Mode Assumptions'!J20)-('PT Assumptions'!J45*'Total Duration Tables Sup #2'!J171+'PT Assumptions'!J57*'Total Duration Tables Sup #2'!J174)*(1+'Other Assumptions'!N$52)</f>
        <v>10.066258303428352</v>
      </c>
      <c r="K94" s="4">
        <f ca="1">K160*'Total Duration Tables Sup #1'!K94*(1+'Other Assumptions'!O$52)*(1+'Active Mode Assumptions'!K20)-('PT Assumptions'!K45*'Total Duration Tables Sup #2'!K171+'PT Assumptions'!K57*'Total Duration Tables Sup #2'!K174)*(1+'Other Assumptions'!O$52)</f>
        <v>10.233465787052502</v>
      </c>
    </row>
    <row r="95" spans="1:11" x14ac:dyDescent="0.2">
      <c r="A95" t="str">
        <f ca="1">OFFSET(Wellington_Reference,14,2)</f>
        <v>Light Vehicle Driver</v>
      </c>
      <c r="B95" s="4">
        <f ca="1">(B161*'Total Duration Tables Sup #1'!B95-'PT Assumptions'!B46*'Total Duration Tables Sup #2'!B171-'PT Assumptions'!B58*'Total Duration Tables Sup #2'!B174)*(1+'Other Assumptions'!D$52)-(B159*'Total Duration Tables Sup #1'!B93)*(1+'Other Assumptions'!D$52)*'Active Mode Assumptions'!B11*'Active Mode Assumptions'!B14-(B160*'Total Duration Tables Sup #1'!B94)*(1+'Other Assumptions'!D$52)*'Active Mode Assumptions'!B20*'Active Mode Assumptions'!B23</f>
        <v>92.129697210000003</v>
      </c>
      <c r="C95" s="4">
        <f ca="1">(C161*'Total Duration Tables Sup #1'!C95-'PT Assumptions'!C46*'Total Duration Tables Sup #2'!C171-'PT Assumptions'!C58*'Total Duration Tables Sup #2'!C174)*(1+'Other Assumptions'!G$52)-(C159*'Total Duration Tables Sup #1'!C93)*(1+'Other Assumptions'!G$52)*'Active Mode Assumptions'!C11*'Active Mode Assumptions'!C14-(C160*'Total Duration Tables Sup #1'!C94)*(1+'Other Assumptions'!G$52)*'Active Mode Assumptions'!C20*'Active Mode Assumptions'!C23</f>
        <v>101.65897947852402</v>
      </c>
      <c r="D95" s="4">
        <f ca="1">(D161*'Total Duration Tables Sup #1'!D95-'PT Assumptions'!D46*'Total Duration Tables Sup #2'!D171-'PT Assumptions'!D58*'Total Duration Tables Sup #2'!D174)*(1+'Other Assumptions'!H$52)-(D159*'Total Duration Tables Sup #1'!D93)*(1+'Other Assumptions'!H$52)*'Active Mode Assumptions'!D11*'Active Mode Assumptions'!D14-(D160*'Total Duration Tables Sup #1'!D94)*(1+'Other Assumptions'!H$52)*'Active Mode Assumptions'!D20*'Active Mode Assumptions'!D23</f>
        <v>106.39864685876735</v>
      </c>
      <c r="E95" s="4">
        <f ca="1">(E161*'Total Duration Tables Sup #1'!E95-'PT Assumptions'!E46*'Total Duration Tables Sup #2'!E171-'PT Assumptions'!E58*'Total Duration Tables Sup #2'!E174)*(1+'Other Assumptions'!I$52)-(E159*'Total Duration Tables Sup #1'!E93)*(1+'Other Assumptions'!I$52)*'Active Mode Assumptions'!E11*'Active Mode Assumptions'!E14-(E160*'Total Duration Tables Sup #1'!E94)*(1+'Other Assumptions'!I$52)*'Active Mode Assumptions'!E20*'Active Mode Assumptions'!E23</f>
        <v>110.58034985971226</v>
      </c>
      <c r="F95" s="4">
        <f ca="1">(F161*'Total Duration Tables Sup #1'!F95-'PT Assumptions'!F46*'Total Duration Tables Sup #2'!F171-'PT Assumptions'!F58*'Total Duration Tables Sup #2'!F174)*(1+'Other Assumptions'!J$52)-(F159*'Total Duration Tables Sup #1'!F93)*(1+'Other Assumptions'!J$52)*'Active Mode Assumptions'!F11*'Active Mode Assumptions'!F14-(F160*'Total Duration Tables Sup #1'!F94)*(1+'Other Assumptions'!J$52)*'Active Mode Assumptions'!F20*'Active Mode Assumptions'!F23</f>
        <v>114.40659565779701</v>
      </c>
      <c r="G95" s="4">
        <f ca="1">(G161*'Total Duration Tables Sup #1'!G95-'PT Assumptions'!G46*'Total Duration Tables Sup #2'!G171-'PT Assumptions'!G58*'Total Duration Tables Sup #2'!G174)*(1+'Other Assumptions'!K$52)-(G159*'Total Duration Tables Sup #1'!G93)*(1+'Other Assumptions'!K$52)*'Active Mode Assumptions'!G11*'Active Mode Assumptions'!G14-(G160*'Total Duration Tables Sup #1'!G94)*(1+'Other Assumptions'!K$52)*'Active Mode Assumptions'!G20*'Active Mode Assumptions'!G23</f>
        <v>117.01008018368348</v>
      </c>
      <c r="H95" s="4">
        <f ca="1">(H161*'Total Duration Tables Sup #1'!H95-'PT Assumptions'!H46*'Total Duration Tables Sup #2'!H171-'PT Assumptions'!H58*'Total Duration Tables Sup #2'!H174)*(1+'Other Assumptions'!L$52)-(H159*'Total Duration Tables Sup #1'!H93)*(1+'Other Assumptions'!L$52)*'Active Mode Assumptions'!H11*'Active Mode Assumptions'!H14-(H160*'Total Duration Tables Sup #1'!H94)*(1+'Other Assumptions'!L$52)*'Active Mode Assumptions'!H20*'Active Mode Assumptions'!H23</f>
        <v>119.01266251373289</v>
      </c>
      <c r="I95" s="4">
        <f ca="1">(I161*'Total Duration Tables Sup #1'!I95-'PT Assumptions'!I46*'Total Duration Tables Sup #2'!I171-'PT Assumptions'!I58*'Total Duration Tables Sup #2'!I174)*(1+'Other Assumptions'!M$52)-(I159*'Total Duration Tables Sup #1'!I93)*(1+'Other Assumptions'!M$52)*'Active Mode Assumptions'!I11*'Active Mode Assumptions'!I14-(I160*'Total Duration Tables Sup #1'!I94)*(1+'Other Assumptions'!M$52)*'Active Mode Assumptions'!I20*'Active Mode Assumptions'!I23</f>
        <v>121.3481773580603</v>
      </c>
      <c r="J95" s="4">
        <f ca="1">(J161*'Total Duration Tables Sup #1'!J95-'PT Assumptions'!J46*'Total Duration Tables Sup #2'!J171-'PT Assumptions'!J58*'Total Duration Tables Sup #2'!J174)*(1+'Other Assumptions'!N$52)-(J159*'Total Duration Tables Sup #1'!J93)*(1+'Other Assumptions'!N$52)*'Active Mode Assumptions'!J11*'Active Mode Assumptions'!J14-(J160*'Total Duration Tables Sup #1'!J94)*(1+'Other Assumptions'!N$52)*'Active Mode Assumptions'!J20*'Active Mode Assumptions'!J23</f>
        <v>123.34123972413667</v>
      </c>
      <c r="K95" s="4">
        <f ca="1">(K161*'Total Duration Tables Sup #1'!K95-'PT Assumptions'!K46*'Total Duration Tables Sup #2'!K171-'PT Assumptions'!K58*'Total Duration Tables Sup #2'!K174)*(1+'Other Assumptions'!O$52)-(K159*'Total Duration Tables Sup #1'!K93)*(1+'Other Assumptions'!O$52)*'Active Mode Assumptions'!K11*'Active Mode Assumptions'!K14-(K160*'Total Duration Tables Sup #1'!K94)*(1+'Other Assumptions'!O$52)*'Active Mode Assumptions'!K20*'Active Mode Assumptions'!K23</f>
        <v>125.10938049905897</v>
      </c>
    </row>
    <row r="96" spans="1:11" x14ac:dyDescent="0.2">
      <c r="A96" t="str">
        <f ca="1">OFFSET(Wellington_Reference,21,2)</f>
        <v>Light Vehicle Passenger</v>
      </c>
      <c r="B96" s="4">
        <f ca="1">(B162*'Total Duration Tables Sup #1'!B96-'PT Assumptions'!B47*'Total Duration Tables Sup #2'!B171-'PT Assumptions'!B59*'Total Duration Tables Sup #2'!B174)*(1+'Other Assumptions'!D$52)-(B159*'Total Duration Tables Sup #1'!B93)*(1+'Other Assumptions'!D$52)*'Active Mode Assumptions'!B11*'Active Mode Assumptions'!B15-(B160*'Total Duration Tables Sup #1'!B94)*(1+'Other Assumptions'!D$52)*'Active Mode Assumptions'!B20*'Active Mode Assumptions'!B24</f>
        <v>48.966354531</v>
      </c>
      <c r="C96" s="4">
        <f ca="1">(C162*'Total Duration Tables Sup #1'!C96-'PT Assumptions'!C47*'Total Duration Tables Sup #2'!C171-'PT Assumptions'!C59*'Total Duration Tables Sup #2'!C174)*(1+'Other Assumptions'!G$52)-(C159*'Total Duration Tables Sup #1'!C93)*(1+'Other Assumptions'!G$52)*'Active Mode Assumptions'!C11*'Active Mode Assumptions'!C15-(C160*'Total Duration Tables Sup #1'!C94)*(1+'Other Assumptions'!G$52)*'Active Mode Assumptions'!C20*'Active Mode Assumptions'!C24</f>
        <v>51.814476441108049</v>
      </c>
      <c r="D96" s="4">
        <f ca="1">(D162*'Total Duration Tables Sup #1'!D96-'PT Assumptions'!D47*'Total Duration Tables Sup #2'!D171-'PT Assumptions'!D59*'Total Duration Tables Sup #2'!D174)*(1+'Other Assumptions'!H$52)-(D159*'Total Duration Tables Sup #1'!D93)*(1+'Other Assumptions'!H$52)*'Active Mode Assumptions'!D11*'Active Mode Assumptions'!D15-(D160*'Total Duration Tables Sup #1'!D94)*(1+'Other Assumptions'!H$52)*'Active Mode Assumptions'!D20*'Active Mode Assumptions'!D24</f>
        <v>52.465229929791775</v>
      </c>
      <c r="E96" s="4">
        <f ca="1">(E162*'Total Duration Tables Sup #1'!E96-'PT Assumptions'!E47*'Total Duration Tables Sup #2'!E171-'PT Assumptions'!E59*'Total Duration Tables Sup #2'!E174)*(1+'Other Assumptions'!I$52)-(E159*'Total Duration Tables Sup #1'!E93)*(1+'Other Assumptions'!I$52)*'Active Mode Assumptions'!E11*'Active Mode Assumptions'!E15-(E160*'Total Duration Tables Sup #1'!E94)*(1+'Other Assumptions'!I$52)*'Active Mode Assumptions'!E20*'Active Mode Assumptions'!E24</f>
        <v>52.804075729787321</v>
      </c>
      <c r="F96" s="4">
        <f ca="1">(F162*'Total Duration Tables Sup #1'!F96-'PT Assumptions'!F47*'Total Duration Tables Sup #2'!F171-'PT Assumptions'!F59*'Total Duration Tables Sup #2'!F174)*(1+'Other Assumptions'!J$52)-(F159*'Total Duration Tables Sup #1'!F93)*(1+'Other Assumptions'!J$52)*'Active Mode Assumptions'!F11*'Active Mode Assumptions'!F15-(F160*'Total Duration Tables Sup #1'!F94)*(1+'Other Assumptions'!J$52)*'Active Mode Assumptions'!F20*'Active Mode Assumptions'!F24</f>
        <v>52.921949060661539</v>
      </c>
      <c r="G96" s="4">
        <f ca="1">(G162*'Total Duration Tables Sup #1'!G96-'PT Assumptions'!G47*'Total Duration Tables Sup #2'!G171-'PT Assumptions'!G59*'Total Duration Tables Sup #2'!G174)*(1+'Other Assumptions'!K$52)-(G159*'Total Duration Tables Sup #1'!G93)*(1+'Other Assumptions'!K$52)*'Active Mode Assumptions'!G11*'Active Mode Assumptions'!G15-(G160*'Total Duration Tables Sup #1'!G94)*(1+'Other Assumptions'!K$52)*'Active Mode Assumptions'!G20*'Active Mode Assumptions'!G24</f>
        <v>52.632977065633852</v>
      </c>
      <c r="H96" s="4">
        <f ca="1">(H162*'Total Duration Tables Sup #1'!H96-'PT Assumptions'!H47*'Total Duration Tables Sup #2'!H171-'PT Assumptions'!H59*'Total Duration Tables Sup #2'!H174)*(1+'Other Assumptions'!L$52)-(H159*'Total Duration Tables Sup #1'!H93)*(1+'Other Assumptions'!L$52)*'Active Mode Assumptions'!H11*'Active Mode Assumptions'!H15-(H160*'Total Duration Tables Sup #1'!H94)*(1+'Other Assumptions'!L$52)*'Active Mode Assumptions'!H20*'Active Mode Assumptions'!H24</f>
        <v>52.008520230940782</v>
      </c>
      <c r="I96" s="4">
        <f ca="1">(I162*'Total Duration Tables Sup #1'!I96-'PT Assumptions'!I47*'Total Duration Tables Sup #2'!I171-'PT Assumptions'!I59*'Total Duration Tables Sup #2'!I174)*(1+'Other Assumptions'!M$52)-(I159*'Total Duration Tables Sup #1'!I93)*(1+'Other Assumptions'!M$52)*'Active Mode Assumptions'!I11*'Active Mode Assumptions'!I15-(I160*'Total Duration Tables Sup #1'!I94)*(1+'Other Assumptions'!M$52)*'Active Mode Assumptions'!I20*'Active Mode Assumptions'!I24</f>
        <v>52.953519258975774</v>
      </c>
      <c r="J96" s="4">
        <f ca="1">(J162*'Total Duration Tables Sup #1'!J96-'PT Assumptions'!J47*'Total Duration Tables Sup #2'!J171-'PT Assumptions'!J59*'Total Duration Tables Sup #2'!J174)*(1+'Other Assumptions'!N$52)-(J159*'Total Duration Tables Sup #1'!J93)*(1+'Other Assumptions'!N$52)*'Active Mode Assumptions'!J11*'Active Mode Assumptions'!J15-(J160*'Total Duration Tables Sup #1'!J94)*(1+'Other Assumptions'!N$52)*'Active Mode Assumptions'!J20*'Active Mode Assumptions'!J24</f>
        <v>53.732010096481446</v>
      </c>
      <c r="K96" s="4">
        <f ca="1">(K162*'Total Duration Tables Sup #1'!K96-'PT Assumptions'!K47*'Total Duration Tables Sup #2'!K171-'PT Assumptions'!K59*'Total Duration Tables Sup #2'!K174)*(1+'Other Assumptions'!O$52)-(K159*'Total Duration Tables Sup #1'!K93)*(1+'Other Assumptions'!O$52)*'Active Mode Assumptions'!K11*'Active Mode Assumptions'!K15-(K160*'Total Duration Tables Sup #1'!K94)*(1+'Other Assumptions'!O$52)*'Active Mode Assumptions'!K20*'Active Mode Assumptions'!K24</f>
        <v>54.398104454996059</v>
      </c>
    </row>
    <row r="97" spans="1:11" x14ac:dyDescent="0.2">
      <c r="A97" t="str">
        <f ca="1">OFFSET(Wellington_Reference,28,2)</f>
        <v>Taxi/Vehicle Share</v>
      </c>
      <c r="B97" s="4">
        <f ca="1">B163*'Total Duration Tables Sup #1'!B97*(1+'Other Assumptions'!D$52)</f>
        <v>0.76229285280000003</v>
      </c>
      <c r="C97" s="4">
        <f ca="1">C163*'Total Duration Tables Sup #1'!C97*(1+'Other Assumptions'!G$52)</f>
        <v>0.87434898837796304</v>
      </c>
      <c r="D97" s="4">
        <f ca="1">D163*'Total Duration Tables Sup #1'!D97*(1+'Other Assumptions'!H$52)</f>
        <v>0.96132943229717449</v>
      </c>
      <c r="E97" s="4">
        <f ca="1">E163*'Total Duration Tables Sup #1'!E97*(1+'Other Assumptions'!I$52)</f>
        <v>1.0345213386263885</v>
      </c>
      <c r="F97" s="4">
        <f ca="1">F163*'Total Duration Tables Sup #1'!F97*(1+'Other Assumptions'!J$52)</f>
        <v>1.09661417632217</v>
      </c>
      <c r="G97" s="4">
        <f ca="1">G163*'Total Duration Tables Sup #1'!G97*(1+'Other Assumptions'!K$52)</f>
        <v>1.1381337794649042</v>
      </c>
      <c r="H97" s="4">
        <f ca="1">H163*'Total Duration Tables Sup #1'!H97*(1+'Other Assumptions'!L$52)</f>
        <v>1.1743201807309342</v>
      </c>
      <c r="I97" s="4">
        <f ca="1">I163*'Total Duration Tables Sup #1'!I97*(1+'Other Assumptions'!M$52)</f>
        <v>1.1963717267484428</v>
      </c>
      <c r="J97" s="4">
        <f ca="1">J163*'Total Duration Tables Sup #1'!J97*(1+'Other Assumptions'!N$52)</f>
        <v>1.2152598678212361</v>
      </c>
      <c r="K97" s="4">
        <f ca="1">K163*'Total Duration Tables Sup #1'!K97*(1+'Other Assumptions'!O$52)</f>
        <v>1.2321090597908964</v>
      </c>
    </row>
    <row r="98" spans="1:11" x14ac:dyDescent="0.2">
      <c r="A98" t="str">
        <f ca="1">OFFSET(Wellington_Reference,35,2)</f>
        <v>Motorcyclist</v>
      </c>
      <c r="B98" s="4">
        <f ca="1">B164*'Total Duration Tables Sup #1'!B98*(1+'Other Assumptions'!D$52)</f>
        <v>0.71073078609999996</v>
      </c>
      <c r="C98" s="4">
        <f ca="1">C164*'Total Duration Tables Sup #1'!C98*(1+'Other Assumptions'!G$52)</f>
        <v>0.77676489411244198</v>
      </c>
      <c r="D98" s="4">
        <f ca="1">D164*'Total Duration Tables Sup #1'!D98*(1+'Other Assumptions'!H$52)</f>
        <v>0.81329539001394413</v>
      </c>
      <c r="E98" s="4">
        <f ca="1">E164*'Total Duration Tables Sup #1'!E98*(1+'Other Assumptions'!I$52)</f>
        <v>0.8393665223973541</v>
      </c>
      <c r="F98" s="4">
        <f ca="1">F164*'Total Duration Tables Sup #1'!F98*(1+'Other Assumptions'!J$52)</f>
        <v>0.86104589363910544</v>
      </c>
      <c r="G98" s="4">
        <f ca="1">G164*'Total Duration Tables Sup #1'!G98*(1+'Other Assumptions'!K$52)</f>
        <v>0.8697562928436775</v>
      </c>
      <c r="H98" s="4">
        <f ca="1">H164*'Total Duration Tables Sup #1'!H98*(1+'Other Assumptions'!L$52)</f>
        <v>0.873202306804853</v>
      </c>
      <c r="I98" s="4">
        <f ca="1">I164*'Total Duration Tables Sup #1'!I98*(1+'Other Assumptions'!M$52)</f>
        <v>0.89533823955273806</v>
      </c>
      <c r="J98" s="4">
        <f ca="1">J164*'Total Duration Tables Sup #1'!J98*(1+'Other Assumptions'!N$52)</f>
        <v>0.9153375070077997</v>
      </c>
      <c r="K98" s="4">
        <f ca="1">K164*'Total Duration Tables Sup #1'!K98*(1+'Other Assumptions'!O$52)</f>
        <v>0.93400503285585024</v>
      </c>
    </row>
    <row r="99" spans="1:11" x14ac:dyDescent="0.2">
      <c r="A99" t="str">
        <f ca="1">OFFSET(Wellington_Reference,42,2)</f>
        <v>Local Train</v>
      </c>
      <c r="B99" s="4">
        <f ca="1">'Total Duration Tables Sup #1'!B99*(1+'PT Assumptions'!B41)*(1+'Other Assumptions'!D$52)</f>
        <v>6.554720885672368</v>
      </c>
      <c r="C99" s="4">
        <f ca="1">'Total Duration Tables Sup #1'!C99*(1+'PT Assumptions'!C41)*(1+'Other Assumptions'!G$52)</f>
        <v>7.147347666394003</v>
      </c>
      <c r="D99" s="4">
        <f ca="1">'Total Duration Tables Sup #1'!D99*(1+'PT Assumptions'!D41)*(1+'Other Assumptions'!H$52)</f>
        <v>8.0577295993677467</v>
      </c>
      <c r="E99" s="4">
        <f ca="1">'Total Duration Tables Sup #1'!E99*(1+'PT Assumptions'!E41)*(1+'Other Assumptions'!I$52)</f>
        <v>8.8151474128649614</v>
      </c>
      <c r="F99" s="4">
        <f ca="1">'Total Duration Tables Sup #1'!F99*(1+'PT Assumptions'!F41)*(1+'Other Assumptions'!J$52)</f>
        <v>9.4038995195463997</v>
      </c>
      <c r="G99" s="4">
        <f ca="1">'Total Duration Tables Sup #1'!G99*(1+'PT Assumptions'!G41)*(1+'Other Assumptions'!K$52)</f>
        <v>10.023222923134959</v>
      </c>
      <c r="H99" s="4">
        <f ca="1">'Total Duration Tables Sup #1'!H99*(1+'PT Assumptions'!H41)*(1+'Other Assumptions'!L$52)</f>
        <v>10.636520862586156</v>
      </c>
      <c r="I99" s="4">
        <f ca="1">'Total Duration Tables Sup #1'!I99*(1+'PT Assumptions'!I41)*(1+'Other Assumptions'!M$52)</f>
        <v>11.42041181872113</v>
      </c>
      <c r="J99" s="4">
        <f ca="1">'Total Duration Tables Sup #1'!J99*(1+'PT Assumptions'!J41)*(1+'Other Assumptions'!N$52)</f>
        <v>12.260358093054887</v>
      </c>
      <c r="K99" s="4">
        <f ca="1">'Total Duration Tables Sup #1'!K99*(1+'PT Assumptions'!K41)*(1+'Other Assumptions'!O$52)</f>
        <v>13.165277068451392</v>
      </c>
    </row>
    <row r="100" spans="1:11" x14ac:dyDescent="0.2">
      <c r="A100" t="str">
        <f ca="1">OFFSET(Wellington_Reference,49,2)</f>
        <v>Local Bus</v>
      </c>
      <c r="B100" s="4">
        <f ca="1">'Total Duration Tables Sup #1'!B100*(1+'PT Assumptions'!B53)*(1+'Other Assumptions'!D$52)</f>
        <v>8.2404499312721509</v>
      </c>
      <c r="C100" s="4">
        <f ca="1">'Total Duration Tables Sup #1'!C100*(1+'PT Assumptions'!C53)*(1+'Other Assumptions'!G$52)</f>
        <v>8.7422869707199293</v>
      </c>
      <c r="D100" s="4">
        <f ca="1">'Total Duration Tables Sup #1'!D100*(1+'PT Assumptions'!D53)*(1+'Other Assumptions'!H$52)</f>
        <v>9.8871524641073947</v>
      </c>
      <c r="E100" s="4">
        <f ca="1">'Total Duration Tables Sup #1'!E100*(1+'PT Assumptions'!E53)*(1+'Other Assumptions'!I$52)</f>
        <v>10.530305994499781</v>
      </c>
      <c r="F100" s="4">
        <f ca="1">'Total Duration Tables Sup #1'!F100*(1+'PT Assumptions'!F53)*(1+'Other Assumptions'!J$52)</f>
        <v>10.678862673644721</v>
      </c>
      <c r="G100" s="4">
        <f ca="1">'Total Duration Tables Sup #1'!G100*(1+'PT Assumptions'!G53)*(1+'Other Assumptions'!K$52)</f>
        <v>10.823977825714833</v>
      </c>
      <c r="H100" s="4">
        <f ca="1">'Total Duration Tables Sup #1'!H100*(1+'PT Assumptions'!H53)*(1+'Other Assumptions'!L$52)</f>
        <v>10.953220719362616</v>
      </c>
      <c r="I100" s="4">
        <f ca="1">'Total Duration Tables Sup #1'!I100*(1+'PT Assumptions'!I53)*(1+'Other Assumptions'!M$52)</f>
        <v>11.404204993864143</v>
      </c>
      <c r="J100" s="4">
        <f ca="1">'Total Duration Tables Sup #1'!J100*(1+'PT Assumptions'!J53)*(1+'Other Assumptions'!N$52)</f>
        <v>11.875668243286478</v>
      </c>
      <c r="K100" s="4">
        <f ca="1">'Total Duration Tables Sup #1'!K100*(1+'PT Assumptions'!K53)*(1+'Other Assumptions'!O$52)</f>
        <v>12.369625648474756</v>
      </c>
    </row>
    <row r="101" spans="1:11" x14ac:dyDescent="0.2">
      <c r="A101" t="str">
        <f ca="1">OFFSET(Wellington_Reference,56,2)</f>
        <v>Local Ferry</v>
      </c>
      <c r="B101" s="4">
        <f ca="1">B167*'Total Duration Tables Sup #1'!B101*(1+'Other Assumptions'!D$52)</f>
        <v>5.6537513499999983E-2</v>
      </c>
      <c r="C101" s="4">
        <f ca="1">C167*'Total Duration Tables Sup #1'!C101*(1+'Other Assumptions'!G$52)</f>
        <v>6.3251635776118642E-2</v>
      </c>
      <c r="D101" s="4">
        <f ca="1">D167*'Total Duration Tables Sup #1'!D101*(1+'Other Assumptions'!H$52)</f>
        <v>6.7505902100745141E-2</v>
      </c>
      <c r="E101" s="4">
        <f ca="1">E167*'Total Duration Tables Sup #1'!E101*(1+'Other Assumptions'!I$52)</f>
        <v>7.0125473090407828E-2</v>
      </c>
      <c r="F101" s="4">
        <f ca="1">F167*'Total Duration Tables Sup #1'!F101*(1+'Other Assumptions'!J$52)</f>
        <v>7.1793414385709728E-2</v>
      </c>
      <c r="G101" s="4">
        <f ca="1">G167*'Total Duration Tables Sup #1'!G101*(1+'Other Assumptions'!K$52)</f>
        <v>7.4568339326688632E-2</v>
      </c>
      <c r="H101" s="4">
        <f ca="1">H167*'Total Duration Tables Sup #1'!H101*(1+'Other Assumptions'!L$52)</f>
        <v>7.6721322540174886E-2</v>
      </c>
      <c r="I101" s="4">
        <f ca="1">I167*'Total Duration Tables Sup #1'!I101*(1+'Other Assumptions'!M$52)</f>
        <v>7.7833572044866878E-2</v>
      </c>
      <c r="J101" s="4">
        <f ca="1">J167*'Total Duration Tables Sup #1'!J101*(1+'Other Assumptions'!N$52)</f>
        <v>7.8735831260817804E-2</v>
      </c>
      <c r="K101" s="4">
        <f ca="1">K167*'Total Duration Tables Sup #1'!K101*(1+'Other Assumptions'!O$52)</f>
        <v>7.9503440833833955E-2</v>
      </c>
    </row>
    <row r="102" spans="1:11" x14ac:dyDescent="0.2">
      <c r="A102" t="str">
        <f ca="1">OFFSET(Wellington_Reference,63,2)</f>
        <v>Other Household Travel</v>
      </c>
      <c r="B102" s="4">
        <f ca="1">B168*'Total Duration Tables Sup #1'!B102*(1+'Other Assumptions'!D$52)</f>
        <v>0.36538599710000003</v>
      </c>
      <c r="C102" s="4">
        <f ca="1">C168*'Total Duration Tables Sup #1'!C102*(1+'Other Assumptions'!G$52)</f>
        <v>0.40107375761034142</v>
      </c>
      <c r="D102" s="4">
        <f ca="1">D168*'Total Duration Tables Sup #1'!D102*(1+'Other Assumptions'!H$52)</f>
        <v>0.42712483290375652</v>
      </c>
      <c r="E102" s="4">
        <f ca="1">E168*'Total Duration Tables Sup #1'!E102*(1+'Other Assumptions'!I$52)</f>
        <v>0.44222106333161965</v>
      </c>
      <c r="F102" s="4">
        <f ca="1">F168*'Total Duration Tables Sup #1'!F102*(1+'Other Assumptions'!J$52)</f>
        <v>0.4532612584347534</v>
      </c>
      <c r="G102" s="4">
        <f ca="1">G168*'Total Duration Tables Sup #1'!G102*(1+'Other Assumptions'!K$52)</f>
        <v>0.46490317155788713</v>
      </c>
      <c r="H102" s="4">
        <f ca="1">H168*'Total Duration Tables Sup #1'!H102*(1+'Other Assumptions'!L$52)</f>
        <v>0.47287050367280031</v>
      </c>
      <c r="I102" s="4">
        <f ca="1">I168*'Total Duration Tables Sup #1'!I102*(1+'Other Assumptions'!M$52)</f>
        <v>0.48220456155977098</v>
      </c>
      <c r="J102" s="4">
        <f ca="1">J168*'Total Duration Tables Sup #1'!J102*(1+'Other Assumptions'!N$52)</f>
        <v>0.49029696769129422</v>
      </c>
      <c r="K102" s="4">
        <f ca="1">K168*'Total Duration Tables Sup #1'!K102*(1+'Other Assumptions'!O$52)</f>
        <v>0.49759834706653144</v>
      </c>
    </row>
    <row r="103" spans="1:11" x14ac:dyDescent="0.2">
      <c r="A103" t="str">
        <f ca="1">OFFSET(Nelson_Reference,0,0)</f>
        <v>10 NELS-MARLB-TAS</v>
      </c>
    </row>
    <row r="104" spans="1:11" x14ac:dyDescent="0.2">
      <c r="A104" t="str">
        <f ca="1">OFFSET(Nelson_Reference,0,2)</f>
        <v>Pedestrian</v>
      </c>
      <c r="B104" s="4">
        <f ca="1">B159*'Total Duration Tables Sup #1'!B104*(1+'Other Assumptions'!D$53)*(1+'Active Mode Assumptions'!B11)</f>
        <v>7.2640217022</v>
      </c>
      <c r="C104" s="4">
        <f ca="1">C159*'Total Duration Tables Sup #1'!C104*(1+'Other Assumptions'!G$53)*(1+'Active Mode Assumptions'!C11)</f>
        <v>7.4752009815952425</v>
      </c>
      <c r="D104" s="4">
        <f ca="1">D159*'Total Duration Tables Sup #1'!D104*(1+'Other Assumptions'!H$53)*(1+'Active Mode Assumptions'!D11)</f>
        <v>7.8444230712781033</v>
      </c>
      <c r="E104" s="4">
        <f ca="1">E159*'Total Duration Tables Sup #1'!E104*(1+'Other Assumptions'!I$53)*(1+'Active Mode Assumptions'!E11)</f>
        <v>8.1239080143506772</v>
      </c>
      <c r="F104" s="4">
        <f ca="1">F159*'Total Duration Tables Sup #1'!F104*(1+'Other Assumptions'!J$53)*(1+'Active Mode Assumptions'!F11)</f>
        <v>8.3175876793937622</v>
      </c>
      <c r="G104" s="4">
        <f ca="1">G159*'Total Duration Tables Sup #1'!G104*(1+'Other Assumptions'!K$53)*(1+'Active Mode Assumptions'!G11)</f>
        <v>8.4613589502860851</v>
      </c>
      <c r="H104" s="4">
        <f ca="1">H159*'Total Duration Tables Sup #1'!H104*(1+'Other Assumptions'!L$53)*(1+'Active Mode Assumptions'!H11)</f>
        <v>8.5490180765388111</v>
      </c>
      <c r="I104" s="4">
        <f ca="1">I159*'Total Duration Tables Sup #1'!I104*(1+'Other Assumptions'!M$53)*(1+'Active Mode Assumptions'!I11)</f>
        <v>8.5246467566017756</v>
      </c>
      <c r="J104" s="4">
        <f ca="1">J159*'Total Duration Tables Sup #1'!J104*(1+'Other Assumptions'!N$53)*(1+'Active Mode Assumptions'!J11)</f>
        <v>8.4738278930648097</v>
      </c>
      <c r="K104" s="4">
        <f ca="1">K159*'Total Duration Tables Sup #1'!K104*(1+'Other Assumptions'!O$53)*(1+'Active Mode Assumptions'!K11)</f>
        <v>8.4057454270304586</v>
      </c>
    </row>
    <row r="105" spans="1:11" x14ac:dyDescent="0.2">
      <c r="A105" t="str">
        <f ca="1">OFFSET(Nelson_Reference,7,2)</f>
        <v>Cyclist</v>
      </c>
      <c r="B105" s="4">
        <f ca="1">B160*'Total Duration Tables Sup #1'!B105*(1+'Other Assumptions'!D$53)*(1+'Active Mode Assumptions'!B20)</f>
        <v>1.0417220854</v>
      </c>
      <c r="C105" s="4">
        <f ca="1">C160*'Total Duration Tables Sup #1'!C105*(1+'Other Assumptions'!G$53)*(1+'Active Mode Assumptions'!C20)</f>
        <v>1.1013448757812274</v>
      </c>
      <c r="D105" s="4">
        <f ca="1">D160*'Total Duration Tables Sup #1'!D105*(1+'Other Assumptions'!H$53)*(1+'Active Mode Assumptions'!D20)</f>
        <v>1.3494136698627328</v>
      </c>
      <c r="E105" s="4">
        <f ca="1">E160*'Total Duration Tables Sup #1'!E105*(1+'Other Assumptions'!I$53)*(1+'Active Mode Assumptions'!E20)</f>
        <v>1.5787104276826214</v>
      </c>
      <c r="F105" s="4">
        <f ca="1">F160*'Total Duration Tables Sup #1'!F105*(1+'Other Assumptions'!J$53)*(1+'Active Mode Assumptions'!F20)</f>
        <v>1.8212438041571</v>
      </c>
      <c r="G105" s="4">
        <f ca="1">G160*'Total Duration Tables Sup #1'!G105*(1+'Other Assumptions'!K$53)*(1+'Active Mode Assumptions'!G20)</f>
        <v>2.0845339051421763</v>
      </c>
      <c r="H105" s="4">
        <f ca="1">H160*'Total Duration Tables Sup #1'!H105*(1+'Other Assumptions'!L$53)*(1+'Active Mode Assumptions'!H20)</f>
        <v>2.3503797933441697</v>
      </c>
      <c r="I105" s="4">
        <f ca="1">I160*'Total Duration Tables Sup #1'!I105*(1+'Other Assumptions'!M$53)*(1+'Active Mode Assumptions'!I20)</f>
        <v>2.3456332407487031</v>
      </c>
      <c r="J105" s="4">
        <f ca="1">J160*'Total Duration Tables Sup #1'!J105*(1+'Other Assumptions'!N$53)*(1+'Active Mode Assumptions'!J20)</f>
        <v>2.3335772902456826</v>
      </c>
      <c r="K105" s="4">
        <f ca="1">K160*'Total Duration Tables Sup #1'!K105*(1+'Other Assumptions'!O$53)*(1+'Active Mode Assumptions'!K20)</f>
        <v>2.3167269926349814</v>
      </c>
    </row>
    <row r="106" spans="1:11" x14ac:dyDescent="0.2">
      <c r="A106" t="str">
        <f ca="1">OFFSET(Nelson_Reference,14,2)</f>
        <v>Light Vehicle Driver</v>
      </c>
      <c r="B106" s="4">
        <f ca="1">B161*'Total Duration Tables Sup #1'!B106*(1+'Other Assumptions'!D$53)-(B104*'Active Mode Assumptions'!B11*'Active Mode Assumptions'!B14/(1+'Active Mode Assumptions'!B11))-(B105*'Active Mode Assumptions'!B20*'Active Mode Assumptions'!B23/(1+'Active Mode Assumptions'!B20))</f>
        <v>23.635435057999999</v>
      </c>
      <c r="C106" s="4">
        <f ca="1">C161*'Total Duration Tables Sup #1'!C106*(1+'Other Assumptions'!G$53)-(C104*'Active Mode Assumptions'!C11*'Active Mode Assumptions'!C14/(1+'Active Mode Assumptions'!C11))-(C105*'Active Mode Assumptions'!C20*'Active Mode Assumptions'!C23/(1+'Active Mode Assumptions'!C20))</f>
        <v>25.166997550260163</v>
      </c>
      <c r="D106" s="4">
        <f ca="1">D161*'Total Duration Tables Sup #1'!D106*(1+'Other Assumptions'!H$53)-(D104*'Active Mode Assumptions'!D11*'Active Mode Assumptions'!D14/(1+'Active Mode Assumptions'!D11))-(D105*'Active Mode Assumptions'!D20*'Active Mode Assumptions'!D23/(1+'Active Mode Assumptions'!D20))</f>
        <v>25.799979164614701</v>
      </c>
      <c r="E106" s="4">
        <f ca="1">E161*'Total Duration Tables Sup #1'!E106*(1+'Other Assumptions'!I$53)-(E104*'Active Mode Assumptions'!E11*'Active Mode Assumptions'!E14/(1+'Active Mode Assumptions'!E11))-(E105*'Active Mode Assumptions'!E20*'Active Mode Assumptions'!E23/(1+'Active Mode Assumptions'!E20))</f>
        <v>26.345170391723325</v>
      </c>
      <c r="F106" s="4">
        <f ca="1">F161*'Total Duration Tables Sup #1'!F106*(1+'Other Assumptions'!J$53)-(F104*'Active Mode Assumptions'!F11*'Active Mode Assumptions'!F14/(1+'Active Mode Assumptions'!F11))-(F105*'Active Mode Assumptions'!F20*'Active Mode Assumptions'!F23/(1+'Active Mode Assumptions'!F20))</f>
        <v>26.735754883935218</v>
      </c>
      <c r="G106" s="4">
        <f ca="1">G161*'Total Duration Tables Sup #1'!G106*(1+'Other Assumptions'!K$53)-(G104*'Active Mode Assumptions'!G11*'Active Mode Assumptions'!G14/(1+'Active Mode Assumptions'!G11))-(G105*'Active Mode Assumptions'!G20*'Active Mode Assumptions'!G23/(1+'Active Mode Assumptions'!G20))</f>
        <v>26.812761549522822</v>
      </c>
      <c r="H106" s="4">
        <f ca="1">H161*'Total Duration Tables Sup #1'!H106*(1+'Other Assumptions'!L$53)-(H104*'Active Mode Assumptions'!H11*'Active Mode Assumptions'!H14/(1+'Active Mode Assumptions'!H11))-(H105*'Active Mode Assumptions'!H20*'Active Mode Assumptions'!H23/(1+'Active Mode Assumptions'!H20))</f>
        <v>26.703179287737139</v>
      </c>
      <c r="I106" s="4">
        <f ca="1">I161*'Total Duration Tables Sup #1'!I106*(1+'Other Assumptions'!M$53)-(I104*'Active Mode Assumptions'!I11*'Active Mode Assumptions'!I14/(1+'Active Mode Assumptions'!I11))-(I105*'Active Mode Assumptions'!I20*'Active Mode Assumptions'!I23/(1+'Active Mode Assumptions'!I20))</f>
        <v>26.641870419978332</v>
      </c>
      <c r="J106" s="4">
        <f ca="1">J161*'Total Duration Tables Sup #1'!J106*(1+'Other Assumptions'!N$53)-(J104*'Active Mode Assumptions'!J11*'Active Mode Assumptions'!J14/(1+'Active Mode Assumptions'!J11))-(J105*'Active Mode Assumptions'!J20*'Active Mode Assumptions'!J23/(1+'Active Mode Assumptions'!J20))</f>
        <v>26.497638319565841</v>
      </c>
      <c r="K106" s="4">
        <f ca="1">K161*'Total Duration Tables Sup #1'!K106*(1+'Other Assumptions'!O$53)-(K104*'Active Mode Assumptions'!K11*'Active Mode Assumptions'!K14/(1+'Active Mode Assumptions'!K11))-(K105*'Active Mode Assumptions'!K20*'Active Mode Assumptions'!K23/(1+'Active Mode Assumptions'!K20))</f>
        <v>26.299091008262209</v>
      </c>
    </row>
    <row r="107" spans="1:11" x14ac:dyDescent="0.2">
      <c r="A107" t="str">
        <f ca="1">OFFSET(Nelson_Reference,21,2)</f>
        <v>Light Vehicle Passenger</v>
      </c>
      <c r="B107" s="4">
        <f ca="1">B162*'Total Duration Tables Sup #1'!B107*(1+'Other Assumptions'!D$53)-(B104*'Active Mode Assumptions'!B11*'Active Mode Assumptions'!B15/(1+'Active Mode Assumptions'!B11))-(B105*'Active Mode Assumptions'!B20*'Active Mode Assumptions'!B24/(1+'Active Mode Assumptions'!B20))</f>
        <v>11.910351560000001</v>
      </c>
      <c r="C107" s="4">
        <f ca="1">C162*'Total Duration Tables Sup #1'!C107*(1+'Other Assumptions'!G$53)-(C104*'Active Mode Assumptions'!C11*'Active Mode Assumptions'!C15/(1+'Active Mode Assumptions'!C11))-(C105*'Active Mode Assumptions'!C20*'Active Mode Assumptions'!C24/(1+'Active Mode Assumptions'!C20))</f>
        <v>12.1642900199049</v>
      </c>
      <c r="D107" s="4">
        <f ca="1">D162*'Total Duration Tables Sup #1'!D107*(1+'Other Assumptions'!H$53)-(D104*'Active Mode Assumptions'!D11*'Active Mode Assumptions'!D15/(1+'Active Mode Assumptions'!D11))-(D105*'Active Mode Assumptions'!D20*'Active Mode Assumptions'!D24/(1+'Active Mode Assumptions'!D20))</f>
        <v>12.11744723479932</v>
      </c>
      <c r="E107" s="4">
        <f ca="1">E162*'Total Duration Tables Sup #1'!E107*(1+'Other Assumptions'!I$53)-(E104*'Active Mode Assumptions'!E11*'Active Mode Assumptions'!E15/(1+'Active Mode Assumptions'!E11))-(E105*'Active Mode Assumptions'!E20*'Active Mode Assumptions'!E24/(1+'Active Mode Assumptions'!E20))</f>
        <v>12.02190526504716</v>
      </c>
      <c r="F107" s="4">
        <f ca="1">F162*'Total Duration Tables Sup #1'!F107*(1+'Other Assumptions'!J$53)-(F104*'Active Mode Assumptions'!F11*'Active Mode Assumptions'!F15/(1+'Active Mode Assumptions'!F11))-(F105*'Active Mode Assumptions'!F20*'Active Mode Assumptions'!F24/(1+'Active Mode Assumptions'!F20))</f>
        <v>11.841885075969886</v>
      </c>
      <c r="G107" s="4">
        <f ca="1">G162*'Total Duration Tables Sup #1'!G107*(1+'Other Assumptions'!K$53)-(G104*'Active Mode Assumptions'!G11*'Active Mode Assumptions'!G15/(1+'Active Mode Assumptions'!G11))-(G105*'Active Mode Assumptions'!G20*'Active Mode Assumptions'!G24/(1+'Active Mode Assumptions'!G20))</f>
        <v>11.574350551348497</v>
      </c>
      <c r="H107" s="4">
        <f ca="1">H162*'Total Duration Tables Sup #1'!H107*(1+'Other Assumptions'!L$53)-(H104*'Active Mode Assumptions'!H11*'Active Mode Assumptions'!H15/(1+'Active Mode Assumptions'!H11))-(H105*'Active Mode Assumptions'!H20*'Active Mode Assumptions'!H24/(1+'Active Mode Assumptions'!H20))</f>
        <v>11.229129030203691</v>
      </c>
      <c r="I107" s="4">
        <f ca="1">I162*'Total Duration Tables Sup #1'!I107*(1+'Other Assumptions'!M$53)-(I104*'Active Mode Assumptions'!I11*'Active Mode Assumptions'!I15/(1+'Active Mode Assumptions'!I11))-(I105*'Active Mode Assumptions'!I20*'Active Mode Assumptions'!I24/(1+'Active Mode Assumptions'!I20))</f>
        <v>11.21032412652934</v>
      </c>
      <c r="J107" s="4">
        <f ca="1">J162*'Total Duration Tables Sup #1'!J107*(1+'Other Assumptions'!N$53)-(J104*'Active Mode Assumptions'!J11*'Active Mode Assumptions'!J15/(1+'Active Mode Assumptions'!J11))-(J105*'Active Mode Assumptions'!J20*'Active Mode Assumptions'!J24/(1+'Active Mode Assumptions'!J20))</f>
        <v>11.156535782565888</v>
      </c>
      <c r="K107" s="4">
        <f ca="1">K162*'Total Duration Tables Sup #1'!K107*(1+'Other Assumptions'!O$53)-(K104*'Active Mode Assumptions'!K11*'Active Mode Assumptions'!K15/(1+'Active Mode Assumptions'!K11))-(K105*'Active Mode Assumptions'!K20*'Active Mode Assumptions'!K24/(1+'Active Mode Assumptions'!K20))</f>
        <v>11.079749081852372</v>
      </c>
    </row>
    <row r="108" spans="1:11" x14ac:dyDescent="0.2">
      <c r="A108" t="str">
        <f ca="1">OFFSET(Nelson_Reference,28,2)</f>
        <v>Taxi/Vehicle Share</v>
      </c>
      <c r="B108" s="4">
        <f ca="1">B163*'Total Duration Tables Sup #1'!B108*(1+'Other Assumptions'!D$53)</f>
        <v>8.1526233300000001E-2</v>
      </c>
      <c r="C108" s="4">
        <f ca="1">C163*'Total Duration Tables Sup #1'!C108*(1+'Other Assumptions'!G$53)</f>
        <v>9.0217636158021919E-2</v>
      </c>
      <c r="D108" s="4">
        <f ca="1">D163*'Total Duration Tables Sup #1'!D108*(1+'Other Assumptions'!H$53)</f>
        <v>9.6689358743590317E-2</v>
      </c>
      <c r="E108" s="4">
        <f ca="1">E163*'Total Duration Tables Sup #1'!E108*(1+'Other Assumptions'!I$53)</f>
        <v>0.10189825500443286</v>
      </c>
      <c r="F108" s="4">
        <f ca="1">F163*'Total Duration Tables Sup #1'!F108*(1+'Other Assumptions'!J$53)</f>
        <v>0.10576236056796846</v>
      </c>
      <c r="G108" s="4">
        <f ca="1">G163*'Total Duration Tables Sup #1'!G108*(1+'Other Assumptions'!K$53)</f>
        <v>0.10742971975803864</v>
      </c>
      <c r="H108" s="4">
        <f ca="1">H163*'Total Duration Tables Sup #1'!H108*(1+'Other Assumptions'!L$53)</f>
        <v>0.10830850977621341</v>
      </c>
      <c r="I108" s="4">
        <f ca="1">I163*'Total Duration Tables Sup #1'!I108*(1+'Other Assumptions'!M$53)</f>
        <v>0.10779719786135203</v>
      </c>
      <c r="J108" s="4">
        <f ca="1">J163*'Total Duration Tables Sup #1'!J108*(1+'Other Assumptions'!N$53)</f>
        <v>0.10695310982929199</v>
      </c>
      <c r="K108" s="4">
        <f ca="1">K163*'Total Duration Tables Sup #1'!K108*(1+'Other Assumptions'!O$53)</f>
        <v>0.10589401356110623</v>
      </c>
    </row>
    <row r="109" spans="1:11" x14ac:dyDescent="0.2">
      <c r="A109" t="str">
        <f ca="1">OFFSET(Nelson_Reference,35,2)</f>
        <v>Motorcyclist</v>
      </c>
      <c r="B109" s="4">
        <f ca="1">B164*'Total Duration Tables Sup #1'!B109*(1+'Other Assumptions'!D$53)</f>
        <v>0.60769230029999999</v>
      </c>
      <c r="C109" s="4">
        <f ca="1">C164*'Total Duration Tables Sup #1'!C109*(1+'Other Assumptions'!G$53)</f>
        <v>0.64076576135297714</v>
      </c>
      <c r="D109" s="4">
        <f ca="1">D164*'Total Duration Tables Sup #1'!D109*(1+'Other Assumptions'!H$53)</f>
        <v>0.65397000280002138</v>
      </c>
      <c r="E109" s="4">
        <f ca="1">E164*'Total Duration Tables Sup #1'!E109*(1+'Other Assumptions'!I$53)</f>
        <v>0.66097040413489727</v>
      </c>
      <c r="F109" s="4">
        <f ca="1">F164*'Total Duration Tables Sup #1'!F109*(1+'Other Assumptions'!J$53)</f>
        <v>0.66390609536329803</v>
      </c>
      <c r="G109" s="4">
        <f ca="1">G164*'Total Duration Tables Sup #1'!G109*(1+'Other Assumptions'!K$53)</f>
        <v>0.6563444021822582</v>
      </c>
      <c r="H109" s="4">
        <f ca="1">H164*'Total Duration Tables Sup #1'!H109*(1+'Other Assumptions'!L$53)</f>
        <v>0.64386379764581214</v>
      </c>
      <c r="I109" s="4">
        <f ca="1">I164*'Total Duration Tables Sup #1'!I109*(1+'Other Assumptions'!M$53)</f>
        <v>0.64495815809371237</v>
      </c>
      <c r="J109" s="4">
        <f ca="1">J164*'Total Duration Tables Sup #1'!J109*(1+'Other Assumptions'!N$53)</f>
        <v>0.64403370367265755</v>
      </c>
      <c r="K109" s="4">
        <f ca="1">K164*'Total Duration Tables Sup #1'!K109*(1+'Other Assumptions'!O$53)</f>
        <v>0.64176281695635995</v>
      </c>
    </row>
    <row r="110" spans="1:11" x14ac:dyDescent="0.2">
      <c r="A110" t="str">
        <f ca="1">OFFSET(Nelson_Reference,42,2)</f>
        <v>Local Train</v>
      </c>
      <c r="B110" s="4">
        <f ca="1">B165*'Total Duration Tables Sup #1'!B110*(1+'Other Assumptions'!D$53)</f>
        <v>0</v>
      </c>
      <c r="C110" s="4">
        <f ca="1">C165*'Total Duration Tables Sup #1'!C110*(1+'Other Assumptions'!G$53)</f>
        <v>0</v>
      </c>
      <c r="D110" s="4">
        <f ca="1">D165*'Total Duration Tables Sup #1'!D110*(1+'Other Assumptions'!H$53)</f>
        <v>0</v>
      </c>
      <c r="E110" s="4">
        <f ca="1">E165*'Total Duration Tables Sup #1'!E110*(1+'Other Assumptions'!I$53)</f>
        <v>0</v>
      </c>
      <c r="F110" s="4">
        <f ca="1">F165*'Total Duration Tables Sup #1'!F110*(1+'Other Assumptions'!J$53)</f>
        <v>0</v>
      </c>
      <c r="G110" s="4">
        <f ca="1">G165*'Total Duration Tables Sup #1'!G110*(1+'Other Assumptions'!K$53)</f>
        <v>0</v>
      </c>
      <c r="H110" s="4">
        <f ca="1">H165*'Total Duration Tables Sup #1'!H110*(1+'Other Assumptions'!L$53)</f>
        <v>0</v>
      </c>
      <c r="I110" s="4">
        <f ca="1">I165*'Total Duration Tables Sup #1'!I110*(1+'Other Assumptions'!M$53)</f>
        <v>0</v>
      </c>
      <c r="J110" s="4">
        <f ca="1">J165*'Total Duration Tables Sup #1'!J110*(1+'Other Assumptions'!N$53)</f>
        <v>0</v>
      </c>
      <c r="K110" s="4">
        <f ca="1">K165*'Total Duration Tables Sup #1'!K110*(1+'Other Assumptions'!O$53)</f>
        <v>0</v>
      </c>
    </row>
    <row r="111" spans="1:11" x14ac:dyDescent="0.2">
      <c r="A111" t="str">
        <f ca="1">OFFSET(Nelson_Reference,49,2)</f>
        <v>Local Bus</v>
      </c>
      <c r="B111" s="4">
        <f ca="1">B166*'Total Duration Tables Sup #1'!B111*(1+'Other Assumptions'!D$53)</f>
        <v>0.94491203199999996</v>
      </c>
      <c r="C111" s="4">
        <f ca="1">C166*'Total Duration Tables Sup #1'!C111*(1+'Other Assumptions'!G$53)</f>
        <v>0.91231683652635287</v>
      </c>
      <c r="D111" s="4">
        <f ca="1">D166*'Total Duration Tables Sup #1'!D111*(1+'Other Assumptions'!H$53)</f>
        <v>0.88761578218005699</v>
      </c>
      <c r="E111" s="4">
        <f ca="1">E166*'Total Duration Tables Sup #1'!E111*(1+'Other Assumptions'!I$53)</f>
        <v>0.870694193337335</v>
      </c>
      <c r="F111" s="4">
        <f ca="1">F166*'Total Duration Tables Sup #1'!F111*(1+'Other Assumptions'!J$53)</f>
        <v>0.84187219768229893</v>
      </c>
      <c r="G111" s="4">
        <f ca="1">G166*'Total Duration Tables Sup #1'!G111*(1+'Other Assumptions'!K$53)</f>
        <v>0.81686140637600957</v>
      </c>
      <c r="H111" s="4">
        <f ca="1">H166*'Total Duration Tables Sup #1'!H111*(1+'Other Assumptions'!L$53)</f>
        <v>0.78749384046753368</v>
      </c>
      <c r="I111" s="4">
        <f ca="1">I166*'Total Duration Tables Sup #1'!I111*(1+'Other Assumptions'!M$53)</f>
        <v>0.78731774329071647</v>
      </c>
      <c r="J111" s="4">
        <f ca="1">J166*'Total Duration Tables Sup #1'!J111*(1+'Other Assumptions'!N$53)</f>
        <v>0.78467092735019128</v>
      </c>
      <c r="K111" s="4">
        <f ca="1">K166*'Total Duration Tables Sup #1'!K111*(1+'Other Assumptions'!O$53)</f>
        <v>0.78038651800884584</v>
      </c>
    </row>
    <row r="112" spans="1:11" x14ac:dyDescent="0.2">
      <c r="A112" t="str">
        <f ca="1">OFFSET(Wellington_Reference,56,2)</f>
        <v>Local Ferry</v>
      </c>
      <c r="B112" s="4">
        <f ca="1">B167*'Total Duration Tables Sup #1'!B112*(1+'Other Assumptions'!D$53)</f>
        <v>0</v>
      </c>
      <c r="C112" s="4">
        <f ca="1">C167*'Total Duration Tables Sup #1'!C112*(1+'Other Assumptions'!G$53)</f>
        <v>0</v>
      </c>
      <c r="D112" s="4">
        <f ca="1">D167*'Total Duration Tables Sup #1'!D112*(1+'Other Assumptions'!H$53)</f>
        <v>0</v>
      </c>
      <c r="E112" s="4">
        <f ca="1">E167*'Total Duration Tables Sup #1'!E112*(1+'Other Assumptions'!I$53)</f>
        <v>0</v>
      </c>
      <c r="F112" s="4">
        <f ca="1">F167*'Total Duration Tables Sup #1'!F112*(1+'Other Assumptions'!J$53)</f>
        <v>0</v>
      </c>
      <c r="G112" s="4">
        <f ca="1">G167*'Total Duration Tables Sup #1'!G112*(1+'Other Assumptions'!K$53)</f>
        <v>0</v>
      </c>
      <c r="H112" s="4">
        <f ca="1">H167*'Total Duration Tables Sup #1'!H112*(1+'Other Assumptions'!L$53)</f>
        <v>0</v>
      </c>
      <c r="I112" s="4">
        <f ca="1">I167*'Total Duration Tables Sup #1'!I112*(1+'Other Assumptions'!M$53)</f>
        <v>0</v>
      </c>
      <c r="J112" s="4">
        <f ca="1">J167*'Total Duration Tables Sup #1'!J112*(1+'Other Assumptions'!N$53)</f>
        <v>0</v>
      </c>
      <c r="K112" s="4">
        <f ca="1">K167*'Total Duration Tables Sup #1'!K112*(1+'Other Assumptions'!O$53)</f>
        <v>0</v>
      </c>
    </row>
    <row r="113" spans="1:11" x14ac:dyDescent="0.2">
      <c r="A113" t="str">
        <f ca="1">OFFSET(Nelson_Reference,56,2)</f>
        <v>Other Household Travel</v>
      </c>
      <c r="B113" s="4">
        <f ca="1">B168*'Total Duration Tables Sup #1'!B113*(1+'Other Assumptions'!D$53)</f>
        <v>0.51346004550000002</v>
      </c>
      <c r="C113" s="4">
        <f ca="1">C168*'Total Duration Tables Sup #1'!C113*(1+'Other Assumptions'!G$53)</f>
        <v>0.54376356539214077</v>
      </c>
      <c r="D113" s="4">
        <f ca="1">D168*'Total Duration Tables Sup #1'!D113*(1+'Other Assumptions'!H$53)</f>
        <v>0.5644695104734917</v>
      </c>
      <c r="E113" s="4">
        <f ca="1">E168*'Total Duration Tables Sup #1'!E113*(1+'Other Assumptions'!I$53)</f>
        <v>0.57232925282398039</v>
      </c>
      <c r="F113" s="4">
        <f ca="1">F168*'Total Duration Tables Sup #1'!F113*(1+'Other Assumptions'!J$53)</f>
        <v>0.57438766614126824</v>
      </c>
      <c r="G113" s="4">
        <f ca="1">G168*'Total Duration Tables Sup #1'!G113*(1+'Other Assumptions'!K$53)</f>
        <v>0.57659764510357336</v>
      </c>
      <c r="H113" s="4">
        <f ca="1">H168*'Total Duration Tables Sup #1'!H113*(1+'Other Assumptions'!L$53)</f>
        <v>0.57305658412153548</v>
      </c>
      <c r="I113" s="4">
        <f ca="1">I168*'Total Duration Tables Sup #1'!I113*(1+'Other Assumptions'!M$53)</f>
        <v>0.57088925753377839</v>
      </c>
      <c r="J113" s="4">
        <f ca="1">J168*'Total Duration Tables Sup #1'!J113*(1+'Other Assumptions'!N$53)</f>
        <v>0.56697341268261348</v>
      </c>
      <c r="K113" s="4">
        <f ca="1">K168*'Total Duration Tables Sup #1'!K113*(1+'Other Assumptions'!O$53)</f>
        <v>0.5619276637717967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t="str">
        <f ca="1">OFFSET(West_Coast_Reference,0,2)</f>
        <v>Pedestrian</v>
      </c>
      <c r="B115" s="4">
        <f ca="1">B159*'Total Duration Tables Sup #1'!B115*(1+'Other Assumptions'!D$54)*(1+'Active Mode Assumptions'!B11)</f>
        <v>1.1518220776999999</v>
      </c>
      <c r="C115" s="4">
        <f ca="1">C159*'Total Duration Tables Sup #1'!C115*(1+'Other Assumptions'!G$54)*(1+'Active Mode Assumptions'!C11)</f>
        <v>1.1133264153295506</v>
      </c>
      <c r="D115" s="4">
        <f ca="1">D159*'Total Duration Tables Sup #1'!D115*(1+'Other Assumptions'!H$54)*(1+'Active Mode Assumptions'!D11)</f>
        <v>1.1340888373272298</v>
      </c>
      <c r="E115" s="4">
        <f ca="1">E159*'Total Duration Tables Sup #1'!E115*(1+'Other Assumptions'!I$54)*(1+'Active Mode Assumptions'!E11)</f>
        <v>1.1419886548246752</v>
      </c>
      <c r="F115" s="4">
        <f ca="1">F159*'Total Duration Tables Sup #1'!F115*(1+'Other Assumptions'!J$54)*(1+'Active Mode Assumptions'!F11)</f>
        <v>1.137348805447842</v>
      </c>
      <c r="G115" s="4">
        <f ca="1">G159*'Total Duration Tables Sup #1'!G115*(1+'Other Assumptions'!K$54)*(1+'Active Mode Assumptions'!G11)</f>
        <v>1.1260625162418989</v>
      </c>
      <c r="H115" s="4">
        <f ca="1">H159*'Total Duration Tables Sup #1'!H115*(1+'Other Assumptions'!L$54)*(1+'Active Mode Assumptions'!H11)</f>
        <v>1.1102114651826329</v>
      </c>
      <c r="I115" s="4">
        <f ca="1">I159*'Total Duration Tables Sup #1'!I115*(1+'Other Assumptions'!M$54)*(1+'Active Mode Assumptions'!I11)</f>
        <v>1.080220648227618</v>
      </c>
      <c r="J115" s="4">
        <f ca="1">J159*'Total Duration Tables Sup #1'!J115*(1+'Other Assumptions'!N$54)*(1+'Active Mode Assumptions'!J11)</f>
        <v>1.0477117835768228</v>
      </c>
      <c r="K115" s="4">
        <f ca="1">K159*'Total Duration Tables Sup #1'!K115*(1+'Other Assumptions'!O$54)*(1+'Active Mode Assumptions'!K11)</f>
        <v>1.0140141218632932</v>
      </c>
    </row>
    <row r="116" spans="1:11" x14ac:dyDescent="0.2">
      <c r="A116" t="str">
        <f ca="1">OFFSET(West_Coast_Reference,7,2)</f>
        <v>Cyclist</v>
      </c>
      <c r="B116" s="4">
        <f ca="1">B160*'Total Duration Tables Sup #1'!B116*(1+'Other Assumptions'!D$54)*(1+'Active Mode Assumptions'!B20)</f>
        <v>0.17528853950000001</v>
      </c>
      <c r="C116" s="4">
        <f ca="1">C160*'Total Duration Tables Sup #1'!C116*(1+'Other Assumptions'!G$54)*(1+'Active Mode Assumptions'!C20)</f>
        <v>0.17406696631240035</v>
      </c>
      <c r="D116" s="4">
        <f ca="1">D160*'Total Duration Tables Sup #1'!D116*(1+'Other Assumptions'!H$54)*(1+'Active Mode Assumptions'!D20)</f>
        <v>0.2070258412053661</v>
      </c>
      <c r="E116" s="4">
        <f ca="1">E160*'Total Duration Tables Sup #1'!E116*(1+'Other Assumptions'!I$54)*(1+'Active Mode Assumptions'!E20)</f>
        <v>0.23550094536897606</v>
      </c>
      <c r="F116" s="4">
        <f ca="1">F160*'Total Duration Tables Sup #1'!F116*(1+'Other Assumptions'!J$54)*(1+'Active Mode Assumptions'!F20)</f>
        <v>0.26427602180405385</v>
      </c>
      <c r="G116" s="4">
        <f ca="1">G160*'Total Duration Tables Sup #1'!G116*(1+'Other Assumptions'!K$54)*(1+'Active Mode Assumptions'!G20)</f>
        <v>0.29439113740398837</v>
      </c>
      <c r="H116" s="4">
        <f ca="1">H160*'Total Duration Tables Sup #1'!H116*(1+'Other Assumptions'!L$54)*(1+'Active Mode Assumptions'!H20)</f>
        <v>0.32390742425842933</v>
      </c>
      <c r="I116" s="4">
        <f ca="1">I160*'Total Duration Tables Sup #1'!I116*(1+'Other Assumptions'!M$54)*(1+'Active Mode Assumptions'!I20)</f>
        <v>0.3154202527659844</v>
      </c>
      <c r="J116" s="4">
        <f ca="1">J160*'Total Duration Tables Sup #1'!J116*(1+'Other Assumptions'!N$54)*(1+'Active Mode Assumptions'!J20)</f>
        <v>0.30618066662101512</v>
      </c>
      <c r="K116" s="4">
        <f ca="1">K160*'Total Duration Tables Sup #1'!K116*(1+'Other Assumptions'!O$54)*(1+'Active Mode Assumptions'!K20)</f>
        <v>0.29657600739235052</v>
      </c>
    </row>
    <row r="117" spans="1:11" x14ac:dyDescent="0.2">
      <c r="A117" t="str">
        <f ca="1">OFFSET(West_Coast_Reference,14,2)</f>
        <v>Light Vehicle Driver</v>
      </c>
      <c r="B117" s="4">
        <f ca="1">B161*'Total Duration Tables Sup #1'!B117*(1+'Other Assumptions'!D$54)-(B115*'Active Mode Assumptions'!B11*'Active Mode Assumptions'!B14/(1+'Active Mode Assumptions'!B11))-(B116*'Active Mode Assumptions'!B20*'Active Mode Assumptions'!B23/(1+'Active Mode Assumptions'!B20))</f>
        <v>5.0852916584000001</v>
      </c>
      <c r="C117" s="4">
        <f ca="1">C161*'Total Duration Tables Sup #1'!C117*(1+'Other Assumptions'!G$54)-(C115*'Active Mode Assumptions'!C11*'Active Mode Assumptions'!C14/(1+'Active Mode Assumptions'!C11))-(C116*'Active Mode Assumptions'!C20*'Active Mode Assumptions'!C23/(1+'Active Mode Assumptions'!C20))</f>
        <v>5.0859846641873627</v>
      </c>
      <c r="D117" s="4">
        <f ca="1">D161*'Total Duration Tables Sup #1'!D117*(1+'Other Assumptions'!H$54)-(D115*'Active Mode Assumptions'!D11*'Active Mode Assumptions'!D14/(1+'Active Mode Assumptions'!D11))-(D116*'Active Mode Assumptions'!D20*'Active Mode Assumptions'!D23/(1+'Active Mode Assumptions'!D20))</f>
        <v>5.067447874400596</v>
      </c>
      <c r="E117" s="4">
        <f ca="1">E161*'Total Duration Tables Sup #1'!E117*(1+'Other Assumptions'!I$54)-(E115*'Active Mode Assumptions'!E11*'Active Mode Assumptions'!E14/(1+'Active Mode Assumptions'!E11))-(E116*'Active Mode Assumptions'!E20*'Active Mode Assumptions'!E23/(1+'Active Mode Assumptions'!E20))</f>
        <v>5.0373010889837628</v>
      </c>
      <c r="F117" s="4">
        <f ca="1">F161*'Total Duration Tables Sup #1'!F117*(1+'Other Assumptions'!J$54)-(F115*'Active Mode Assumptions'!F11*'Active Mode Assumptions'!F14/(1+'Active Mode Assumptions'!F11))-(F116*'Active Mode Assumptions'!F20*'Active Mode Assumptions'!F23/(1+'Active Mode Assumptions'!F20))</f>
        <v>4.9783594143541601</v>
      </c>
      <c r="G117" s="4">
        <f ca="1">G161*'Total Duration Tables Sup #1'!G117*(1+'Other Assumptions'!K$54)-(G115*'Active Mode Assumptions'!G11*'Active Mode Assumptions'!G14/(1+'Active Mode Assumptions'!G11))-(G116*'Active Mode Assumptions'!G20*'Active Mode Assumptions'!G23/(1+'Active Mode Assumptions'!G20))</f>
        <v>4.8647845118267652</v>
      </c>
      <c r="H117" s="4">
        <f ca="1">H161*'Total Duration Tables Sup #1'!H117*(1+'Other Assumptions'!L$54)-(H115*'Active Mode Assumptions'!H11*'Active Mode Assumptions'!H14/(1+'Active Mode Assumptions'!H11))-(H116*'Active Mode Assumptions'!H20*'Active Mode Assumptions'!H23/(1+'Active Mode Assumptions'!H20))</f>
        <v>4.733190059570032</v>
      </c>
      <c r="I117" s="4">
        <f ca="1">I161*'Total Duration Tables Sup #1'!I117*(1+'Other Assumptions'!M$54)-(I115*'Active Mode Assumptions'!I11*'Active Mode Assumptions'!I14/(1+'Active Mode Assumptions'!I11))-(I116*'Active Mode Assumptions'!I20*'Active Mode Assumptions'!I23/(1+'Active Mode Assumptions'!I20))</f>
        <v>4.6078861301493088</v>
      </c>
      <c r="J117" s="4">
        <f ca="1">J161*'Total Duration Tables Sup #1'!J117*(1+'Other Assumptions'!N$54)-(J115*'Active Mode Assumptions'!J11*'Active Mode Assumptions'!J14/(1+'Active Mode Assumptions'!J11))-(J116*'Active Mode Assumptions'!J20*'Active Mode Assumptions'!J23/(1+'Active Mode Assumptions'!J20))</f>
        <v>4.4716700695542064</v>
      </c>
      <c r="K117" s="4">
        <f ca="1">K161*'Total Duration Tables Sup #1'!K117*(1+'Other Assumptions'!O$54)-(K115*'Active Mode Assumptions'!K11*'Active Mode Assumptions'!K14/(1+'Active Mode Assumptions'!K11))-(K116*'Active Mode Assumptions'!K20*'Active Mode Assumptions'!K23/(1+'Active Mode Assumptions'!K20))</f>
        <v>4.3302040558172488</v>
      </c>
    </row>
    <row r="118" spans="1:11" x14ac:dyDescent="0.2">
      <c r="A118" t="str">
        <f ca="1">OFFSET(West_Coast_Reference,21,2)</f>
        <v>Light Vehicle Passenger</v>
      </c>
      <c r="B118" s="4">
        <f ca="1">B162*'Total Duration Tables Sup #1'!B118*(1+'Other Assumptions'!D$54)-(B115*'Active Mode Assumptions'!B11*'Active Mode Assumptions'!B15/(1+'Active Mode Assumptions'!B11))-(B116*'Active Mode Assumptions'!B20*'Active Mode Assumptions'!B24/(1+'Active Mode Assumptions'!B20))</f>
        <v>3.4140139011000001</v>
      </c>
      <c r="C118" s="4">
        <f ca="1">C162*'Total Duration Tables Sup #1'!C118*(1+'Other Assumptions'!G$54)-(C115*'Active Mode Assumptions'!C11*'Active Mode Assumptions'!C15/(1+'Active Mode Assumptions'!C11))-(C116*'Active Mode Assumptions'!C20*'Active Mode Assumptions'!C24/(1+'Active Mode Assumptions'!C20))</f>
        <v>3.2750568596107792</v>
      </c>
      <c r="D118" s="4">
        <f ca="1">D162*'Total Duration Tables Sup #1'!D118*(1+'Other Assumptions'!H$54)-(D115*'Active Mode Assumptions'!D11*'Active Mode Assumptions'!D15/(1+'Active Mode Assumptions'!D11))-(D116*'Active Mode Assumptions'!D20*'Active Mode Assumptions'!D24/(1+'Active Mode Assumptions'!D20))</f>
        <v>3.1817420220853019</v>
      </c>
      <c r="E118" s="4">
        <f ca="1">E162*'Total Duration Tables Sup #1'!E118*(1+'Other Assumptions'!I$54)-(E115*'Active Mode Assumptions'!E11*'Active Mode Assumptions'!E15/(1+'Active Mode Assumptions'!E11))-(E116*'Active Mode Assumptions'!E20*'Active Mode Assumptions'!E24/(1+'Active Mode Assumptions'!E20))</f>
        <v>3.0838543682083843</v>
      </c>
      <c r="F118" s="4">
        <f ca="1">F162*'Total Duration Tables Sup #1'!F118*(1+'Other Assumptions'!J$54)-(F115*'Active Mode Assumptions'!F11*'Active Mode Assumptions'!F15/(1+'Active Mode Assumptions'!F11))-(F116*'Active Mode Assumptions'!F20*'Active Mode Assumptions'!F24/(1+'Active Mode Assumptions'!F20))</f>
        <v>2.9692175803849068</v>
      </c>
      <c r="G118" s="4">
        <f ca="1">G162*'Total Duration Tables Sup #1'!G118*(1+'Other Assumptions'!K$54)-(G115*'Active Mode Assumptions'!G11*'Active Mode Assumptions'!G15/(1+'Active Mode Assumptions'!G11))-(G116*'Active Mode Assumptions'!G20*'Active Mode Assumptions'!G24/(1+'Active Mode Assumptions'!G20))</f>
        <v>2.8389020712315403</v>
      </c>
      <c r="H118" s="4">
        <f ca="1">H162*'Total Duration Tables Sup #1'!H118*(1+'Other Assumptions'!L$54)-(H115*'Active Mode Assumptions'!H11*'Active Mode Assumptions'!H15/(1+'Active Mode Assumptions'!H11))-(H116*'Active Mode Assumptions'!H20*'Active Mode Assumptions'!H24/(1+'Active Mode Assumptions'!H20))</f>
        <v>2.7019845723678402</v>
      </c>
      <c r="I118" s="4">
        <f ca="1">I162*'Total Duration Tables Sup #1'!I118*(1+'Other Assumptions'!M$54)-(I115*'Active Mode Assumptions'!I11*'Active Mode Assumptions'!I15/(1+'Active Mode Assumptions'!I11))-(I116*'Active Mode Assumptions'!I20*'Active Mode Assumptions'!I24/(1+'Active Mode Assumptions'!I20))</f>
        <v>2.632042610679699</v>
      </c>
      <c r="J118" s="4">
        <f ca="1">J162*'Total Duration Tables Sup #1'!J118*(1+'Other Assumptions'!N$54)-(J115*'Active Mode Assumptions'!J11*'Active Mode Assumptions'!J15/(1+'Active Mode Assumptions'!J11))-(J116*'Active Mode Assumptions'!J20*'Active Mode Assumptions'!J24/(1+'Active Mode Assumptions'!J20))</f>
        <v>2.5557692028897145</v>
      </c>
      <c r="K118" s="4">
        <f ca="1">K162*'Total Duration Tables Sup #1'!K118*(1+'Other Assumptions'!O$54)-(K115*'Active Mode Assumptions'!K11*'Active Mode Assumptions'!K15/(1+'Active Mode Assumptions'!K11))-(K116*'Active Mode Assumptions'!K20*'Active Mode Assumptions'!K24/(1+'Active Mode Assumptions'!K20))</f>
        <v>2.4763912976915492</v>
      </c>
    </row>
    <row r="119" spans="1:11" x14ac:dyDescent="0.2">
      <c r="A119" t="str">
        <f ca="1">OFFSET(West_Coast_Reference,28,2)</f>
        <v>Taxi/Vehicle Share</v>
      </c>
      <c r="B119" s="4">
        <f ca="1">B163*'Total Duration Tables Sup #1'!B119*(1+'Other Assumptions'!D$54)</f>
        <v>6.5507808299999998E-2</v>
      </c>
      <c r="C119" s="4">
        <f ca="1">C163*'Total Duration Tables Sup #1'!C119*(1+'Other Assumptions'!G$54)</f>
        <v>6.8089243628671609E-2</v>
      </c>
      <c r="D119" s="4">
        <f ca="1">D163*'Total Duration Tables Sup #1'!D119*(1+'Other Assumptions'!H$54)</f>
        <v>7.0835697364667327E-2</v>
      </c>
      <c r="E119" s="4">
        <f ca="1">E163*'Total Duration Tables Sup #1'!E119*(1+'Other Assumptions'!I$54)</f>
        <v>7.2585682603472992E-2</v>
      </c>
      <c r="F119" s="4">
        <f ca="1">F163*'Total Duration Tables Sup #1'!F119*(1+'Other Assumptions'!J$54)</f>
        <v>7.3284959146907996E-2</v>
      </c>
      <c r="G119" s="4">
        <f ca="1">G163*'Total Duration Tables Sup #1'!G119*(1+'Other Assumptions'!K$54)</f>
        <v>7.2449309757678854E-2</v>
      </c>
      <c r="H119" s="4">
        <f ca="1">H163*'Total Duration Tables Sup #1'!H119*(1+'Other Assumptions'!L$54)</f>
        <v>7.1275369828603899E-2</v>
      </c>
      <c r="I119" s="4">
        <f ca="1">I163*'Total Duration Tables Sup #1'!I119*(1+'Other Assumptions'!M$54)</f>
        <v>6.9219902117991547E-2</v>
      </c>
      <c r="J119" s="4">
        <f ca="1">J163*'Total Duration Tables Sup #1'!J119*(1+'Other Assumptions'!N$54)</f>
        <v>6.7010526885195848E-2</v>
      </c>
      <c r="K119" s="4">
        <f ca="1">K163*'Total Duration Tables Sup #1'!K119*(1+'Other Assumptions'!O$54)</f>
        <v>6.4733129875222145E-2</v>
      </c>
    </row>
    <row r="120" spans="1:11" x14ac:dyDescent="0.2">
      <c r="A120" t="str">
        <f ca="1">OFFSET(West_Coast_Reference,35,2)</f>
        <v>Motorcyclist</v>
      </c>
      <c r="B120" s="4">
        <f ca="1">B164*'Total Duration Tables Sup #1'!B120*(1+'Other Assumptions'!D$54)</f>
        <v>9.7989774000000005E-3</v>
      </c>
      <c r="C120" s="4">
        <f ca="1">C164*'Total Duration Tables Sup #1'!C120*(1+'Other Assumptions'!G$54)</f>
        <v>9.7048246762987522E-3</v>
      </c>
      <c r="D120" s="4">
        <f ca="1">D164*'Total Duration Tables Sup #1'!D120*(1+'Other Assumptions'!H$54)</f>
        <v>9.6146316859731275E-3</v>
      </c>
      <c r="E120" s="4">
        <f ca="1">E164*'Total Duration Tables Sup #1'!E120*(1+'Other Assumptions'!I$54)</f>
        <v>9.4486021479891526E-3</v>
      </c>
      <c r="F120" s="4">
        <f ca="1">F164*'Total Duration Tables Sup #1'!F120*(1+'Other Assumptions'!J$54)</f>
        <v>9.2319129506405577E-3</v>
      </c>
      <c r="G120" s="4">
        <f ca="1">G164*'Total Duration Tables Sup #1'!G120*(1+'Other Assumptions'!K$54)</f>
        <v>8.8826576725352172E-3</v>
      </c>
      <c r="H120" s="4">
        <f ca="1">H164*'Total Duration Tables Sup #1'!H120*(1+'Other Assumptions'!L$54)</f>
        <v>8.5030011167378291E-3</v>
      </c>
      <c r="I120" s="4">
        <f ca="1">I164*'Total Duration Tables Sup #1'!I120*(1+'Other Assumptions'!M$54)</f>
        <v>8.311059278318586E-3</v>
      </c>
      <c r="J120" s="4">
        <f ca="1">J164*'Total Duration Tables Sup #1'!J120*(1+'Other Assumptions'!N$54)</f>
        <v>8.0976600686236203E-3</v>
      </c>
      <c r="K120" s="4">
        <f ca="1">K164*'Total Duration Tables Sup #1'!K120*(1+'Other Assumptions'!O$54)</f>
        <v>7.8728337022155176E-3</v>
      </c>
    </row>
    <row r="121" spans="1:11" x14ac:dyDescent="0.2">
      <c r="A121" t="str">
        <f ca="1">OFFSET(Nelson_Reference,42,2)</f>
        <v>Local Train</v>
      </c>
      <c r="B121" s="4">
        <f ca="1">B165*'Total Duration Tables Sup #1'!B121*(1+'Other Assumptions'!D$54)</f>
        <v>0</v>
      </c>
      <c r="C121" s="4">
        <f ca="1">C165*'Total Duration Tables Sup #1'!C121*(1+'Other Assumptions'!G$54)</f>
        <v>0</v>
      </c>
      <c r="D121" s="4">
        <f ca="1">D165*'Total Duration Tables Sup #1'!D121*(1+'Other Assumptions'!H$54)</f>
        <v>0</v>
      </c>
      <c r="E121" s="4">
        <f ca="1">E165*'Total Duration Tables Sup #1'!E121*(1+'Other Assumptions'!I$54)</f>
        <v>0</v>
      </c>
      <c r="F121" s="4">
        <f ca="1">F165*'Total Duration Tables Sup #1'!F121*(1+'Other Assumptions'!J$54)</f>
        <v>0</v>
      </c>
      <c r="G121" s="4">
        <f ca="1">G165*'Total Duration Tables Sup #1'!G121*(1+'Other Assumptions'!K$54)</f>
        <v>0</v>
      </c>
      <c r="H121" s="4">
        <f ca="1">H165*'Total Duration Tables Sup #1'!H121*(1+'Other Assumptions'!L$54)</f>
        <v>0</v>
      </c>
      <c r="I121" s="4">
        <f ca="1">I165*'Total Duration Tables Sup #1'!I121*(1+'Other Assumptions'!M$54)</f>
        <v>0</v>
      </c>
      <c r="J121" s="4">
        <f ca="1">J165*'Total Duration Tables Sup #1'!J121*(1+'Other Assumptions'!N$54)</f>
        <v>0</v>
      </c>
      <c r="K121" s="4">
        <f ca="1">K165*'Total Duration Tables Sup #1'!K121*(1+'Other Assumptions'!O$54)</f>
        <v>0</v>
      </c>
    </row>
    <row r="122" spans="1:11" x14ac:dyDescent="0.2">
      <c r="A122" t="str">
        <f ca="1">OFFSET(West_Coast_Reference,42,2)</f>
        <v>Local Bus</v>
      </c>
      <c r="B122" s="4">
        <f ca="1">B166*'Total Duration Tables Sup #1'!B122*(1+'Other Assumptions'!D$54)</f>
        <v>0.18249519829999999</v>
      </c>
      <c r="C122" s="4">
        <f ca="1">C166*'Total Duration Tables Sup #1'!C122*(1+'Other Assumptions'!G$54)</f>
        <v>0.16549966792884804</v>
      </c>
      <c r="D122" s="4">
        <f ca="1">D166*'Total Duration Tables Sup #1'!D122*(1+'Other Assumptions'!H$54)</f>
        <v>0.15630140442334667</v>
      </c>
      <c r="E122" s="4">
        <f ca="1">E166*'Total Duration Tables Sup #1'!E122*(1+'Other Assumptions'!I$54)</f>
        <v>0.14907823336573597</v>
      </c>
      <c r="F122" s="4">
        <f ca="1">F166*'Total Duration Tables Sup #1'!F122*(1+'Other Assumptions'!J$54)</f>
        <v>0.14021492787392995</v>
      </c>
      <c r="G122" s="4">
        <f ca="1">G166*'Total Duration Tables Sup #1'!G122*(1+'Other Assumptions'!K$54)</f>
        <v>0.13241054039892755</v>
      </c>
      <c r="H122" s="4">
        <f ca="1">H166*'Total Duration Tables Sup #1'!H122*(1+'Other Assumptions'!L$54)</f>
        <v>0.12456282107340612</v>
      </c>
      <c r="I122" s="4">
        <f ca="1">I166*'Total Duration Tables Sup #1'!I122*(1+'Other Assumptions'!M$54)</f>
        <v>0.12151724617806406</v>
      </c>
      <c r="J122" s="4">
        <f ca="1">J166*'Total Duration Tables Sup #1'!J122*(1+'Other Assumptions'!N$54)</f>
        <v>0.11816845263411052</v>
      </c>
      <c r="K122" s="4">
        <f ca="1">K166*'Total Duration Tables Sup #1'!K122*(1+'Other Assumptions'!O$54)</f>
        <v>0.11466459079993734</v>
      </c>
    </row>
    <row r="123" spans="1:11" x14ac:dyDescent="0.2">
      <c r="A123" t="str">
        <f ca="1">OFFSET(Wellington_Reference,56,2)</f>
        <v>Local Ferry</v>
      </c>
      <c r="B123" s="4">
        <f ca="1">B167*'Total Duration Tables Sup #1'!B123*(1+'Other Assumptions'!D$54)</f>
        <v>0</v>
      </c>
      <c r="C123" s="4">
        <f ca="1">C167*'Total Duration Tables Sup #1'!C123*(1+'Other Assumptions'!G$54)</f>
        <v>0</v>
      </c>
      <c r="D123" s="4">
        <f ca="1">D167*'Total Duration Tables Sup #1'!D123*(1+'Other Assumptions'!H$54)</f>
        <v>0</v>
      </c>
      <c r="E123" s="4">
        <f ca="1">E167*'Total Duration Tables Sup #1'!E123*(1+'Other Assumptions'!I$54)</f>
        <v>0</v>
      </c>
      <c r="F123" s="4">
        <f ca="1">F167*'Total Duration Tables Sup #1'!F123*(1+'Other Assumptions'!J$54)</f>
        <v>0</v>
      </c>
      <c r="G123" s="4">
        <f ca="1">G167*'Total Duration Tables Sup #1'!G123*(1+'Other Assumptions'!K$54)</f>
        <v>0</v>
      </c>
      <c r="H123" s="4">
        <f ca="1">H167*'Total Duration Tables Sup #1'!H123*(1+'Other Assumptions'!L$54)</f>
        <v>0</v>
      </c>
      <c r="I123" s="4">
        <f ca="1">I167*'Total Duration Tables Sup #1'!I123*(1+'Other Assumptions'!M$54)</f>
        <v>0</v>
      </c>
      <c r="J123" s="4">
        <f ca="1">J167*'Total Duration Tables Sup #1'!J123*(1+'Other Assumptions'!N$54)</f>
        <v>0</v>
      </c>
      <c r="K123" s="4">
        <f ca="1">K167*'Total Duration Tables Sup #1'!K123*(1+'Other Assumptions'!O$54)</f>
        <v>0</v>
      </c>
    </row>
    <row r="124" spans="1:11" x14ac:dyDescent="0.2">
      <c r="A124" t="str">
        <f ca="1">OFFSET(West_Coast_Reference,49,2)</f>
        <v>Other Household Travel</v>
      </c>
      <c r="B124" s="4">
        <f ca="1">B168*'Total Duration Tables Sup #1'!B124*(1+'Other Assumptions'!D$54)</f>
        <v>3.6766106000000001E-3</v>
      </c>
      <c r="C124" s="4">
        <f ca="1">C168*'Total Duration Tables Sup #1'!C124*(1+'Other Assumptions'!G$54)</f>
        <v>3.6571473480275477E-3</v>
      </c>
      <c r="D124" s="4">
        <f ca="1">D168*'Total Duration Tables Sup #1'!D124*(1+'Other Assumptions'!H$54)</f>
        <v>3.6851847943078745E-3</v>
      </c>
      <c r="E124" s="4">
        <f ca="1">E168*'Total Duration Tables Sup #1'!E124*(1+'Other Assumptions'!I$54)</f>
        <v>3.6330840945466036E-3</v>
      </c>
      <c r="F124" s="4">
        <f ca="1">F168*'Total Duration Tables Sup #1'!F124*(1+'Other Assumptions'!J$54)</f>
        <v>3.5467788353164857E-3</v>
      </c>
      <c r="G124" s="4">
        <f ca="1">G168*'Total Duration Tables Sup #1'!G124*(1+'Other Assumptions'!K$54)</f>
        <v>3.4651972547261795E-3</v>
      </c>
      <c r="H124" s="4">
        <f ca="1">H168*'Total Duration Tables Sup #1'!H124*(1+'Other Assumptions'!L$54)</f>
        <v>3.360622213307398E-3</v>
      </c>
      <c r="I124" s="4">
        <f ca="1">I168*'Total Duration Tables Sup #1'!I124*(1+'Other Assumptions'!M$54)</f>
        <v>3.2667858666914264E-3</v>
      </c>
      <c r="J124" s="4">
        <f ca="1">J168*'Total Duration Tables Sup #1'!J124*(1+'Other Assumptions'!N$54)</f>
        <v>3.1656113732573066E-3</v>
      </c>
      <c r="K124" s="4">
        <f ca="1">K168*'Total Duration Tables Sup #1'!K124*(1+'Other Assumptions'!O$54)</f>
        <v>3.0611238261723465E-3</v>
      </c>
    </row>
    <row r="125" spans="1:11" x14ac:dyDescent="0.2">
      <c r="A125" t="str">
        <f ca="1">OFFSET(Canterbury_Reference,0,0)</f>
        <v>13 CANTERBURY</v>
      </c>
      <c r="B125" s="4"/>
    </row>
    <row r="126" spans="1:11" x14ac:dyDescent="0.2">
      <c r="A126" t="str">
        <f ca="1">OFFSET(Canterbury_Reference,0,2)</f>
        <v>Pedestrian</v>
      </c>
      <c r="B126" s="4">
        <f ca="1">B159*'Total Duration Tables Sup #1'!B126*(1+'Other Assumptions'!D$55)*(1+'Active Mode Assumptions'!B11)</f>
        <v>27.07651954</v>
      </c>
      <c r="C126" s="4">
        <f ca="1">C159*'Total Duration Tables Sup #1'!C126*(1+'Other Assumptions'!G$55)*(1+'Active Mode Assumptions'!C11)</f>
        <v>29.832592452397847</v>
      </c>
      <c r="D126" s="4">
        <f ca="1">D159*'Total Duration Tables Sup #1'!D126*(1+'Other Assumptions'!H$55)*(1+'Active Mode Assumptions'!D11)</f>
        <v>32.721450062911558</v>
      </c>
      <c r="E126" s="4">
        <f ca="1">E159*'Total Duration Tables Sup #1'!E126*(1+'Other Assumptions'!I$55)*(1+'Active Mode Assumptions'!E11)</f>
        <v>35.032197737681884</v>
      </c>
      <c r="F126" s="4">
        <f ca="1">F159*'Total Duration Tables Sup #1'!F126*(1+'Other Assumptions'!J$55)*(1+'Active Mode Assumptions'!F11)</f>
        <v>37.064428035596457</v>
      </c>
      <c r="G126" s="4">
        <f ca="1">G159*'Total Duration Tables Sup #1'!G126*(1+'Other Assumptions'!K$55)*(1+'Active Mode Assumptions'!G11)</f>
        <v>38.979109756640426</v>
      </c>
      <c r="H126" s="4">
        <f ca="1">H159*'Total Duration Tables Sup #1'!H126*(1+'Other Assumptions'!L$55)*(1+'Active Mode Assumptions'!H11)</f>
        <v>40.773476991209947</v>
      </c>
      <c r="I126" s="4">
        <f ca="1">I159*'Total Duration Tables Sup #1'!I126*(1+'Other Assumptions'!M$55)*(1+'Active Mode Assumptions'!I11)</f>
        <v>42.094355435328751</v>
      </c>
      <c r="J126" s="4">
        <f ca="1">J159*'Total Duration Tables Sup #1'!J126*(1+'Other Assumptions'!N$55)*(1+'Active Mode Assumptions'!J11)</f>
        <v>43.323992903964381</v>
      </c>
      <c r="K126" s="4">
        <f ca="1">K159*'Total Duration Tables Sup #1'!K126*(1+'Other Assumptions'!O$55)*(1+'Active Mode Assumptions'!K11)</f>
        <v>44.498056097172132</v>
      </c>
    </row>
    <row r="127" spans="1:11" x14ac:dyDescent="0.2">
      <c r="A127" t="str">
        <f ca="1">OFFSET(Canterbury_Reference,7,2)</f>
        <v>Cyclist</v>
      </c>
      <c r="B127" s="4">
        <f ca="1">B160*'Total Duration Tables Sup #1'!B127*(1+'Other Assumptions'!D$55)*(1+'Active Mode Assumptions'!B20)</f>
        <v>7.2445897615000003</v>
      </c>
      <c r="C127" s="4">
        <f ca="1">C160*'Total Duration Tables Sup #1'!C127*(1+'Other Assumptions'!G$55)*(1+'Active Mode Assumptions'!C20)</f>
        <v>8.20044985602037</v>
      </c>
      <c r="D127" s="4">
        <f ca="1">D160*'Total Duration Tables Sup #1'!D127*(1+'Other Assumptions'!H$55)*(1+'Active Mode Assumptions'!D20)</f>
        <v>10.501778614741024</v>
      </c>
      <c r="E127" s="4">
        <f ca="1">E160*'Total Duration Tables Sup #1'!E127*(1+'Other Assumptions'!I$55)*(1+'Active Mode Assumptions'!E20)</f>
        <v>12.701385112020823</v>
      </c>
      <c r="F127" s="4">
        <f ca="1">F160*'Total Duration Tables Sup #1'!F127*(1+'Other Assumptions'!J$55)*(1+'Active Mode Assumptions'!F20)</f>
        <v>15.141685545198342</v>
      </c>
      <c r="G127" s="4">
        <f ca="1">G160*'Total Duration Tables Sup #1'!G127*(1+'Other Assumptions'!K$55)*(1+'Active Mode Assumptions'!G20)</f>
        <v>17.916244503165665</v>
      </c>
      <c r="H127" s="4">
        <f ca="1">H160*'Total Duration Tables Sup #1'!H127*(1+'Other Assumptions'!L$55)*(1+'Active Mode Assumptions'!H20)</f>
        <v>20.914417710078673</v>
      </c>
      <c r="I127" s="4">
        <f ca="1">I160*'Total Duration Tables Sup #1'!I127*(1+'Other Assumptions'!M$55)*(1+'Active Mode Assumptions'!I20)</f>
        <v>21.609951889408087</v>
      </c>
      <c r="J127" s="4">
        <f ca="1">J160*'Total Duration Tables Sup #1'!J127*(1+'Other Assumptions'!N$55)*(1+'Active Mode Assumptions'!J20)</f>
        <v>22.259594424038614</v>
      </c>
      <c r="K127" s="4">
        <f ca="1">K160*'Total Duration Tables Sup #1'!K127*(1+'Other Assumptions'!O$55)*(1+'Active Mode Assumptions'!K20)</f>
        <v>22.881573449243056</v>
      </c>
    </row>
    <row r="128" spans="1:11" x14ac:dyDescent="0.2">
      <c r="A128" t="str">
        <f ca="1">OFFSET(Canterbury_Reference,14,2)</f>
        <v>Light Vehicle Driver</v>
      </c>
      <c r="B128" s="4">
        <f ca="1">B161*'Total Duration Tables Sup #1'!B128*(1+'Other Assumptions'!D$55)-(B126*'Active Mode Assumptions'!B11*'Active Mode Assumptions'!B14/(1+'Active Mode Assumptions'!B11))-(B127*'Active Mode Assumptions'!B20*'Active Mode Assumptions'!B23/(1+'Active Mode Assumptions'!B20))</f>
        <v>111.06814274</v>
      </c>
      <c r="C128" s="4">
        <f ca="1">C161*'Total Duration Tables Sup #1'!C128*(1+'Other Assumptions'!G$55)-(C126*'Active Mode Assumptions'!C11*'Active Mode Assumptions'!C14/(1+'Active Mode Assumptions'!C11))-(C127*'Active Mode Assumptions'!C20*'Active Mode Assumptions'!C23/(1+'Active Mode Assumptions'!C20))</f>
        <v>126.62216403427196</v>
      </c>
      <c r="D128" s="4">
        <f ca="1">D161*'Total Duration Tables Sup #1'!D128*(1+'Other Assumptions'!H$55)-(D126*'Active Mode Assumptions'!D11*'Active Mode Assumptions'!D14/(1+'Active Mode Assumptions'!D11))-(D127*'Active Mode Assumptions'!D20*'Active Mode Assumptions'!D23/(1+'Active Mode Assumptions'!D20))</f>
        <v>135.61551805763241</v>
      </c>
      <c r="E128" s="4">
        <f ca="1">E161*'Total Duration Tables Sup #1'!E128*(1+'Other Assumptions'!I$55)-(E126*'Active Mode Assumptions'!E11*'Active Mode Assumptions'!E14/(1+'Active Mode Assumptions'!E11))-(E127*'Active Mode Assumptions'!E20*'Active Mode Assumptions'!E23/(1+'Active Mode Assumptions'!E20))</f>
        <v>143.09819579287219</v>
      </c>
      <c r="F128" s="4">
        <f ca="1">F161*'Total Duration Tables Sup #1'!F128*(1+'Other Assumptions'!J$55)-(F126*'Active Mode Assumptions'!F11*'Active Mode Assumptions'!F14/(1+'Active Mode Assumptions'!F11))-(F127*'Active Mode Assumptions'!F20*'Active Mode Assumptions'!F23/(1+'Active Mode Assumptions'!F20))</f>
        <v>149.99593880703242</v>
      </c>
      <c r="G128" s="4">
        <f ca="1">G161*'Total Duration Tables Sup #1'!G128*(1+'Other Assumptions'!K$55)-(G126*'Active Mode Assumptions'!G11*'Active Mode Assumptions'!G14/(1+'Active Mode Assumptions'!G11))-(G127*'Active Mode Assumptions'!G20*'Active Mode Assumptions'!G23/(1+'Active Mode Assumptions'!G20))</f>
        <v>155.42454747013755</v>
      </c>
      <c r="H128" s="4">
        <f ca="1">H161*'Total Duration Tables Sup #1'!H128*(1+'Other Assumptions'!L$55)-(H126*'Active Mode Assumptions'!H11*'Active Mode Assumptions'!H14/(1+'Active Mode Assumptions'!H11))-(H127*'Active Mode Assumptions'!H20*'Active Mode Assumptions'!H23/(1+'Active Mode Assumptions'!H20))</f>
        <v>160.15412911810066</v>
      </c>
      <c r="I128" s="4">
        <f ca="1">I161*'Total Duration Tables Sup #1'!I128*(1+'Other Assumptions'!M$55)-(I126*'Active Mode Assumptions'!I11*'Active Mode Assumptions'!I14/(1+'Active Mode Assumptions'!I11))-(I127*'Active Mode Assumptions'!I20*'Active Mode Assumptions'!I23/(1+'Active Mode Assumptions'!I20))</f>
        <v>165.43391019389574</v>
      </c>
      <c r="J128" s="4">
        <f ca="1">J161*'Total Duration Tables Sup #1'!J128*(1+'Other Assumptions'!N$55)-(J126*'Active Mode Assumptions'!J11*'Active Mode Assumptions'!J14/(1+'Active Mode Assumptions'!J11))-(J127*'Active Mode Assumptions'!J20*'Active Mode Assumptions'!J23/(1+'Active Mode Assumptions'!J20))</f>
        <v>170.35977645756017</v>
      </c>
      <c r="K128" s="4">
        <f ca="1">K161*'Total Duration Tables Sup #1'!K128*(1+'Other Assumptions'!O$55)-(K126*'Active Mode Assumptions'!K11*'Active Mode Assumptions'!K14/(1+'Active Mode Assumptions'!K11))-(K127*'Active Mode Assumptions'!K20*'Active Mode Assumptions'!K23/(1+'Active Mode Assumptions'!K20))</f>
        <v>175.07144466223374</v>
      </c>
    </row>
    <row r="129" spans="1:11" x14ac:dyDescent="0.2">
      <c r="A129" t="str">
        <f ca="1">OFFSET(Canterbury_Reference,21,2)</f>
        <v>Light Vehicle Passenger</v>
      </c>
      <c r="B129" s="4">
        <f ca="1">B162*'Total Duration Tables Sup #1'!B129*(1+'Other Assumptions'!D$55)-(B126*'Active Mode Assumptions'!B11*'Active Mode Assumptions'!B15/(1+'Active Mode Assumptions'!B11))-(B127*'Active Mode Assumptions'!B20*'Active Mode Assumptions'!B24/(1+'Active Mode Assumptions'!B20))</f>
        <v>53.544276449999998</v>
      </c>
      <c r="C129" s="4">
        <f ca="1">C162*'Total Duration Tables Sup #1'!C129*(1+'Other Assumptions'!G$55)-(C126*'Active Mode Assumptions'!C11*'Active Mode Assumptions'!C15/(1+'Active Mode Assumptions'!C11))-(C127*'Active Mode Assumptions'!C20*'Active Mode Assumptions'!C24/(1+'Active Mode Assumptions'!C20))</f>
        <v>58.550101894095832</v>
      </c>
      <c r="D129" s="4">
        <f ca="1">D162*'Total Duration Tables Sup #1'!D129*(1+'Other Assumptions'!H$55)-(D126*'Active Mode Assumptions'!D11*'Active Mode Assumptions'!D15/(1+'Active Mode Assumptions'!D11))-(D127*'Active Mode Assumptions'!D20*'Active Mode Assumptions'!D24/(1+'Active Mode Assumptions'!D20))</f>
        <v>60.871597109239381</v>
      </c>
      <c r="E129" s="4">
        <f ca="1">E162*'Total Duration Tables Sup #1'!E129*(1+'Other Assumptions'!I$55)-(E126*'Active Mode Assumptions'!E11*'Active Mode Assumptions'!E15/(1+'Active Mode Assumptions'!E11))-(E127*'Active Mode Assumptions'!E20*'Active Mode Assumptions'!E24/(1+'Active Mode Assumptions'!E20))</f>
        <v>62.337165423732472</v>
      </c>
      <c r="F129" s="4">
        <f ca="1">F162*'Total Duration Tables Sup #1'!F129*(1+'Other Assumptions'!J$55)-(F126*'Active Mode Assumptions'!F11*'Active Mode Assumptions'!F15/(1+'Active Mode Assumptions'!F11))-(F127*'Active Mode Assumptions'!F20*'Active Mode Assumptions'!F24/(1+'Active Mode Assumptions'!F20))</f>
        <v>63.346115056081828</v>
      </c>
      <c r="G129" s="4">
        <f ca="1">G162*'Total Duration Tables Sup #1'!G129*(1+'Other Assumptions'!K$55)-(G126*'Active Mode Assumptions'!G11*'Active Mode Assumptions'!G15/(1+'Active Mode Assumptions'!G11))-(G127*'Active Mode Assumptions'!G20*'Active Mode Assumptions'!G24/(1+'Active Mode Assumptions'!G20))</f>
        <v>63.88058276210387</v>
      </c>
      <c r="H129" s="4">
        <f ca="1">H162*'Total Duration Tables Sup #1'!H129*(1+'Other Assumptions'!L$55)-(H126*'Active Mode Assumptions'!H11*'Active Mode Assumptions'!H15/(1+'Active Mode Assumptions'!H11))-(H127*'Active Mode Assumptions'!H20*'Active Mode Assumptions'!H24/(1+'Active Mode Assumptions'!H20))</f>
        <v>64.01801425339346</v>
      </c>
      <c r="I129" s="4">
        <f ca="1">I162*'Total Duration Tables Sup #1'!I129*(1+'Other Assumptions'!M$55)-(I126*'Active Mode Assumptions'!I11*'Active Mode Assumptions'!I15/(1+'Active Mode Assumptions'!I11))-(I127*'Active Mode Assumptions'!I20*'Active Mode Assumptions'!I24/(1+'Active Mode Assumptions'!I20))</f>
        <v>66.169769795801486</v>
      </c>
      <c r="J129" s="4">
        <f ca="1">J162*'Total Duration Tables Sup #1'!J129*(1+'Other Assumptions'!N$55)-(J126*'Active Mode Assumptions'!J11*'Active Mode Assumptions'!J15/(1+'Active Mode Assumptions'!J11))-(J127*'Active Mode Assumptions'!J20*'Active Mode Assumptions'!J24/(1+'Active Mode Assumptions'!J20))</f>
        <v>68.182286409596827</v>
      </c>
      <c r="K129" s="4">
        <f ca="1">K162*'Total Duration Tables Sup #1'!K129*(1+'Other Assumptions'!O$55)-(K126*'Active Mode Assumptions'!K11*'Active Mode Assumptions'!K15/(1+'Active Mode Assumptions'!K11))-(K127*'Active Mode Assumptions'!K20*'Active Mode Assumptions'!K24/(1+'Active Mode Assumptions'!K20))</f>
        <v>70.111212518436574</v>
      </c>
    </row>
    <row r="130" spans="1:11" x14ac:dyDescent="0.2">
      <c r="A130" t="str">
        <f ca="1">OFFSET(Canterbury_Reference,28,2)</f>
        <v>Taxi/Vehicle Share</v>
      </c>
      <c r="B130" s="4">
        <f ca="1">B163*'Total Duration Tables Sup #1'!B130*(1+'Other Assumptions'!D$55)</f>
        <v>0.86554787379999998</v>
      </c>
      <c r="C130" s="4">
        <f ca="1">C163*'Total Duration Tables Sup #1'!C130*(1+'Other Assumptions'!G$55)</f>
        <v>1.0255045130832454</v>
      </c>
      <c r="D130" s="4">
        <f ca="1">D163*'Total Duration Tables Sup #1'!D130*(1+'Other Assumptions'!H$55)</f>
        <v>1.1487571402289298</v>
      </c>
      <c r="E130" s="4">
        <f ca="1">E163*'Total Duration Tables Sup #1'!E130*(1+'Other Assumptions'!I$55)</f>
        <v>1.2515469434096287</v>
      </c>
      <c r="F130" s="4">
        <f ca="1">F163*'Total Duration Tables Sup #1'!F130*(1+'Other Assumptions'!J$55)</f>
        <v>1.3423601819818416</v>
      </c>
      <c r="G130" s="4">
        <f ca="1">G163*'Total Duration Tables Sup #1'!G130*(1+'Other Assumptions'!K$55)</f>
        <v>1.4095946752132749</v>
      </c>
      <c r="H130" s="4">
        <f ca="1">H163*'Total Duration Tables Sup #1'!H130*(1+'Other Assumptions'!L$55)</f>
        <v>1.47130294306687</v>
      </c>
      <c r="I130" s="4">
        <f ca="1">I163*'Total Duration Tables Sup #1'!I130*(1+'Other Assumptions'!M$55)</f>
        <v>1.5161178278464396</v>
      </c>
      <c r="J130" s="4">
        <f ca="1">J163*'Total Duration Tables Sup #1'!J130*(1+'Other Assumptions'!N$55)</f>
        <v>1.5574720608993591</v>
      </c>
      <c r="K130" s="4">
        <f ca="1">K163*'Total Duration Tables Sup #1'!K130*(1+'Other Assumptions'!O$55)</f>
        <v>1.5966665469690793</v>
      </c>
    </row>
    <row r="131" spans="1:11" x14ac:dyDescent="0.2">
      <c r="A131" t="str">
        <f ca="1">OFFSET(Canterbury_Reference,35,2)</f>
        <v>Motorcyclist</v>
      </c>
      <c r="B131" s="4">
        <f ca="1">B164*'Total Duration Tables Sup #1'!B131*(1+'Other Assumptions'!D$55)</f>
        <v>0.39288238580000001</v>
      </c>
      <c r="C131" s="4">
        <f ca="1">C164*'Total Duration Tables Sup #1'!C131*(1+'Other Assumptions'!G$55)</f>
        <v>0.44353769796487935</v>
      </c>
      <c r="D131" s="4">
        <f ca="1">D164*'Total Duration Tables Sup #1'!D131*(1+'Other Assumptions'!H$55)</f>
        <v>0.47314306625115965</v>
      </c>
      <c r="E131" s="4">
        <f ca="1">E164*'Total Duration Tables Sup #1'!E131*(1+'Other Assumptions'!I$55)</f>
        <v>0.49436477578946048</v>
      </c>
      <c r="F131" s="4">
        <f ca="1">F164*'Total Duration Tables Sup #1'!F131*(1+'Other Assumptions'!J$55)</f>
        <v>0.51313269824013485</v>
      </c>
      <c r="G131" s="4">
        <f ca="1">G164*'Total Duration Tables Sup #1'!G131*(1+'Other Assumptions'!K$55)</f>
        <v>0.52442900251527891</v>
      </c>
      <c r="H131" s="4">
        <f ca="1">H164*'Total Duration Tables Sup #1'!H131*(1+'Other Assumptions'!L$55)</f>
        <v>0.53262143253417404</v>
      </c>
      <c r="I131" s="4">
        <f ca="1">I164*'Total Duration Tables Sup #1'!I131*(1+'Other Assumptions'!M$55)</f>
        <v>0.55238532409378394</v>
      </c>
      <c r="J131" s="4">
        <f ca="1">J164*'Total Duration Tables Sup #1'!J131*(1+'Other Assumptions'!N$55)</f>
        <v>0.57111103483171843</v>
      </c>
      <c r="K131" s="4">
        <f ca="1">K164*'Total Duration Tables Sup #1'!K131*(1+'Other Assumptions'!O$55)</f>
        <v>0.58925391434889429</v>
      </c>
    </row>
    <row r="132" spans="1:11" x14ac:dyDescent="0.2">
      <c r="A132" t="str">
        <f ca="1">OFFSET(Canterbury_Reference,42,2)</f>
        <v>Local Train</v>
      </c>
      <c r="B132" s="4">
        <f ca="1">B165*'Total Duration Tables Sup #1'!B132*(1+'Other Assumptions'!D$55)</f>
        <v>7.3004144E-3</v>
      </c>
      <c r="C132" s="4">
        <f ca="1">C165*'Total Duration Tables Sup #1'!C132*(1+'Other Assumptions'!G$55)</f>
        <v>7.714898098765275E-3</v>
      </c>
      <c r="D132" s="4">
        <f ca="1">D165*'Total Duration Tables Sup #1'!D132*(1+'Other Assumptions'!H$55)</f>
        <v>6.6980993714314567E-3</v>
      </c>
      <c r="E132" s="4">
        <f ca="1">E165*'Total Duration Tables Sup #1'!E132*(1+'Other Assumptions'!I$55)</f>
        <v>6.2704912010499757E-3</v>
      </c>
      <c r="F132" s="4">
        <f ca="1">F165*'Total Duration Tables Sup #1'!F132*(1+'Other Assumptions'!J$55)</f>
        <v>5.9874154298431952E-3</v>
      </c>
      <c r="G132" s="4">
        <f ca="1">G165*'Total Duration Tables Sup #1'!G132*(1+'Other Assumptions'!K$55)</f>
        <v>5.0785029739060846E-3</v>
      </c>
      <c r="H132" s="4">
        <f ca="1">H165*'Total Duration Tables Sup #1'!H132*(1+'Other Assumptions'!L$55)</f>
        <v>4.2254446379992186E-3</v>
      </c>
      <c r="I132" s="4">
        <f ca="1">I165*'Total Duration Tables Sup #1'!I132*(1+'Other Assumptions'!M$55)</f>
        <v>4.2117194797663066E-3</v>
      </c>
      <c r="J132" s="4">
        <f ca="1">J165*'Total Duration Tables Sup #1'!J132*(1+'Other Assumptions'!N$55)</f>
        <v>4.1983164718549732E-3</v>
      </c>
      <c r="K132" s="4">
        <f ca="1">K165*'Total Duration Tables Sup #1'!K132*(1+'Other Assumptions'!O$55)</f>
        <v>4.1852165034848504E-3</v>
      </c>
    </row>
    <row r="133" spans="1:11" x14ac:dyDescent="0.2">
      <c r="A133" t="str">
        <f ca="1">OFFSET(Canterbury_Reference,49,2)</f>
        <v>Local Bus</v>
      </c>
      <c r="B133" s="4">
        <f ca="1">'Total Duration Tables Sup #1'!B133*(1+'Other Assumptions'!D$55)</f>
        <v>7.9805750329</v>
      </c>
      <c r="C133" s="4">
        <f ca="1">'Total Duration Tables Sup #1'!C133*(1+'Other Assumptions'!G$55)</f>
        <v>8.1563774540999994</v>
      </c>
      <c r="D133" s="4">
        <f ca="1">'Total Duration Tables Sup #1'!D133*(1+'Other Assumptions'!H$55)</f>
        <v>8.1004967627000006</v>
      </c>
      <c r="E133" s="4">
        <f ca="1">'Total Duration Tables Sup #1'!E133*(1+'Other Assumptions'!I$55)</f>
        <v>8.0592093902999995</v>
      </c>
      <c r="F133" s="4">
        <f ca="1">'Total Duration Tables Sup #1'!F133*(1+'Other Assumptions'!J$55)</f>
        <v>7.8463710917</v>
      </c>
      <c r="G133" s="4">
        <f ca="1">'Total Duration Tables Sup #1'!G133*(1+'Other Assumptions'!K$55)</f>
        <v>7.6404426641000001</v>
      </c>
      <c r="H133" s="4">
        <f ca="1">'Total Duration Tables Sup #1'!H133*(1+'Other Assumptions'!L$55)</f>
        <v>7.4053767446999998</v>
      </c>
      <c r="I133" s="4">
        <f ca="1">'Total Duration Tables Sup #1'!I133*(1+'Other Assumptions'!M$55)</f>
        <v>7.4053767446999998</v>
      </c>
      <c r="J133" s="4">
        <f ca="1">'Total Duration Tables Sup #1'!J133*(1+'Other Assumptions'!N$55)</f>
        <v>7.4053767446999998</v>
      </c>
      <c r="K133" s="4">
        <f ca="1">'Total Duration Tables Sup #1'!K133*(1+'Other Assumptions'!O$55)</f>
        <v>7.4053767446999998</v>
      </c>
    </row>
    <row r="134" spans="1:11" x14ac:dyDescent="0.2">
      <c r="A134" t="str">
        <f ca="1">OFFSET(Wellington_Reference,56,2)</f>
        <v>Local Ferry</v>
      </c>
      <c r="B134" s="4">
        <f ca="1">B167*'Total Duration Tables Sup #1'!B134*(1+'Other Assumptions'!D$55)</f>
        <v>0</v>
      </c>
      <c r="C134" s="4">
        <f ca="1">C167*'Total Duration Tables Sup #1'!C134*(1+'Other Assumptions'!G$55)</f>
        <v>0</v>
      </c>
      <c r="D134" s="4">
        <f ca="1">D167*'Total Duration Tables Sup #1'!D134*(1+'Other Assumptions'!H$55)</f>
        <v>0</v>
      </c>
      <c r="E134" s="4">
        <f ca="1">E167*'Total Duration Tables Sup #1'!E134*(1+'Other Assumptions'!I$55)</f>
        <v>0</v>
      </c>
      <c r="F134" s="4">
        <f ca="1">F167*'Total Duration Tables Sup #1'!F134*(1+'Other Assumptions'!J$55)</f>
        <v>0</v>
      </c>
      <c r="G134" s="4">
        <f ca="1">G167*'Total Duration Tables Sup #1'!G134*(1+'Other Assumptions'!K$55)</f>
        <v>0</v>
      </c>
      <c r="H134" s="4">
        <f ca="1">H167*'Total Duration Tables Sup #1'!H134*(1+'Other Assumptions'!L$55)</f>
        <v>0</v>
      </c>
      <c r="I134" s="4">
        <f ca="1">I167*'Total Duration Tables Sup #1'!I134*(1+'Other Assumptions'!M$55)</f>
        <v>0</v>
      </c>
      <c r="J134" s="4">
        <f ca="1">J167*'Total Duration Tables Sup #1'!J134*(1+'Other Assumptions'!N$55)</f>
        <v>0</v>
      </c>
      <c r="K134" s="4">
        <f ca="1">K167*'Total Duration Tables Sup #1'!K134*(1+'Other Assumptions'!O$55)</f>
        <v>0</v>
      </c>
    </row>
    <row r="135" spans="1:11" x14ac:dyDescent="0.2">
      <c r="A135" t="str">
        <f ca="1">OFFSET(Canterbury_Reference,56,2)</f>
        <v>Other Household Travel</v>
      </c>
      <c r="B135" s="4">
        <f ca="1">B168*'Total Duration Tables Sup #1'!B135*(1+'Other Assumptions'!D$55)</f>
        <v>0.91635513570000005</v>
      </c>
      <c r="C135" s="4">
        <f ca="1">C168*'Total Duration Tables Sup #1'!C135*(1+'Other Assumptions'!G$55)</f>
        <v>1.0390098948848445</v>
      </c>
      <c r="D135" s="4">
        <f ca="1">D168*'Total Duration Tables Sup #1'!D135*(1+'Other Assumptions'!H$55)</f>
        <v>1.1273362685590933</v>
      </c>
      <c r="E135" s="4">
        <f ca="1">E168*'Total Duration Tables Sup #1'!E135*(1+'Other Assumptions'!I$55)</f>
        <v>1.1816525265575935</v>
      </c>
      <c r="F135" s="4">
        <f ca="1">F168*'Total Duration Tables Sup #1'!F135*(1+'Other Assumptions'!J$55)</f>
        <v>1.2254807064842081</v>
      </c>
      <c r="G135" s="4">
        <f ca="1">G168*'Total Duration Tables Sup #1'!G135*(1+'Other Assumptions'!K$55)</f>
        <v>1.2717628039957214</v>
      </c>
      <c r="H135" s="4">
        <f ca="1">H168*'Total Duration Tables Sup #1'!H135*(1+'Other Assumptions'!L$55)</f>
        <v>1.3085805977754117</v>
      </c>
      <c r="I135" s="4">
        <f ca="1">I168*'Total Duration Tables Sup #1'!I135*(1+'Other Assumptions'!M$55)</f>
        <v>1.3497110410138857</v>
      </c>
      <c r="J135" s="4">
        <f ca="1">J168*'Total Duration Tables Sup #1'!J135*(1+'Other Assumptions'!N$55)</f>
        <v>1.3878834224688625</v>
      </c>
      <c r="K135" s="4">
        <f ca="1">K168*'Total Duration Tables Sup #1'!K135*(1+'Other Assumptions'!O$55)</f>
        <v>1.4242514712797265</v>
      </c>
    </row>
    <row r="136" spans="1:11" x14ac:dyDescent="0.2">
      <c r="A136" t="str">
        <f ca="1">OFFSET(Otago_Reference,0,0)</f>
        <v>14 OTAGO</v>
      </c>
    </row>
    <row r="137" spans="1:11" x14ac:dyDescent="0.2">
      <c r="A137" t="str">
        <f ca="1">OFFSET(Otago_Reference,0,2)</f>
        <v>Pedestrian</v>
      </c>
      <c r="B137" s="4">
        <f ca="1">B159*'Total Duration Tables Sup #1'!B137*(1+'Other Assumptions'!D$56)*(1+'Active Mode Assumptions'!B11)</f>
        <v>11.651603939999999</v>
      </c>
      <c r="C137" s="4">
        <f ca="1">C159*'Total Duration Tables Sup #1'!C137*(1+'Other Assumptions'!G$56)*(1+'Active Mode Assumptions'!C11)</f>
        <v>12.808963526259159</v>
      </c>
      <c r="D137" s="4">
        <f ca="1">D159*'Total Duration Tables Sup #1'!D137*(1+'Other Assumptions'!H$56)*(1+'Active Mode Assumptions'!D11)</f>
        <v>14.01166575102997</v>
      </c>
      <c r="E137" s="4">
        <f ca="1">E159*'Total Duration Tables Sup #1'!E137*(1+'Other Assumptions'!I$56)*(1+'Active Mode Assumptions'!E11)</f>
        <v>14.92707084468692</v>
      </c>
      <c r="F137" s="4">
        <f ca="1">F159*'Total Duration Tables Sup #1'!F137*(1+'Other Assumptions'!J$56)*(1+'Active Mode Assumptions'!F11)</f>
        <v>15.719575725962978</v>
      </c>
      <c r="G137" s="4">
        <f ca="1">G159*'Total Duration Tables Sup #1'!G137*(1+'Other Assumptions'!K$56)*(1+'Active Mode Assumptions'!G11)</f>
        <v>16.448545062404747</v>
      </c>
      <c r="H137" s="4">
        <f ca="1">H159*'Total Duration Tables Sup #1'!H137*(1+'Other Assumptions'!L$56)*(1+'Active Mode Assumptions'!H11)</f>
        <v>17.124845096123877</v>
      </c>
      <c r="I137" s="4">
        <f ca="1">I159*'Total Duration Tables Sup #1'!I137*(1+'Other Assumptions'!M$56)*(1+'Active Mode Assumptions'!I11)</f>
        <v>17.595599823449618</v>
      </c>
      <c r="J137" s="4">
        <f ca="1">J159*'Total Duration Tables Sup #1'!J137*(1+'Other Assumptions'!N$56)*(1+'Active Mode Assumptions'!J11)</f>
        <v>18.022753719859129</v>
      </c>
      <c r="K137" s="4">
        <f ca="1">K159*'Total Duration Tables Sup #1'!K137*(1+'Other Assumptions'!O$56)*(1+'Active Mode Assumptions'!K11)</f>
        <v>18.421728830700026</v>
      </c>
    </row>
    <row r="138" spans="1:11" x14ac:dyDescent="0.2">
      <c r="A138" t="str">
        <f ca="1">OFFSET(Otago_Reference,7,2)</f>
        <v>Cyclist</v>
      </c>
      <c r="B138" s="4">
        <f ca="1">B160*'Total Duration Tables Sup #1'!B138*(1+'Other Assumptions'!D$56)*(1+'Active Mode Assumptions'!B20)</f>
        <v>1.6089304994</v>
      </c>
      <c r="C138" s="4">
        <f ca="1">C160*'Total Duration Tables Sup #1'!C138*(1+'Other Assumptions'!G$56)*(1+'Active Mode Assumptions'!C20)</f>
        <v>1.817152110038375</v>
      </c>
      <c r="D138" s="4">
        <f ca="1">D160*'Total Duration Tables Sup #1'!D138*(1+'Other Assumptions'!H$56)*(1+'Active Mode Assumptions'!D20)</f>
        <v>2.320869374219273</v>
      </c>
      <c r="E138" s="4">
        <f ca="1">E160*'Total Duration Tables Sup #1'!E138*(1+'Other Assumptions'!I$56)*(1+'Active Mode Assumptions'!E20)</f>
        <v>2.7931155733788016</v>
      </c>
      <c r="F138" s="4">
        <f ca="1">F160*'Total Duration Tables Sup #1'!F138*(1+'Other Assumptions'!J$56)*(1+'Active Mode Assumptions'!F20)</f>
        <v>3.314273557320405</v>
      </c>
      <c r="G138" s="4">
        <f ca="1">G160*'Total Duration Tables Sup #1'!G138*(1+'Other Assumptions'!K$56)*(1+'Active Mode Assumptions'!G20)</f>
        <v>3.9018733185513801</v>
      </c>
      <c r="H138" s="4">
        <f ca="1">H160*'Total Duration Tables Sup #1'!H138*(1+'Other Assumptions'!L$56)*(1+'Active Mode Assumptions'!H20)</f>
        <v>4.5334130779195076</v>
      </c>
      <c r="I138" s="4">
        <f ca="1">I160*'Total Duration Tables Sup #1'!I138*(1+'Other Assumptions'!M$56)*(1+'Active Mode Assumptions'!I20)</f>
        <v>4.6619179326359381</v>
      </c>
      <c r="J138" s="4">
        <f ca="1">J160*'Total Duration Tables Sup #1'!J138*(1+'Other Assumptions'!N$56)*(1+'Active Mode Assumptions'!J20)</f>
        <v>4.7790385172986998</v>
      </c>
      <c r="K138" s="4">
        <f ca="1">K160*'Total Duration Tables Sup #1'!K138*(1+'Other Assumptions'!O$56)*(1+'Active Mode Assumptions'!K20)</f>
        <v>4.8888402121637231</v>
      </c>
    </row>
    <row r="139" spans="1:11" x14ac:dyDescent="0.2">
      <c r="A139" t="str">
        <f ca="1">OFFSET(Otago_Reference,14,2)</f>
        <v>Light Vehicle Driver</v>
      </c>
      <c r="B139" s="4">
        <f ca="1">B161*'Total Duration Tables Sup #1'!B139*(1+'Other Assumptions'!D$56)-(B137*'Active Mode Assumptions'!B11*'Active Mode Assumptions'!B14/(1+'Active Mode Assumptions'!B11))-(B138*'Active Mode Assumptions'!B20*'Active Mode Assumptions'!B23/(1+'Active Mode Assumptions'!B20))</f>
        <v>32.522387277</v>
      </c>
      <c r="C139" s="4">
        <f ca="1">C161*'Total Duration Tables Sup #1'!C139*(1+'Other Assumptions'!G$56)-(C137*'Active Mode Assumptions'!C11*'Active Mode Assumptions'!C14/(1+'Active Mode Assumptions'!C11))-(C138*'Active Mode Assumptions'!C20*'Active Mode Assumptions'!C23/(1+'Active Mode Assumptions'!C20))</f>
        <v>36.994124829237762</v>
      </c>
      <c r="D139" s="4">
        <f ca="1">D161*'Total Duration Tables Sup #1'!D139*(1+'Other Assumptions'!H$56)-(D137*'Active Mode Assumptions'!D11*'Active Mode Assumptions'!D14/(1+'Active Mode Assumptions'!D11))-(D138*'Active Mode Assumptions'!D20*'Active Mode Assumptions'!D23/(1+'Active Mode Assumptions'!D20))</f>
        <v>39.503169401889899</v>
      </c>
      <c r="E139" s="4">
        <f ca="1">E161*'Total Duration Tables Sup #1'!E139*(1+'Other Assumptions'!I$56)-(E137*'Active Mode Assumptions'!E11*'Active Mode Assumptions'!E14/(1+'Active Mode Assumptions'!E11))-(E138*'Active Mode Assumptions'!E20*'Active Mode Assumptions'!E23/(1+'Active Mode Assumptions'!E20))</f>
        <v>41.465011909734372</v>
      </c>
      <c r="F139" s="4">
        <f ca="1">F161*'Total Duration Tables Sup #1'!F139*(1+'Other Assumptions'!J$56)-(F137*'Active Mode Assumptions'!F11*'Active Mode Assumptions'!F14/(1+'Active Mode Assumptions'!F11))-(F138*'Active Mode Assumptions'!F20*'Active Mode Assumptions'!F23/(1+'Active Mode Assumptions'!F20))</f>
        <v>43.251959208902583</v>
      </c>
      <c r="G139" s="4">
        <f ca="1">G161*'Total Duration Tables Sup #1'!G139*(1+'Other Assumptions'!K$56)-(G137*'Active Mode Assumptions'!G11*'Active Mode Assumptions'!G14/(1+'Active Mode Assumptions'!G11))-(G138*'Active Mode Assumptions'!G20*'Active Mode Assumptions'!G23/(1+'Active Mode Assumptions'!G20))</f>
        <v>44.58562704871872</v>
      </c>
      <c r="H139" s="4">
        <f ca="1">H161*'Total Duration Tables Sup #1'!H139*(1+'Other Assumptions'!L$56)-(H137*'Active Mode Assumptions'!H11*'Active Mode Assumptions'!H14/(1+'Active Mode Assumptions'!H11))-(H138*'Active Mode Assumptions'!H20*'Active Mode Assumptions'!H23/(1+'Active Mode Assumptions'!H20))</f>
        <v>45.723111785754071</v>
      </c>
      <c r="I139" s="4">
        <f ca="1">I161*'Total Duration Tables Sup #1'!I139*(1+'Other Assumptions'!M$56)-(I137*'Active Mode Assumptions'!I11*'Active Mode Assumptions'!I14/(1+'Active Mode Assumptions'!I11))-(I138*'Active Mode Assumptions'!I20*'Active Mode Assumptions'!I23/(1+'Active Mode Assumptions'!I20))</f>
        <v>47.006201806736577</v>
      </c>
      <c r="J139" s="4">
        <f ca="1">J161*'Total Duration Tables Sup #1'!J139*(1+'Other Assumptions'!N$56)-(J137*'Active Mode Assumptions'!J11*'Active Mode Assumptions'!J14/(1+'Active Mode Assumptions'!J11))-(J138*'Active Mode Assumptions'!J20*'Active Mode Assumptions'!J23/(1+'Active Mode Assumptions'!J20))</f>
        <v>48.173900355130158</v>
      </c>
      <c r="K139" s="4">
        <f ca="1">K161*'Total Duration Tables Sup #1'!K139*(1+'Other Assumptions'!O$56)-(K137*'Active Mode Assumptions'!K11*'Active Mode Assumptions'!K14/(1+'Active Mode Assumptions'!K11))-(K138*'Active Mode Assumptions'!K20*'Active Mode Assumptions'!K23/(1+'Active Mode Assumptions'!K20))</f>
        <v>49.267257430077109</v>
      </c>
    </row>
    <row r="140" spans="1:11" x14ac:dyDescent="0.2">
      <c r="A140" t="str">
        <f ca="1">OFFSET(Otago_Reference,21,2)</f>
        <v>Light Vehicle Passenger</v>
      </c>
      <c r="B140" s="4">
        <f ca="1">B162*'Total Duration Tables Sup #1'!B140*(1+'Other Assumptions'!D$56)-(B137*'Active Mode Assumptions'!B11*'Active Mode Assumptions'!B15/(1+'Active Mode Assumptions'!B11))-(B138*'Active Mode Assumptions'!B20*'Active Mode Assumptions'!B24/(1+'Active Mode Assumptions'!B20))</f>
        <v>19.901766343999999</v>
      </c>
      <c r="C140" s="4">
        <f ca="1">C162*'Total Duration Tables Sup #1'!C140*(1+'Other Assumptions'!G$56)-(C137*'Active Mode Assumptions'!C11*'Active Mode Assumptions'!C15/(1+'Active Mode Assumptions'!C11))-(C138*'Active Mode Assumptions'!C20*'Active Mode Assumptions'!C24/(1+'Active Mode Assumptions'!C20))</f>
        <v>21.713825472407937</v>
      </c>
      <c r="D140" s="4">
        <f ca="1">D162*'Total Duration Tables Sup #1'!D140*(1+'Other Assumptions'!H$56)-(D137*'Active Mode Assumptions'!D11*'Active Mode Assumptions'!D15/(1+'Active Mode Assumptions'!D11))-(D138*'Active Mode Assumptions'!D20*'Active Mode Assumptions'!D24/(1+'Active Mode Assumptions'!D20))</f>
        <v>22.561039998648422</v>
      </c>
      <c r="E140" s="4">
        <f ca="1">E162*'Total Duration Tables Sup #1'!E140*(1+'Other Assumptions'!I$56)-(E137*'Active Mode Assumptions'!E11*'Active Mode Assumptions'!E15/(1+'Active Mode Assumptions'!E11))-(E138*'Active Mode Assumptions'!E20*'Active Mode Assumptions'!E24/(1+'Active Mode Assumptions'!E20))</f>
        <v>23.039185361275734</v>
      </c>
      <c r="F140" s="4">
        <f ca="1">F162*'Total Duration Tables Sup #1'!F140*(1+'Other Assumptions'!J$56)-(F137*'Active Mode Assumptions'!F11*'Active Mode Assumptions'!F15/(1+'Active Mode Assumptions'!F11))-(F138*'Active Mode Assumptions'!F20*'Active Mode Assumptions'!F24/(1+'Active Mode Assumptions'!F20))</f>
        <v>23.357336405726663</v>
      </c>
      <c r="G140" s="4">
        <f ca="1">G162*'Total Duration Tables Sup #1'!G140*(1+'Other Assumptions'!K$56)-(G137*'Active Mode Assumptions'!G11*'Active Mode Assumptions'!G15/(1+'Active Mode Assumptions'!G11))-(G138*'Active Mode Assumptions'!G20*'Active Mode Assumptions'!G24/(1+'Active Mode Assumptions'!G20))</f>
        <v>23.498357117417385</v>
      </c>
      <c r="H140" s="4">
        <f ca="1">H162*'Total Duration Tables Sup #1'!H140*(1+'Other Assumptions'!L$56)-(H137*'Active Mode Assumptions'!H11*'Active Mode Assumptions'!H15/(1+'Active Mode Assumptions'!H11))-(H138*'Active Mode Assumptions'!H20*'Active Mode Assumptions'!H24/(1+'Active Mode Assumptions'!H20))</f>
        <v>23.508486206617363</v>
      </c>
      <c r="I140" s="4">
        <f ca="1">I162*'Total Duration Tables Sup #1'!I140*(1+'Other Assumptions'!M$56)-(I137*'Active Mode Assumptions'!I11*'Active Mode Assumptions'!I15/(1+'Active Mode Assumptions'!I11))-(I138*'Active Mode Assumptions'!I20*'Active Mode Assumptions'!I24/(1+'Active Mode Assumptions'!I20))</f>
        <v>24.183162022028171</v>
      </c>
      <c r="J140" s="4">
        <f ca="1">J162*'Total Duration Tables Sup #1'!J140*(1+'Other Assumptions'!N$56)-(J137*'Active Mode Assumptions'!J11*'Active Mode Assumptions'!J15/(1+'Active Mode Assumptions'!J11))-(J138*'Active Mode Assumptions'!J20*'Active Mode Assumptions'!J24/(1+'Active Mode Assumptions'!J20))</f>
        <v>24.799171197703508</v>
      </c>
      <c r="K140" s="4">
        <f ca="1">K162*'Total Duration Tables Sup #1'!K140*(1+'Other Assumptions'!O$56)-(K137*'Active Mode Assumptions'!K11*'Active Mode Assumptions'!K15/(1+'Active Mode Assumptions'!K11))-(K138*'Active Mode Assumptions'!K20*'Active Mode Assumptions'!K24/(1+'Active Mode Assumptions'!K20))</f>
        <v>25.377535505523127</v>
      </c>
    </row>
    <row r="141" spans="1:11" x14ac:dyDescent="0.2">
      <c r="A141" t="str">
        <f ca="1">OFFSET(Otago_Reference,28,2)</f>
        <v>Taxi/Vehicle Share</v>
      </c>
      <c r="B141" s="4">
        <f ca="1">B163*'Total Duration Tables Sup #1'!B141*(1+'Other Assumptions'!D$56)</f>
        <v>0.23496676969999999</v>
      </c>
      <c r="C141" s="4">
        <f ca="1">C163*'Total Duration Tables Sup #1'!C141*(1+'Other Assumptions'!G$56)</f>
        <v>0.2777685342718807</v>
      </c>
      <c r="D141" s="4">
        <f ca="1">D163*'Total Duration Tables Sup #1'!D141*(1+'Other Assumptions'!H$56)</f>
        <v>0.31031868660861078</v>
      </c>
      <c r="E141" s="4">
        <f ca="1">E163*'Total Duration Tables Sup #1'!E141*(1+'Other Assumptions'!I$56)</f>
        <v>0.33641614640440692</v>
      </c>
      <c r="F141" s="4">
        <f ca="1">F163*'Total Duration Tables Sup #1'!F141*(1+'Other Assumptions'!J$56)</f>
        <v>0.35914932640881231</v>
      </c>
      <c r="G141" s="4">
        <f ca="1">G163*'Total Duration Tables Sup #1'!G141*(1+'Other Assumptions'!K$56)</f>
        <v>0.37524274198027191</v>
      </c>
      <c r="H141" s="4">
        <f ca="1">H163*'Total Duration Tables Sup #1'!H141*(1+'Other Assumptions'!L$56)</f>
        <v>0.38982840858609208</v>
      </c>
      <c r="I141" s="4">
        <f ca="1">I163*'Total Duration Tables Sup #1'!I141*(1+'Other Assumptions'!M$56)</f>
        <v>0.39979342220353459</v>
      </c>
      <c r="J141" s="4">
        <f ca="1">J163*'Total Duration Tables Sup #1'!J141*(1+'Other Assumptions'!N$56)</f>
        <v>0.40872896372295303</v>
      </c>
      <c r="K141" s="4">
        <f ca="1">K163*'Total Duration Tables Sup #1'!K141*(1+'Other Assumptions'!O$56)</f>
        <v>0.41699039306014563</v>
      </c>
    </row>
    <row r="142" spans="1:11" x14ac:dyDescent="0.2">
      <c r="A142" t="str">
        <f ca="1">OFFSET(Otago_Reference,35,2)</f>
        <v>Motorcyclist</v>
      </c>
      <c r="B142" s="4">
        <f ca="1">B164*'Total Duration Tables Sup #1'!B142*(1+'Other Assumptions'!D$56)</f>
        <v>0.42545310469999997</v>
      </c>
      <c r="C142" s="4">
        <f ca="1">C164*'Total Duration Tables Sup #1'!C142*(1+'Other Assumptions'!G$56)</f>
        <v>0.47923639840144022</v>
      </c>
      <c r="D142" s="4">
        <f ca="1">D164*'Total Duration Tables Sup #1'!D142*(1+'Other Assumptions'!H$56)</f>
        <v>0.50985416466896105</v>
      </c>
      <c r="E142" s="4">
        <f ca="1">E164*'Total Duration Tables Sup #1'!E142*(1+'Other Assumptions'!I$56)</f>
        <v>0.53009168665318751</v>
      </c>
      <c r="F142" s="4">
        <f ca="1">F164*'Total Duration Tables Sup #1'!F142*(1+'Other Assumptions'!J$56)</f>
        <v>0.54765804442237676</v>
      </c>
      <c r="G142" s="4">
        <f ca="1">G164*'Total Duration Tables Sup #1'!G142*(1+'Other Assumptions'!K$56)</f>
        <v>0.55690169300550763</v>
      </c>
      <c r="H142" s="4">
        <f ca="1">H164*'Total Duration Tables Sup #1'!H142*(1+'Other Assumptions'!L$56)</f>
        <v>0.56294219998955164</v>
      </c>
      <c r="I142" s="4">
        <f ca="1">I164*'Total Duration Tables Sup #1'!I142*(1+'Other Assumptions'!M$56)</f>
        <v>0.58105682650805779</v>
      </c>
      <c r="J142" s="4">
        <f ca="1">J164*'Total Duration Tables Sup #1'!J142*(1+'Other Assumptions'!N$56)</f>
        <v>0.59787375212413574</v>
      </c>
      <c r="K142" s="4">
        <f ca="1">K164*'Total Duration Tables Sup #1'!K142*(1+'Other Assumptions'!O$56)</f>
        <v>0.61388650428178915</v>
      </c>
    </row>
    <row r="143" spans="1:11" x14ac:dyDescent="0.2">
      <c r="A143" t="str">
        <f ca="1">OFFSET(Canterbury_Reference,42,2)</f>
        <v>Local Train</v>
      </c>
      <c r="B143" s="4">
        <f ca="1">B165*'Total Duration Tables Sup #1'!B143*(1+'Other Assumptions'!D$56)</f>
        <v>0</v>
      </c>
      <c r="C143" s="4">
        <f ca="1">C165*'Total Duration Tables Sup #1'!C143*(1+'Other Assumptions'!G$56)</f>
        <v>0</v>
      </c>
      <c r="D143" s="4">
        <f ca="1">D165*'Total Duration Tables Sup #1'!D143*(1+'Other Assumptions'!H$56)</f>
        <v>0</v>
      </c>
      <c r="E143" s="4">
        <f ca="1">E165*'Total Duration Tables Sup #1'!E143*(1+'Other Assumptions'!I$56)</f>
        <v>0</v>
      </c>
      <c r="F143" s="4">
        <f ca="1">F165*'Total Duration Tables Sup #1'!F143*(1+'Other Assumptions'!J$56)</f>
        <v>0</v>
      </c>
      <c r="G143" s="4">
        <f ca="1">G165*'Total Duration Tables Sup #1'!G143*(1+'Other Assumptions'!K$56)</f>
        <v>0</v>
      </c>
      <c r="H143" s="4">
        <f ca="1">H165*'Total Duration Tables Sup #1'!H143*(1+'Other Assumptions'!L$56)</f>
        <v>0</v>
      </c>
      <c r="I143" s="4">
        <f ca="1">I165*'Total Duration Tables Sup #1'!I143*(1+'Other Assumptions'!M$56)</f>
        <v>0</v>
      </c>
      <c r="J143" s="4">
        <f ca="1">J165*'Total Duration Tables Sup #1'!J143*(1+'Other Assumptions'!N$56)</f>
        <v>0</v>
      </c>
      <c r="K143" s="4">
        <f ca="1">K165*'Total Duration Tables Sup #1'!K143*(1+'Other Assumptions'!O$56)</f>
        <v>0</v>
      </c>
    </row>
    <row r="144" spans="1:11" x14ac:dyDescent="0.2">
      <c r="A144" t="str">
        <f ca="1">OFFSET(Otago_Reference,42,2)</f>
        <v>Local Bus</v>
      </c>
      <c r="B144" s="4">
        <f ca="1">B166*'Total Duration Tables Sup #1'!B144*(1+'Other Assumptions'!D$56)</f>
        <v>1.347401772</v>
      </c>
      <c r="C144" s="4">
        <f ca="1">C166*'Total Duration Tables Sup #1'!C144*(1+'Other Assumptions'!G$56)</f>
        <v>1.3897412850385815</v>
      </c>
      <c r="D144" s="4">
        <f ca="1">D166*'Total Duration Tables Sup #1'!D144*(1+'Other Assumptions'!H$56)</f>
        <v>1.4094540772395394</v>
      </c>
      <c r="E144" s="4">
        <f ca="1">E166*'Total Duration Tables Sup #1'!E144*(1+'Other Assumptions'!I$56)</f>
        <v>1.4222383965555325</v>
      </c>
      <c r="F144" s="4">
        <f ca="1">F166*'Total Duration Tables Sup #1'!F144*(1+'Other Assumptions'!J$56)</f>
        <v>1.4144472457961108</v>
      </c>
      <c r="G144" s="4">
        <f ca="1">G166*'Total Duration Tables Sup #1'!G144*(1+'Other Assumptions'!K$56)</f>
        <v>1.4116690783373473</v>
      </c>
      <c r="H144" s="4">
        <f ca="1">H166*'Total Duration Tables Sup #1'!H144*(1+'Other Assumptions'!L$56)</f>
        <v>1.4023445670562786</v>
      </c>
      <c r="I144" s="4">
        <f ca="1">I166*'Total Duration Tables Sup #1'!I144*(1+'Other Assumptions'!M$56)</f>
        <v>1.4446907024785824</v>
      </c>
      <c r="J144" s="4">
        <f ca="1">J166*'Total Duration Tables Sup #1'!J144*(1+'Other Assumptions'!N$56)</f>
        <v>1.4836321144481073</v>
      </c>
      <c r="K144" s="4">
        <f ca="1">K166*'Total Duration Tables Sup #1'!K144*(1+'Other Assumptions'!O$56)</f>
        <v>1.5204112150440594</v>
      </c>
    </row>
    <row r="145" spans="1:11" x14ac:dyDescent="0.2">
      <c r="A145" t="str">
        <f ca="1">OFFSET(Wellington_Reference,56,2)</f>
        <v>Local Ferry</v>
      </c>
      <c r="B145" s="4">
        <f ca="1">B167*'Total Duration Tables Sup #1'!B145*(1+'Other Assumptions'!D$56)</f>
        <v>0</v>
      </c>
      <c r="C145" s="4">
        <f ca="1">C167*'Total Duration Tables Sup #1'!C145*(1+'Other Assumptions'!G$56)</f>
        <v>0</v>
      </c>
      <c r="D145" s="4">
        <f ca="1">D167*'Total Duration Tables Sup #1'!D145*(1+'Other Assumptions'!H$56)</f>
        <v>0</v>
      </c>
      <c r="E145" s="4">
        <f ca="1">E167*'Total Duration Tables Sup #1'!E145*(1+'Other Assumptions'!I$56)</f>
        <v>0</v>
      </c>
      <c r="F145" s="4">
        <f ca="1">F167*'Total Duration Tables Sup #1'!F145*(1+'Other Assumptions'!J$56)</f>
        <v>0</v>
      </c>
      <c r="G145" s="4">
        <f ca="1">G167*'Total Duration Tables Sup #1'!G145*(1+'Other Assumptions'!K$56)</f>
        <v>0</v>
      </c>
      <c r="H145" s="4">
        <f ca="1">H167*'Total Duration Tables Sup #1'!H145*(1+'Other Assumptions'!L$56)</f>
        <v>0</v>
      </c>
      <c r="I145" s="4">
        <f ca="1">I167*'Total Duration Tables Sup #1'!I145*(1+'Other Assumptions'!M$56)</f>
        <v>0</v>
      </c>
      <c r="J145" s="4">
        <f ca="1">J167*'Total Duration Tables Sup #1'!J145*(1+'Other Assumptions'!N$56)</f>
        <v>0</v>
      </c>
      <c r="K145" s="4">
        <f ca="1">K167*'Total Duration Tables Sup #1'!K145*(1+'Other Assumptions'!O$56)</f>
        <v>0</v>
      </c>
    </row>
    <row r="146" spans="1:11" x14ac:dyDescent="0.2">
      <c r="A146" t="str">
        <f ca="1">OFFSET(Otago_Reference,49,2)</f>
        <v>Other Household Travel</v>
      </c>
      <c r="B146" s="4">
        <f ca="1">B168*'Total Duration Tables Sup #1'!B146*(1+'Other Assumptions'!D$56)</f>
        <v>0.25154479130000001</v>
      </c>
      <c r="C146" s="4">
        <f ca="1">C168*'Total Duration Tables Sup #1'!C146*(1+'Other Assumptions'!G$56)</f>
        <v>0.28457799353510643</v>
      </c>
      <c r="D146" s="4">
        <f ca="1">D168*'Total Duration Tables Sup #1'!D146*(1+'Other Assumptions'!H$56)</f>
        <v>0.30794229511260718</v>
      </c>
      <c r="E146" s="4">
        <f ca="1">E168*'Total Duration Tables Sup #1'!E146*(1+'Other Assumptions'!I$56)</f>
        <v>0.32118528056987666</v>
      </c>
      <c r="F146" s="4">
        <f ca="1">F168*'Total Duration Tables Sup #1'!F146*(1+'Other Assumptions'!J$56)</f>
        <v>0.33154969403282986</v>
      </c>
      <c r="G146" s="4">
        <f ca="1">G168*'Total Duration Tables Sup #1'!G146*(1+'Other Assumptions'!K$56)</f>
        <v>0.342342113343584</v>
      </c>
      <c r="H146" s="4">
        <f ca="1">H168*'Total Duration Tables Sup #1'!H146*(1+'Other Assumptions'!L$56)</f>
        <v>0.35059685527453049</v>
      </c>
      <c r="I146" s="4">
        <f ca="1">I168*'Total Duration Tables Sup #1'!I146*(1+'Other Assumptions'!M$56)</f>
        <v>0.35989817851149591</v>
      </c>
      <c r="J146" s="4">
        <f ca="1">J168*'Total Duration Tables Sup #1'!J146*(1+'Other Assumptions'!N$56)</f>
        <v>0.3683021856454593</v>
      </c>
      <c r="K146" s="4">
        <f ca="1">K168*'Total Duration Tables Sup #1'!K146*(1+'Other Assumptions'!O$56)</f>
        <v>0.37612712847452795</v>
      </c>
    </row>
    <row r="147" spans="1:11" x14ac:dyDescent="0.2">
      <c r="A147" t="str">
        <f ca="1">OFFSET(Southland_Reference,0,0)</f>
        <v>15 SOUTHLAND</v>
      </c>
    </row>
    <row r="148" spans="1:11" x14ac:dyDescent="0.2">
      <c r="A148" t="str">
        <f ca="1">OFFSET(Southland_Reference,0,2)</f>
        <v>Pedestrian</v>
      </c>
      <c r="B148" s="4">
        <f ca="1">B159*'Total Duration Tables Sup #1'!B148*(1+'Other Assumptions'!D$57)*(1+'Active Mode Assumptions'!B11)</f>
        <v>2.2528617661000001</v>
      </c>
      <c r="C148" s="4">
        <f ca="1">C159*'Total Duration Tables Sup #1'!C148*(1+'Other Assumptions'!G$57)*(1+'Active Mode Assumptions'!C11)</f>
        <v>2.2847709980696647</v>
      </c>
      <c r="D148" s="4">
        <f ca="1">D159*'Total Duration Tables Sup #1'!D148*(1+'Other Assumptions'!H$57)*(1+'Active Mode Assumptions'!D11)</f>
        <v>2.3484950275559555</v>
      </c>
      <c r="E148" s="4">
        <f ca="1">E159*'Total Duration Tables Sup #1'!E148*(1+'Other Assumptions'!I$57)*(1+'Active Mode Assumptions'!E11)</f>
        <v>2.3913827958976501</v>
      </c>
      <c r="F148" s="4">
        <f ca="1">F159*'Total Duration Tables Sup #1'!F148*(1+'Other Assumptions'!J$57)*(1+'Active Mode Assumptions'!F11)</f>
        <v>2.4115308728212965</v>
      </c>
      <c r="G148" s="4">
        <f ca="1">G159*'Total Duration Tables Sup #1'!G148*(1+'Other Assumptions'!K$57)*(1+'Active Mode Assumptions'!G11)</f>
        <v>2.4188560152738225</v>
      </c>
      <c r="H148" s="4">
        <f ca="1">H159*'Total Duration Tables Sup #1'!H148*(1+'Other Assumptions'!L$57)*(1+'Active Mode Assumptions'!H11)</f>
        <v>2.4149677131272318</v>
      </c>
      <c r="I148" s="4">
        <f ca="1">I159*'Total Duration Tables Sup #1'!I148*(1+'Other Assumptions'!M$57)*(1+'Active Mode Assumptions'!I11)</f>
        <v>2.3794479054512157</v>
      </c>
      <c r="J148" s="4">
        <f ca="1">J159*'Total Duration Tables Sup #1'!J148*(1+'Other Assumptions'!N$57)*(1+'Active Mode Assumptions'!J11)</f>
        <v>2.3370266271641142</v>
      </c>
      <c r="K148" s="4">
        <f ca="1">K159*'Total Duration Tables Sup #1'!K148*(1+'Other Assumptions'!O$57)*(1+'Active Mode Assumptions'!K11)</f>
        <v>2.2904664837561146</v>
      </c>
    </row>
    <row r="149" spans="1:11" x14ac:dyDescent="0.2">
      <c r="A149" t="str">
        <f ca="1">OFFSET(Southland_Reference,7,2)</f>
        <v>Cyclist</v>
      </c>
      <c r="B149" s="4">
        <f ca="1">B160*'Total Duration Tables Sup #1'!B149*(1+'Other Assumptions'!D$57)*(1+'Active Mode Assumptions'!B20)</f>
        <v>0.50294231479999996</v>
      </c>
      <c r="C149" s="4">
        <f ca="1">C160*'Total Duration Tables Sup #1'!C149*(1+'Other Assumptions'!G$57)*(1+'Active Mode Assumptions'!C20)</f>
        <v>0.52402503081759244</v>
      </c>
      <c r="D149" s="4">
        <f ca="1">D160*'Total Duration Tables Sup #1'!D149*(1+'Other Assumptions'!H$57)*(1+'Active Mode Assumptions'!D20)</f>
        <v>0.62890150657824173</v>
      </c>
      <c r="E149" s="4">
        <f ca="1">E160*'Total Duration Tables Sup #1'!E149*(1+'Other Assumptions'!I$57)*(1+'Active Mode Assumptions'!E20)</f>
        <v>0.72342826639169211</v>
      </c>
      <c r="F149" s="4">
        <f ca="1">F160*'Total Duration Tables Sup #1'!F149*(1+'Other Assumptions'!J$57)*(1+'Active Mode Assumptions'!F20)</f>
        <v>0.82200113833215882</v>
      </c>
      <c r="G149" s="4">
        <f ca="1">G160*'Total Duration Tables Sup #1'!G149*(1+'Other Assumptions'!K$57)*(1+'Active Mode Assumptions'!G20)</f>
        <v>0.92765770172280981</v>
      </c>
      <c r="H149" s="4">
        <f ca="1">H160*'Total Duration Tables Sup #1'!H149*(1+'Other Assumptions'!L$57)*(1+'Active Mode Assumptions'!H20)</f>
        <v>1.0335750837578213</v>
      </c>
      <c r="I149" s="4">
        <f ca="1">I160*'Total Duration Tables Sup #1'!I149*(1+'Other Assumptions'!M$57)*(1+'Active Mode Assumptions'!I20)</f>
        <v>1.0192220480192971</v>
      </c>
      <c r="J149" s="4">
        <f ca="1">J160*'Total Duration Tables Sup #1'!J149*(1+'Other Assumptions'!N$57)*(1+'Active Mode Assumptions'!J20)</f>
        <v>1.0018786094865699</v>
      </c>
      <c r="K149" s="4">
        <f ca="1">K160*'Total Duration Tables Sup #1'!K149*(1+'Other Assumptions'!O$57)*(1+'Active Mode Assumptions'!K20)</f>
        <v>0.98272376809494022</v>
      </c>
    </row>
    <row r="150" spans="1:11" x14ac:dyDescent="0.2">
      <c r="A150" t="str">
        <f ca="1">OFFSET(Southland_Reference,14,2)</f>
        <v>Light Vehicle Driver</v>
      </c>
      <c r="B150" s="4">
        <f ca="1">B161*'Total Duration Tables Sup #1'!B150*(1+'Other Assumptions'!D$57)-(B148*'Active Mode Assumptions'!B11*'Active Mode Assumptions'!B14/(1+'Active Mode Assumptions'!B11))-(B149*'Active Mode Assumptions'!B20*'Active Mode Assumptions'!B23/(1+'Active Mode Assumptions'!B20))</f>
        <v>14.603785903</v>
      </c>
      <c r="C150" s="4">
        <f ca="1">C161*'Total Duration Tables Sup #1'!C150*(1+'Other Assumptions'!G$57)-(C148*'Active Mode Assumptions'!C11*'Active Mode Assumptions'!C14/(1+'Active Mode Assumptions'!C11))-(C149*'Active Mode Assumptions'!C20*'Active Mode Assumptions'!C23/(1+'Active Mode Assumptions'!C20))</f>
        <v>15.324829646386993</v>
      </c>
      <c r="D150" s="4">
        <f ca="1">D161*'Total Duration Tables Sup #1'!D150*(1+'Other Assumptions'!H$57)-(D148*'Active Mode Assumptions'!D11*'Active Mode Assumptions'!D14/(1+'Active Mode Assumptions'!D11))-(D149*'Active Mode Assumptions'!D20*'Active Mode Assumptions'!D23/(1+'Active Mode Assumptions'!D20))</f>
        <v>15.418101691310923</v>
      </c>
      <c r="E150" s="4">
        <f ca="1">E161*'Total Duration Tables Sup #1'!E150*(1+'Other Assumptions'!I$57)-(E148*'Active Mode Assumptions'!E11*'Active Mode Assumptions'!E14/(1+'Active Mode Assumptions'!E11))-(E149*'Active Mode Assumptions'!E20*'Active Mode Assumptions'!E23/(1+'Active Mode Assumptions'!E20))</f>
        <v>15.508437305287783</v>
      </c>
      <c r="F150" s="4">
        <f ca="1">F161*'Total Duration Tables Sup #1'!F150*(1+'Other Assumptions'!J$57)-(F148*'Active Mode Assumptions'!F11*'Active Mode Assumptions'!F14/(1+'Active Mode Assumptions'!F11))-(F149*'Active Mode Assumptions'!F20*'Active Mode Assumptions'!F23/(1+'Active Mode Assumptions'!F20))</f>
        <v>15.528678357851092</v>
      </c>
      <c r="G150" s="4">
        <f ca="1">G161*'Total Duration Tables Sup #1'!G150*(1+'Other Assumptions'!K$57)-(G148*'Active Mode Assumptions'!G11*'Active Mode Assumptions'!G14/(1+'Active Mode Assumptions'!G11))-(G149*'Active Mode Assumptions'!G20*'Active Mode Assumptions'!G23/(1+'Active Mode Assumptions'!G20))</f>
        <v>15.382193038966673</v>
      </c>
      <c r="H150" s="4">
        <f ca="1">H161*'Total Duration Tables Sup #1'!H150*(1+'Other Assumptions'!L$57)-(H148*'Active Mode Assumptions'!H11*'Active Mode Assumptions'!H14/(1+'Active Mode Assumptions'!H11))-(H149*'Active Mode Assumptions'!H20*'Active Mode Assumptions'!H23/(1+'Active Mode Assumptions'!H20))</f>
        <v>15.164036704424268</v>
      </c>
      <c r="I150" s="4">
        <f ca="1">I161*'Total Duration Tables Sup #1'!I150*(1+'Other Assumptions'!M$57)-(I148*'Active Mode Assumptions'!I11*'Active Mode Assumptions'!I14/(1+'Active Mode Assumptions'!I11))-(I149*'Active Mode Assumptions'!I20*'Active Mode Assumptions'!I23/(1+'Active Mode Assumptions'!I20))</f>
        <v>14.949269778522824</v>
      </c>
      <c r="J150" s="4">
        <f ca="1">J161*'Total Duration Tables Sup #1'!J150*(1+'Other Assumptions'!N$57)-(J148*'Active Mode Assumptions'!J11*'Active Mode Assumptions'!J14/(1+'Active Mode Assumptions'!J11))-(J149*'Active Mode Assumptions'!J20*'Active Mode Assumptions'!J23/(1+'Active Mode Assumptions'!J20))</f>
        <v>14.69079706280152</v>
      </c>
      <c r="K150" s="4">
        <f ca="1">K161*'Total Duration Tables Sup #1'!K150*(1+'Other Assumptions'!O$57)-(K148*'Active Mode Assumptions'!K11*'Active Mode Assumptions'!K14/(1+'Active Mode Assumptions'!K11))-(K149*'Active Mode Assumptions'!K20*'Active Mode Assumptions'!K23/(1+'Active Mode Assumptions'!K20))</f>
        <v>14.405931390707908</v>
      </c>
    </row>
    <row r="151" spans="1:11" x14ac:dyDescent="0.2">
      <c r="A151" t="str">
        <f ca="1">OFFSET(Southland_Reference,21,2)</f>
        <v>Light Vehicle Passenger</v>
      </c>
      <c r="B151" s="4">
        <f ca="1">B162*'Total Duration Tables Sup #1'!B151*(1+'Other Assumptions'!D$57)-(B148*'Active Mode Assumptions'!B11*'Active Mode Assumptions'!B15/(1+'Active Mode Assumptions'!B11))-(B149*'Active Mode Assumptions'!B20*'Active Mode Assumptions'!B24/(1+'Active Mode Assumptions'!B20))</f>
        <v>7.5859087797999996</v>
      </c>
      <c r="C151" s="4">
        <f ca="1">C162*'Total Duration Tables Sup #1'!C151*(1+'Other Assumptions'!G$57)-(C148*'Active Mode Assumptions'!C11*'Active Mode Assumptions'!C15/(1+'Active Mode Assumptions'!C11))-(C149*'Active Mode Assumptions'!C20*'Active Mode Assumptions'!C24/(1+'Active Mode Assumptions'!C20))</f>
        <v>7.635407026299923</v>
      </c>
      <c r="D151" s="4">
        <f ca="1">D162*'Total Duration Tables Sup #1'!D151*(1+'Other Assumptions'!H$57)-(D148*'Active Mode Assumptions'!D11*'Active Mode Assumptions'!D15/(1+'Active Mode Assumptions'!D11))-(D149*'Active Mode Assumptions'!D20*'Active Mode Assumptions'!D24/(1+'Active Mode Assumptions'!D20))</f>
        <v>7.4823145108124081</v>
      </c>
      <c r="E151" s="4">
        <f ca="1">E162*'Total Duration Tables Sup #1'!E151*(1+'Other Assumptions'!I$57)-(E148*'Active Mode Assumptions'!E11*'Active Mode Assumptions'!E15/(1+'Active Mode Assumptions'!E11))-(E149*'Active Mode Assumptions'!E20*'Active Mode Assumptions'!E24/(1+'Active Mode Assumptions'!E20))</f>
        <v>7.3306220279971672</v>
      </c>
      <c r="F151" s="4">
        <f ca="1">F162*'Total Duration Tables Sup #1'!F151*(1+'Other Assumptions'!J$57)-(F148*'Active Mode Assumptions'!F11*'Active Mode Assumptions'!F15/(1+'Active Mode Assumptions'!F11))-(F149*'Active Mode Assumptions'!F20*'Active Mode Assumptions'!F24/(1+'Active Mode Assumptions'!F20))</f>
        <v>7.1435165979341111</v>
      </c>
      <c r="G151" s="4">
        <f ca="1">G162*'Total Duration Tables Sup #1'!G151*(1+'Other Assumptions'!K$57)-(G148*'Active Mode Assumptions'!G11*'Active Mode Assumptions'!G15/(1+'Active Mode Assumptions'!G11))-(G149*'Active Mode Assumptions'!G20*'Active Mode Assumptions'!G24/(1+'Active Mode Assumptions'!G20))</f>
        <v>6.9158283520050645</v>
      </c>
      <c r="H151" s="4">
        <f ca="1">H162*'Total Duration Tables Sup #1'!H151*(1+'Other Assumptions'!L$57)-(H148*'Active Mode Assumptions'!H11*'Active Mode Assumptions'!H15/(1+'Active Mode Assumptions'!H11))-(H149*'Active Mode Assumptions'!H20*'Active Mode Assumptions'!H24/(1+'Active Mode Assumptions'!H20))</f>
        <v>6.6615492797773275</v>
      </c>
      <c r="I151" s="4">
        <f ca="1">I162*'Total Duration Tables Sup #1'!I151*(1+'Other Assumptions'!M$57)-(I148*'Active Mode Assumptions'!I11*'Active Mode Assumptions'!I15/(1+'Active Mode Assumptions'!I11))-(I149*'Active Mode Assumptions'!I20*'Active Mode Assumptions'!I24/(1+'Active Mode Assumptions'!I20))</f>
        <v>6.5711742910409239</v>
      </c>
      <c r="J151" s="4">
        <f ca="1">J162*'Total Duration Tables Sup #1'!J151*(1+'Other Assumptions'!N$57)-(J148*'Active Mode Assumptions'!J11*'Active Mode Assumptions'!J15/(1+'Active Mode Assumptions'!J11))-(J149*'Active Mode Assumptions'!J20*'Active Mode Assumptions'!J24/(1+'Active Mode Assumptions'!J20))</f>
        <v>6.4614412348746892</v>
      </c>
      <c r="K151" s="4">
        <f ca="1">K162*'Total Duration Tables Sup #1'!K151*(1+'Other Assumptions'!O$57)-(K148*'Active Mode Assumptions'!K11*'Active Mode Assumptions'!K15/(1+'Active Mode Assumptions'!K11))-(K149*'Active Mode Assumptions'!K20*'Active Mode Assumptions'!K24/(1+'Active Mode Assumptions'!K20))</f>
        <v>6.3399339777373607</v>
      </c>
    </row>
    <row r="152" spans="1:11" x14ac:dyDescent="0.2">
      <c r="A152" t="str">
        <f ca="1">OFFSET(Southland_Reference,28,2)</f>
        <v>Taxi/Vehicle Share</v>
      </c>
      <c r="B152" s="4">
        <f ca="1">B163*'Total Duration Tables Sup #1'!B152*(1+'Other Assumptions'!D$57)</f>
        <v>6.6688903300000005E-2</v>
      </c>
      <c r="C152" s="4">
        <f ca="1">C163*'Total Duration Tables Sup #1'!C152*(1+'Other Assumptions'!G$57)</f>
        <v>7.2729404878772844E-2</v>
      </c>
      <c r="D152" s="4">
        <f ca="1">D163*'Total Duration Tables Sup #1'!D152*(1+'Other Assumptions'!H$57)</f>
        <v>7.6349483460433687E-2</v>
      </c>
      <c r="E152" s="4">
        <f ca="1">E163*'Total Duration Tables Sup #1'!E152*(1+'Other Assumptions'!I$57)</f>
        <v>7.9113324826445564E-2</v>
      </c>
      <c r="F152" s="4">
        <f ca="1">F163*'Total Duration Tables Sup #1'!F152*(1+'Other Assumptions'!J$57)</f>
        <v>8.0877060932986022E-2</v>
      </c>
      <c r="G152" s="4">
        <f ca="1">G163*'Total Duration Tables Sup #1'!G152*(1+'Other Assumptions'!K$57)</f>
        <v>8.1001512355136432E-2</v>
      </c>
      <c r="H152" s="4">
        <f ca="1">H163*'Total Duration Tables Sup #1'!H152*(1+'Other Assumptions'!L$57)</f>
        <v>8.0696827340415195E-2</v>
      </c>
      <c r="I152" s="4">
        <f ca="1">I163*'Total Duration Tables Sup #1'!I152*(1+'Other Assumptions'!M$57)</f>
        <v>7.9360805556419514E-2</v>
      </c>
      <c r="J152" s="4">
        <f ca="1">J163*'Total Duration Tables Sup #1'!J152*(1+'Other Assumptions'!N$57)</f>
        <v>7.779939594286403E-2</v>
      </c>
      <c r="K152" s="4">
        <f ca="1">K163*'Total Duration Tables Sup #1'!K152*(1+'Other Assumptions'!O$57)</f>
        <v>7.610582599887375E-2</v>
      </c>
    </row>
    <row r="153" spans="1:11" x14ac:dyDescent="0.2">
      <c r="A153" t="str">
        <f ca="1">OFFSET(Southland_Reference,35,2)</f>
        <v>Motorcyclist</v>
      </c>
      <c r="B153" s="4">
        <f ca="1">B164*'Total Duration Tables Sup #1'!B153*(1+'Other Assumptions'!D$57)</f>
        <v>0.2609239458</v>
      </c>
      <c r="C153" s="4">
        <f ca="1">C164*'Total Duration Tables Sup #1'!C153*(1+'Other Assumptions'!G$57)</f>
        <v>0.27113893974360209</v>
      </c>
      <c r="D153" s="4">
        <f ca="1">D164*'Total Duration Tables Sup #1'!D153*(1+'Other Assumptions'!H$57)</f>
        <v>0.27105614465308764</v>
      </c>
      <c r="E153" s="4">
        <f ca="1">E164*'Total Duration Tables Sup #1'!E153*(1+'Other Assumptions'!I$57)</f>
        <v>0.26936360095318312</v>
      </c>
      <c r="F153" s="4">
        <f ca="1">F164*'Total Duration Tables Sup #1'!F153*(1+'Other Assumptions'!J$57)</f>
        <v>0.26648629987020411</v>
      </c>
      <c r="G153" s="4">
        <f ca="1">G164*'Total Duration Tables Sup #1'!G153*(1+'Other Assumptions'!K$57)</f>
        <v>0.25976131607308689</v>
      </c>
      <c r="H153" s="4">
        <f ca="1">H164*'Total Duration Tables Sup #1'!H153*(1+'Other Assumptions'!L$57)</f>
        <v>0.25180357545095905</v>
      </c>
      <c r="I153" s="4">
        <f ca="1">I164*'Total Duration Tables Sup #1'!I153*(1+'Other Assumptions'!M$57)</f>
        <v>0.24923219478660147</v>
      </c>
      <c r="J153" s="4">
        <f ca="1">J164*'Total Duration Tables Sup #1'!J153*(1+'Other Assumptions'!N$57)</f>
        <v>0.24590389585213623</v>
      </c>
      <c r="K153" s="4">
        <f ca="1">K164*'Total Duration Tables Sup #1'!K153*(1+'Other Assumptions'!O$57)</f>
        <v>0.24210014599428056</v>
      </c>
    </row>
    <row r="154" spans="1:11" x14ac:dyDescent="0.2">
      <c r="A154" t="str">
        <f ca="1">OFFSET(Canterbury_Reference,42,2)</f>
        <v>Local Train</v>
      </c>
      <c r="B154" s="4">
        <f ca="1">B165*'Total Duration Tables Sup #1'!B154*(1+'Other Assumptions'!D$57)</f>
        <v>0</v>
      </c>
      <c r="C154" s="4">
        <f ca="1">C165*'Total Duration Tables Sup #1'!C154*(1+'Other Assumptions'!G$57)</f>
        <v>0</v>
      </c>
      <c r="D154" s="4">
        <f ca="1">D165*'Total Duration Tables Sup #1'!D154*(1+'Other Assumptions'!H$57)</f>
        <v>0</v>
      </c>
      <c r="E154" s="4">
        <f ca="1">E165*'Total Duration Tables Sup #1'!E154*(1+'Other Assumptions'!I$57)</f>
        <v>0</v>
      </c>
      <c r="F154" s="4">
        <f ca="1">F165*'Total Duration Tables Sup #1'!F154*(1+'Other Assumptions'!J$57)</f>
        <v>0</v>
      </c>
      <c r="G154" s="4">
        <f ca="1">G165*'Total Duration Tables Sup #1'!G154*(1+'Other Assumptions'!K$57)</f>
        <v>0</v>
      </c>
      <c r="H154" s="4">
        <f ca="1">H165*'Total Duration Tables Sup #1'!H154*(1+'Other Assumptions'!L$57)</f>
        <v>0</v>
      </c>
      <c r="I154" s="4">
        <f ca="1">I165*'Total Duration Tables Sup #1'!I154*(1+'Other Assumptions'!M$57)</f>
        <v>0</v>
      </c>
      <c r="J154" s="4">
        <f ca="1">J165*'Total Duration Tables Sup #1'!J154*(1+'Other Assumptions'!N$57)</f>
        <v>0</v>
      </c>
      <c r="K154" s="4">
        <f ca="1">K165*'Total Duration Tables Sup #1'!K154*(1+'Other Assumptions'!O$57)</f>
        <v>0</v>
      </c>
    </row>
    <row r="155" spans="1:11" x14ac:dyDescent="0.2">
      <c r="A155" t="str">
        <f ca="1">OFFSET(Southland_Reference,42,2)</f>
        <v>Local Bus</v>
      </c>
      <c r="B155" s="4">
        <f ca="1">B166*'Total Duration Tables Sup #1'!B155*(1+'Other Assumptions'!D$57)</f>
        <v>1.2152660816</v>
      </c>
      <c r="C155" s="4">
        <f ca="1">C166*'Total Duration Tables Sup #1'!C155*(1+'Other Assumptions'!G$57)</f>
        <v>1.1563467376310166</v>
      </c>
      <c r="D155" s="4">
        <f ca="1">D166*'Total Duration Tables Sup #1'!D155*(1+'Other Assumptions'!H$57)</f>
        <v>1.1019864092289271</v>
      </c>
      <c r="E155" s="4">
        <f ca="1">E166*'Total Duration Tables Sup #1'!E155*(1+'Other Assumptions'!I$57)</f>
        <v>1.0628508826149781</v>
      </c>
      <c r="F155" s="4">
        <f ca="1">F166*'Total Duration Tables Sup #1'!F155*(1+'Other Assumptions'!J$57)</f>
        <v>1.0121950104708668</v>
      </c>
      <c r="G155" s="4">
        <f ca="1">G166*'Total Duration Tables Sup #1'!G155*(1+'Other Assumptions'!K$57)</f>
        <v>0.96836896422940111</v>
      </c>
      <c r="H155" s="4">
        <f ca="1">H166*'Total Duration Tables Sup #1'!H155*(1+'Other Assumptions'!L$57)</f>
        <v>0.92249675081977678</v>
      </c>
      <c r="I155" s="4">
        <f ca="1">I166*'Total Duration Tables Sup #1'!I155*(1+'Other Assumptions'!M$57)</f>
        <v>0.91132321655213233</v>
      </c>
      <c r="J155" s="4">
        <f ca="1">J166*'Total Duration Tables Sup #1'!J155*(1+'Other Assumptions'!N$57)</f>
        <v>0.89741674677972838</v>
      </c>
      <c r="K155" s="4">
        <f ca="1">K166*'Total Duration Tables Sup #1'!K155*(1+'Other Assumptions'!O$57)</f>
        <v>0.8818202185961409</v>
      </c>
    </row>
    <row r="156" spans="1:11" x14ac:dyDescent="0.2">
      <c r="A156" t="str">
        <f ca="1">OFFSET(Wellington_Reference,56,2)</f>
        <v>Local Ferry</v>
      </c>
      <c r="B156" s="4">
        <f ca="1">B167*'Total Duration Tables Sup #1'!B156*(1+'Other Assumptions'!D$57)</f>
        <v>0</v>
      </c>
      <c r="C156" s="4">
        <f ca="1">C167*'Total Duration Tables Sup #1'!C156*(1+'Other Assumptions'!G$57)</f>
        <v>0</v>
      </c>
      <c r="D156" s="4">
        <f ca="1">D167*'Total Duration Tables Sup #1'!D156*(1+'Other Assumptions'!H$57)</f>
        <v>0</v>
      </c>
      <c r="E156" s="4">
        <f ca="1">E167*'Total Duration Tables Sup #1'!E156*(1+'Other Assumptions'!I$57)</f>
        <v>0</v>
      </c>
      <c r="F156" s="4">
        <f ca="1">F167*'Total Duration Tables Sup #1'!F156*(1+'Other Assumptions'!J$57)</f>
        <v>0</v>
      </c>
      <c r="G156" s="4">
        <f ca="1">G167*'Total Duration Tables Sup #1'!G156*(1+'Other Assumptions'!K$57)</f>
        <v>0</v>
      </c>
      <c r="H156" s="4">
        <f ca="1">H167*'Total Duration Tables Sup #1'!H156*(1+'Other Assumptions'!L$57)</f>
        <v>0</v>
      </c>
      <c r="I156" s="4">
        <f ca="1">I167*'Total Duration Tables Sup #1'!I156*(1+'Other Assumptions'!M$57)</f>
        <v>0</v>
      </c>
      <c r="J156" s="4">
        <f ca="1">J167*'Total Duration Tables Sup #1'!J156*(1+'Other Assumptions'!N$57)</f>
        <v>0</v>
      </c>
      <c r="K156" s="4">
        <f ca="1">K167*'Total Duration Tables Sup #1'!K156*(1+'Other Assumptions'!O$57)</f>
        <v>0</v>
      </c>
    </row>
    <row r="157" spans="1:11" x14ac:dyDescent="0.2">
      <c r="A157" t="str">
        <f ca="1">OFFSET(Southland_Reference,49,2)</f>
        <v>Other Household Travel</v>
      </c>
      <c r="B157" s="4">
        <f ca="1">B168*'Total Duration Tables Sup #1'!B157*(1+'Other Assumptions'!D$57)</f>
        <v>8.5162673699999997E-2</v>
      </c>
      <c r="C157" s="4">
        <f ca="1">C168*'Total Duration Tables Sup #1'!C157*(1+'Other Assumptions'!G$57)</f>
        <v>8.8882268299424916E-2</v>
      </c>
      <c r="D157" s="4">
        <f ca="1">D168*'Total Duration Tables Sup #1'!D157*(1+'Other Assumptions'!H$57)</f>
        <v>9.0376256145769537E-2</v>
      </c>
      <c r="E157" s="4">
        <f ca="1">E168*'Total Duration Tables Sup #1'!E157*(1+'Other Assumptions'!I$57)</f>
        <v>9.0098024468429794E-2</v>
      </c>
      <c r="F157" s="4">
        <f ca="1">F168*'Total Duration Tables Sup #1'!F157*(1+'Other Assumptions'!J$57)</f>
        <v>8.9060630528422946E-2</v>
      </c>
      <c r="G157" s="4">
        <f ca="1">G168*'Total Duration Tables Sup #1'!G157*(1+'Other Assumptions'!K$57)</f>
        <v>8.8151150272978665E-2</v>
      </c>
      <c r="H157" s="4">
        <f ca="1">H168*'Total Duration Tables Sup #1'!H157*(1+'Other Assumptions'!L$57)</f>
        <v>8.6572073885108916E-2</v>
      </c>
      <c r="I157" s="4">
        <f ca="1">I168*'Total Duration Tables Sup #1'!I157*(1+'Other Assumptions'!M$57)</f>
        <v>8.5219091776985958E-2</v>
      </c>
      <c r="J157" s="4">
        <f ca="1">J168*'Total Duration Tables Sup #1'!J157*(1+'Other Assumptions'!N$57)</f>
        <v>8.3624192404630579E-2</v>
      </c>
      <c r="K157" s="4">
        <f ca="1">K168*'Total Duration Tables Sup #1'!K157*(1+'Other Assumptions'!O$57)</f>
        <v>8.1886694876324814E-2</v>
      </c>
    </row>
    <row r="158" spans="1:11" x14ac:dyDescent="0.2">
      <c r="A158" t="s">
        <v>18</v>
      </c>
    </row>
    <row r="159" spans="1:11" x14ac:dyDescent="0.2">
      <c r="A159" t="str">
        <f ca="1">'Total Duration Tables'!A16</f>
        <v>Pedestrian</v>
      </c>
      <c r="B159" s="58">
        <f ca="1">('Total Duration Tables Sup #1'!B170*'Updated Population'!B$158)/('Total Duration Tables Sup #1'!B159*1000000)</f>
        <v>1</v>
      </c>
      <c r="C159" s="58">
        <f ca="1">('Total Duration Tables Sup #1'!C170*'Updated Population'!C$158)/('Total Duration Tables Sup #1'!C159*1000000)</f>
        <v>0.99820431242532504</v>
      </c>
      <c r="D159" s="58">
        <f ca="1">('Total Duration Tables Sup #1'!D170*'Updated Population'!D$158)/('Total Duration Tables Sup #1'!D159*1000000)</f>
        <v>0.99647157180022383</v>
      </c>
      <c r="E159" s="58">
        <f ca="1">('Total Duration Tables Sup #1'!E170*'Updated Population'!E$158)/('Total Duration Tables Sup #1'!E159*1000000)</f>
        <v>0.99508717080428943</v>
      </c>
      <c r="F159" s="58">
        <f ca="1">('Total Duration Tables Sup #1'!F170*'Updated Population'!F$158)/('Total Duration Tables Sup #1'!F159*1000000)</f>
        <v>0.99371119363399796</v>
      </c>
      <c r="G159" s="58">
        <f ca="1">('Total Duration Tables Sup #1'!G170*'Updated Population'!G$158)/('Total Duration Tables Sup #1'!G159*1000000)</f>
        <v>0.99235441145582404</v>
      </c>
      <c r="H159" s="58">
        <f ca="1">('Total Duration Tables Sup #1'!H170*'Updated Population'!H$158)/('Total Duration Tables Sup #1'!H159*1000000)</f>
        <v>0.99101751010001615</v>
      </c>
      <c r="I159" s="58">
        <f ca="1">('Total Duration Tables Sup #1'!I170*'Updated Population'!I$158)/('Total Duration Tables Sup #1'!I159*1000000)</f>
        <v>0.98969904707329814</v>
      </c>
      <c r="J159" s="58">
        <f ca="1">('Total Duration Tables Sup #1'!J170*'Updated Population'!J$158)/('Total Duration Tables Sup #1'!J159*1000000)</f>
        <v>0.98839878473408715</v>
      </c>
      <c r="K159" s="58">
        <f ca="1">('Total Duration Tables Sup #1'!K170*'Updated Population'!K$158)/('Total Duration Tables Sup #1'!K159*1000000)</f>
        <v>0.98711648683920461</v>
      </c>
    </row>
    <row r="160" spans="1:11" x14ac:dyDescent="0.2">
      <c r="A160" t="str">
        <f ca="1">'Total Duration Tables'!A17</f>
        <v>Cyclist</v>
      </c>
      <c r="B160" s="58">
        <f ca="1">('Total Duration Tables Sup #1'!B171*'Updated Population'!B$158)/('Total Duration Tables Sup #1'!B160*1000000)</f>
        <v>1</v>
      </c>
      <c r="C160" s="58">
        <f ca="1">('Total Duration Tables Sup #1'!C171*'Updated Population'!C$158)/('Total Duration Tables Sup #1'!C160*1000000)</f>
        <v>0.99812596755789829</v>
      </c>
      <c r="D160" s="58">
        <f ca="1">('Total Duration Tables Sup #1'!D171*'Updated Population'!D$158)/('Total Duration Tables Sup #1'!D160*1000000)</f>
        <v>0.99731951347229519</v>
      </c>
      <c r="E160" s="58">
        <f ca="1">('Total Duration Tables Sup #1'!E171*'Updated Population'!E$158)/('Total Duration Tables Sup #1'!E160*1000000)</f>
        <v>0.99683949694881702</v>
      </c>
      <c r="F160" s="58">
        <f ca="1">('Total Duration Tables Sup #1'!F171*'Updated Population'!F$158)/('Total Duration Tables Sup #1'!F160*1000000)</f>
        <v>0.99639449681857095</v>
      </c>
      <c r="G160" s="58">
        <f ca="1">('Total Duration Tables Sup #1'!G171*'Updated Population'!G$158)/('Total Duration Tables Sup #1'!G160*1000000)</f>
        <v>0.99589109704674206</v>
      </c>
      <c r="H160" s="58">
        <f ca="1">('Total Duration Tables Sup #1'!H171*'Updated Population'!H$158)/('Total Duration Tables Sup #1'!H160*1000000)</f>
        <v>0.99538632652229586</v>
      </c>
      <c r="I160" s="58">
        <f ca="1">('Total Duration Tables Sup #1'!I171*'Updated Population'!I$158)/('Total Duration Tables Sup #1'!I160*1000000)</f>
        <v>0.99489076842119939</v>
      </c>
      <c r="J160" s="58">
        <f ca="1">('Total Duration Tables Sup #1'!J171*'Updated Population'!J$158)/('Total Duration Tables Sup #1'!J160*1000000)</f>
        <v>0.99440497087829305</v>
      </c>
      <c r="K160" s="58">
        <f ca="1">('Total Duration Tables Sup #1'!K171*'Updated Population'!K$158)/('Total Duration Tables Sup #1'!K160*1000000)</f>
        <v>0.99392946291240247</v>
      </c>
    </row>
    <row r="161" spans="1:11" x14ac:dyDescent="0.2">
      <c r="A161" t="str">
        <f ca="1">'Total Duration Tables'!A18</f>
        <v>Light Vehicle Driver</v>
      </c>
      <c r="B161" s="58">
        <f ca="1">('Total Duration Tables Sup #1'!B172*'Updated Population'!B$158)/('Total Duration Tables Sup #1'!B161*1000000)</f>
        <v>1</v>
      </c>
      <c r="C161" s="58">
        <f ca="1">('Total Duration Tables Sup #1'!C172*'Updated Population'!C$158)/('Total Duration Tables Sup #1'!C161*1000000)</f>
        <v>0.998663064342868</v>
      </c>
      <c r="D161" s="58">
        <f ca="1">('Total Duration Tables Sup #1'!D172*'Updated Population'!D$158)/('Total Duration Tables Sup #1'!D161*1000000)</f>
        <v>0.99764906435847189</v>
      </c>
      <c r="E161" s="58">
        <f ca="1">('Total Duration Tables Sup #1'!E172*'Updated Population'!E$158)/('Total Duration Tables Sup #1'!E161*1000000)</f>
        <v>0.99683548800157828</v>
      </c>
      <c r="F161" s="58">
        <f ca="1">('Total Duration Tables Sup #1'!F172*'Updated Population'!F$158)/('Total Duration Tables Sup #1'!F161*1000000)</f>
        <v>0.99603059023969187</v>
      </c>
      <c r="G161" s="58">
        <f ca="1">('Total Duration Tables Sup #1'!G172*'Updated Population'!G$158)/('Total Duration Tables Sup #1'!G161*1000000)</f>
        <v>0.99523302003284664</v>
      </c>
      <c r="H161" s="58">
        <f ca="1">('Total Duration Tables Sup #1'!H172*'Updated Population'!H$158)/('Total Duration Tables Sup #1'!H161*1000000)</f>
        <v>0.99444673687862595</v>
      </c>
      <c r="I161" s="58">
        <f ca="1">('Total Duration Tables Sup #1'!I172*'Updated Population'!I$158)/('Total Duration Tables Sup #1'!I161*1000000)</f>
        <v>0.99367206813760467</v>
      </c>
      <c r="J161" s="58">
        <f ca="1">('Total Duration Tables Sup #1'!J172*'Updated Population'!J$158)/('Total Duration Tables Sup #1'!J161*1000000)</f>
        <v>0.99290915384436174</v>
      </c>
      <c r="K161" s="58">
        <f ca="1">('Total Duration Tables Sup #1'!K172*'Updated Population'!K$158)/('Total Duration Tables Sup #1'!K161*1000000)</f>
        <v>0.99215812169335338</v>
      </c>
    </row>
    <row r="162" spans="1:11" x14ac:dyDescent="0.2">
      <c r="A162" t="str">
        <f ca="1">'Total Duration Tables'!A19</f>
        <v>Light Vehicle Passenger</v>
      </c>
      <c r="B162" s="58">
        <f ca="1">('Total Duration Tables Sup #1'!B173*'Updated Population'!B$158)/('Total Duration Tables Sup #1'!B162*1000000)</f>
        <v>1</v>
      </c>
      <c r="C162" s="58">
        <f ca="1">('Total Duration Tables Sup #1'!C173*'Updated Population'!C$158)/('Total Duration Tables Sup #1'!C162*1000000)</f>
        <v>0.99967059808309611</v>
      </c>
      <c r="D162" s="58">
        <f ca="1">('Total Duration Tables Sup #1'!D173*'Updated Population'!D$158)/('Total Duration Tables Sup #1'!D162*1000000)</f>
        <v>0.99939789881961005</v>
      </c>
      <c r="E162" s="58">
        <f ca="1">('Total Duration Tables Sup #1'!E173*'Updated Population'!E$158)/('Total Duration Tables Sup #1'!E162*1000000)</f>
        <v>0.9991824533034781</v>
      </c>
      <c r="F162" s="58">
        <f ca="1">('Total Duration Tables Sup #1'!F173*'Updated Population'!F$158)/('Total Duration Tables Sup #1'!F162*1000000)</f>
        <v>0.99897365764136226</v>
      </c>
      <c r="G162" s="58">
        <f ca="1">('Total Duration Tables Sup #1'!G173*'Updated Population'!G$158)/('Total Duration Tables Sup #1'!G162*1000000)</f>
        <v>0.99877327779344416</v>
      </c>
      <c r="H162" s="58">
        <f ca="1">('Total Duration Tables Sup #1'!H173*'Updated Population'!H$158)/('Total Duration Tables Sup #1'!H162*1000000)</f>
        <v>0.99856924864918561</v>
      </c>
      <c r="I162" s="58">
        <f ca="1">('Total Duration Tables Sup #1'!I173*'Updated Population'!I$158)/('Total Duration Tables Sup #1'!I162*1000000)</f>
        <v>0.99837316729658065</v>
      </c>
      <c r="J162" s="58">
        <f ca="1">('Total Duration Tables Sup #1'!J173*'Updated Population'!J$158)/('Total Duration Tables Sup #1'!J162*1000000)</f>
        <v>0.99818492112502599</v>
      </c>
      <c r="K162" s="58">
        <f ca="1">('Total Duration Tables Sup #1'!K173*'Updated Population'!K$158)/('Total Duration Tables Sup #1'!K162*1000000)</f>
        <v>0.99800439054961276</v>
      </c>
    </row>
    <row r="163" spans="1:11" x14ac:dyDescent="0.2">
      <c r="A163" t="str">
        <f ca="1">'Total Duration Tables'!A20</f>
        <v>Taxi/Vehicle Share</v>
      </c>
      <c r="B163" s="58">
        <f ca="1">('Total Duration Tables Sup #1'!B174*'Updated Population'!B$158)/('Total Duration Tables Sup #1'!B163*1000000)</f>
        <v>1</v>
      </c>
      <c r="C163" s="58">
        <f ca="1">('Total Duration Tables Sup #1'!C174*'Updated Population'!C$158)/('Total Duration Tables Sup #1'!C163*1000000)</f>
        <v>0.99552375413424243</v>
      </c>
      <c r="D163" s="58">
        <f ca="1">('Total Duration Tables Sup #1'!D174*'Updated Population'!D$158)/('Total Duration Tables Sup #1'!D163*1000000)</f>
        <v>0.99151302258742646</v>
      </c>
      <c r="E163" s="58">
        <f ca="1">('Total Duration Tables Sup #1'!E174*'Updated Population'!E$158)/('Total Duration Tables Sup #1'!E163*1000000)</f>
        <v>0.98838900774694427</v>
      </c>
      <c r="F163" s="58">
        <f ca="1">('Total Duration Tables Sup #1'!F174*'Updated Population'!F$158)/('Total Duration Tables Sup #1'!F163*1000000)</f>
        <v>0.98524618726433699</v>
      </c>
      <c r="G163" s="58">
        <f ca="1">('Total Duration Tables Sup #1'!G174*'Updated Population'!G$158)/('Total Duration Tables Sup #1'!G163*1000000)</f>
        <v>0.98208433836853737</v>
      </c>
      <c r="H163" s="58">
        <f ca="1">('Total Duration Tables Sup #1'!H174*'Updated Population'!H$158)/('Total Duration Tables Sup #1'!H163*1000000)</f>
        <v>0.97892819312953416</v>
      </c>
      <c r="I163" s="58">
        <f ca="1">('Total Duration Tables Sup #1'!I174*'Updated Population'!I$158)/('Total Duration Tables Sup #1'!I163*1000000)</f>
        <v>0.97579231933605404</v>
      </c>
      <c r="J163" s="58">
        <f ca="1">('Total Duration Tables Sup #1'!J174*'Updated Population'!J$158)/('Total Duration Tables Sup #1'!J163*1000000)</f>
        <v>0.97267811375676372</v>
      </c>
      <c r="K163" s="58">
        <f ca="1">('Total Duration Tables Sup #1'!K174*'Updated Population'!K$158)/('Total Duration Tables Sup #1'!K163*1000000)</f>
        <v>0.96958691307668554</v>
      </c>
    </row>
    <row r="164" spans="1:11" x14ac:dyDescent="0.2">
      <c r="A164" t="str">
        <f ca="1">'Total Duration Tables'!A21</f>
        <v>Motorcyclist</v>
      </c>
      <c r="B164" s="58">
        <f ca="1">('Total Duration Tables Sup #1'!B175*'Updated Population'!B$158)/('Total Duration Tables Sup #1'!B164*1000000)</f>
        <v>1</v>
      </c>
      <c r="C164" s="58">
        <f ca="1">('Total Duration Tables Sup #1'!C175*'Updated Population'!C$158)/('Total Duration Tables Sup #1'!C164*1000000)</f>
        <v>1.0053161260992085</v>
      </c>
      <c r="D164" s="58">
        <f ca="1">('Total Duration Tables Sup #1'!D175*'Updated Population'!D$158)/('Total Duration Tables Sup #1'!D164*1000000)</f>
        <v>1.0094461156766377</v>
      </c>
      <c r="E164" s="58">
        <f ca="1">('Total Duration Tables Sup #1'!E175*'Updated Population'!E$158)/('Total Duration Tables Sup #1'!E164*1000000)</f>
        <v>1.0126502480121191</v>
      </c>
      <c r="F164" s="58">
        <f ca="1">('Total Duration Tables Sup #1'!F175*'Updated Population'!F$158)/('Total Duration Tables Sup #1'!F164*1000000)</f>
        <v>1.0158153661115679</v>
      </c>
      <c r="G164" s="58">
        <f ca="1">('Total Duration Tables Sup #1'!G175*'Updated Population'!G$158)/('Total Duration Tables Sup #1'!G164*1000000)</f>
        <v>1.019008130705461</v>
      </c>
      <c r="H164" s="58">
        <f ca="1">('Total Duration Tables Sup #1'!H175*'Updated Population'!H$158)/('Total Duration Tables Sup #1'!H164*1000000)</f>
        <v>1.0222855863580875</v>
      </c>
      <c r="I164" s="58">
        <f ca="1">('Total Duration Tables Sup #1'!I175*'Updated Population'!I$158)/('Total Duration Tables Sup #1'!I164*1000000)</f>
        <v>1.0255844771698832</v>
      </c>
      <c r="J164" s="58">
        <f ca="1">('Total Duration Tables Sup #1'!J175*'Updated Population'!J$158)/('Total Duration Tables Sup #1'!J164*1000000)</f>
        <v>1.0289026772840009</v>
      </c>
      <c r="K164" s="58">
        <f ca="1">('Total Duration Tables Sup #1'!K175*'Updated Population'!K$158)/('Total Duration Tables Sup #1'!K164*1000000)</f>
        <v>1.0322380445986685</v>
      </c>
    </row>
    <row r="165" spans="1:11" x14ac:dyDescent="0.2">
      <c r="A165" t="str">
        <f ca="1">'Total Duration Tables'!A22</f>
        <v>Local Train</v>
      </c>
      <c r="B165" s="58">
        <f ca="1">('Total Duration Tables Sup #1'!B176*'Updated Population'!B$158)/('Total Duration Tables Sup #1'!B165*1000000)</f>
        <v>1</v>
      </c>
      <c r="C165" s="58">
        <f ca="1">('Total Duration Tables Sup #1'!C176*'Updated Population'!C$158)/('Total Duration Tables Sup #1'!C165*1000000)</f>
        <v>1.0265940606597859</v>
      </c>
      <c r="D165" s="58">
        <f ca="1">('Total Duration Tables Sup #1'!D176*'Updated Population'!D$158)/('Total Duration Tables Sup #1'!D165*1000000)</f>
        <v>1.0422788545098116</v>
      </c>
      <c r="E165" s="58">
        <f ca="1">('Total Duration Tables Sup #1'!E176*'Updated Population'!E$158)/('Total Duration Tables Sup #1'!E165*1000000)</f>
        <v>1.0459194565744785</v>
      </c>
      <c r="F165" s="58">
        <f ca="1">('Total Duration Tables Sup #1'!F176*'Updated Population'!F$158)/('Total Duration Tables Sup #1'!F165*1000000)</f>
        <v>1.0480526049570054</v>
      </c>
      <c r="G165" s="58">
        <f ca="1">('Total Duration Tables Sup #1'!G176*'Updated Population'!G$158)/('Total Duration Tables Sup #1'!G165*1000000)</f>
        <v>1.0492125268250099</v>
      </c>
      <c r="H165" s="58">
        <f ca="1">('Total Duration Tables Sup #1'!H176*'Updated Population'!H$158)/('Total Duration Tables Sup #1'!H165*1000000)</f>
        <v>1.0503121231467687</v>
      </c>
      <c r="I165" s="58">
        <f ca="1">('Total Duration Tables Sup #1'!I176*'Updated Population'!I$158)/('Total Duration Tables Sup #1'!I165*1000000)</f>
        <v>1.0469004821671435</v>
      </c>
      <c r="J165" s="58">
        <f ca="1">('Total Duration Tables Sup #1'!J176*'Updated Population'!J$158)/('Total Duration Tables Sup #1'!J165*1000000)</f>
        <v>1.0435689175859137</v>
      </c>
      <c r="K165" s="58">
        <f ca="1">('Total Duration Tables Sup #1'!K176*'Updated Population'!K$158)/('Total Duration Tables Sup #1'!K165*1000000)</f>
        <v>1.0403126790664821</v>
      </c>
    </row>
    <row r="166" spans="1:11" x14ac:dyDescent="0.2">
      <c r="A166" t="str">
        <f ca="1">'Total Duration Tables'!A23</f>
        <v>Local Bus</v>
      </c>
      <c r="B166" s="58">
        <f ca="1">('Total Duration Tables Sup #1'!B177*'Updated Population'!B$169)/('Total Duration Tables Sup #1'!B166*1000000)</f>
        <v>1</v>
      </c>
      <c r="C166" s="58">
        <f ca="1">('Total Duration Tables Sup #1'!C177*'Updated Population'!C$169)/('Total Duration Tables Sup #1'!C166*1000000)</f>
        <v>1.0020029001292317</v>
      </c>
      <c r="D166" s="58">
        <f ca="1">('Total Duration Tables Sup #1'!D177*'Updated Population'!D$169)/('Total Duration Tables Sup #1'!D166*1000000)</f>
        <v>1.0037168121515772</v>
      </c>
      <c r="E166" s="58">
        <f ca="1">('Total Duration Tables Sup #1'!E177*'Updated Population'!E$169)/('Total Duration Tables Sup #1'!E166*1000000)</f>
        <v>1.0050276307789443</v>
      </c>
      <c r="F166" s="58">
        <f ca="1">('Total Duration Tables Sup #1'!F177*'Updated Population'!F$169)/('Total Duration Tables Sup #1'!F166*1000000)</f>
        <v>1.0063381536205978</v>
      </c>
      <c r="G166" s="58">
        <f ca="1">('Total Duration Tables Sup #1'!G177*'Updated Population'!G$169)/('Total Duration Tables Sup #1'!G166*1000000)</f>
        <v>1.0076389316105985</v>
      </c>
      <c r="H166" s="58">
        <f ca="1">('Total Duration Tables Sup #1'!H177*'Updated Population'!H$169)/('Total Duration Tables Sup #1'!H166*1000000)</f>
        <v>1.0089517302961493</v>
      </c>
      <c r="I166" s="58">
        <f ca="1">('Total Duration Tables Sup #1'!I177*'Updated Population'!I$169)/('Total Duration Tables Sup #1'!I166*1000000)</f>
        <v>1.010264123406408</v>
      </c>
      <c r="J166" s="58">
        <f ca="1">('Total Duration Tables Sup #1'!J177*'Updated Population'!J$169)/('Total Duration Tables Sup #1'!J166*1000000)</f>
        <v>1.0115753942233083</v>
      </c>
      <c r="K166" s="58">
        <f ca="1">('Total Duration Tables Sup #1'!K177*'Updated Population'!K$169)/('Total Duration Tables Sup #1'!K166*1000000)</f>
        <v>1.012884818282902</v>
      </c>
    </row>
    <row r="167" spans="1:11" x14ac:dyDescent="0.2">
      <c r="A167" t="str">
        <f ca="1">'Total Duration Tables'!A24</f>
        <v>Local Ferry</v>
      </c>
      <c r="B167" s="58">
        <f ca="1">('Total Duration Tables Sup #1'!B178*'Updated Population'!B$158)/('Total Duration Tables Sup #1'!B167*1000000)</f>
        <v>0.99999999999999978</v>
      </c>
      <c r="C167" s="58">
        <f ca="1">('Total Duration Tables Sup #1'!C178*'Updated Population'!C$158)/('Total Duration Tables Sup #1'!C167*1000000)</f>
        <v>0.98928649749841202</v>
      </c>
      <c r="D167" s="58">
        <f ca="1">('Total Duration Tables Sup #1'!D178*'Updated Population'!D$158)/('Total Duration Tables Sup #1'!D167*1000000)</f>
        <v>0.97968684924318394</v>
      </c>
      <c r="E167" s="58">
        <f ca="1">('Total Duration Tables Sup #1'!E178*'Updated Population'!E$158)/('Total Duration Tables Sup #1'!E167*1000000)</f>
        <v>0.9720912515647897</v>
      </c>
      <c r="F167" s="58">
        <f ca="1">('Total Duration Tables Sup #1'!F178*'Updated Population'!F$158)/('Total Duration Tables Sup #1'!F167*1000000)</f>
        <v>0.96456219184013225</v>
      </c>
      <c r="G167" s="58">
        <f ca="1">('Total Duration Tables Sup #1'!G178*'Updated Population'!G$158)/('Total Duration Tables Sup #1'!G167*1000000)</f>
        <v>0.95725781559031387</v>
      </c>
      <c r="H167" s="58">
        <f ca="1">('Total Duration Tables Sup #1'!H178*'Updated Population'!H$158)/('Total Duration Tables Sup #1'!H167*1000000)</f>
        <v>0.95010364528077995</v>
      </c>
      <c r="I167" s="58">
        <f ca="1">('Total Duration Tables Sup #1'!I178*'Updated Population'!I$158)/('Total Duration Tables Sup #1'!I167*1000000)</f>
        <v>0.94308059343089734</v>
      </c>
      <c r="J167" s="58">
        <f ca="1">('Total Duration Tables Sup #1'!J178*'Updated Population'!J$158)/('Total Duration Tables Sup #1'!J167*1000000)</f>
        <v>0.93618784093512453</v>
      </c>
      <c r="K167" s="58">
        <f ca="1">('Total Duration Tables Sup #1'!K178*'Updated Population'!K$158)/('Total Duration Tables Sup #1'!K167*1000000)</f>
        <v>0.92942448732243255</v>
      </c>
    </row>
    <row r="168" spans="1:11" x14ac:dyDescent="0.2">
      <c r="A168" t="str">
        <f ca="1">'Total Duration Tables'!A25</f>
        <v>Other Household Travel</v>
      </c>
      <c r="B168" s="58">
        <f ca="1">('Total Duration Tables Sup #1'!B179*'Updated Population'!B$158)/('Total Duration Tables Sup #1'!B168*1000000)</f>
        <v>1</v>
      </c>
      <c r="C168" s="58">
        <f ca="1">('Total Duration Tables Sup #1'!C179*'Updated Population'!C$158)/('Total Duration Tables Sup #1'!C168*1000000)</f>
        <v>0.99586756533336329</v>
      </c>
      <c r="D168" s="58">
        <f ca="1">('Total Duration Tables Sup #1'!D179*'Updated Population'!D$158)/('Total Duration Tables Sup #1'!D168*1000000)</f>
        <v>0.99265594221384845</v>
      </c>
      <c r="E168" s="58">
        <f ca="1">('Total Duration Tables Sup #1'!E179*'Updated Population'!E$158)/('Total Duration Tables Sup #1'!E168*1000000)</f>
        <v>0.9901759879968719</v>
      </c>
      <c r="F168" s="58">
        <f ca="1">('Total Duration Tables Sup #1'!F179*'Updated Population'!F$158)/('Total Duration Tables Sup #1'!F168*1000000)</f>
        <v>0.98772733677797597</v>
      </c>
      <c r="G168" s="58">
        <f ca="1">('Total Duration Tables Sup #1'!G179*'Updated Population'!G$158)/('Total Duration Tables Sup #1'!G168*1000000)</f>
        <v>0.985343938407238</v>
      </c>
      <c r="H168" s="58">
        <f ca="1">('Total Duration Tables Sup #1'!H179*'Updated Population'!H$158)/('Total Duration Tables Sup #1'!H168*1000000)</f>
        <v>0.98306767637433168</v>
      </c>
      <c r="I168" s="58">
        <f ca="1">('Total Duration Tables Sup #1'!I179*'Updated Population'!I$158)/('Total Duration Tables Sup #1'!I168*1000000)</f>
        <v>0.98084289041951778</v>
      </c>
      <c r="J168" s="58">
        <f ca="1">('Total Duration Tables Sup #1'!J179*'Updated Population'!J$158)/('Total Duration Tables Sup #1'!J168*1000000)</f>
        <v>0.97866954708619469</v>
      </c>
      <c r="K168" s="58">
        <f ca="1">('Total Duration Tables Sup #1'!K179*'Updated Population'!K$158)/('Total Duration Tables Sup #1'!K168*1000000)</f>
        <v>0.97654756798051778</v>
      </c>
    </row>
    <row r="169" spans="1:11" x14ac:dyDescent="0.2">
      <c r="A169" t="s">
        <v>67</v>
      </c>
    </row>
    <row r="170" spans="1:11" x14ac:dyDescent="0.2">
      <c r="A170" t="s">
        <v>34</v>
      </c>
      <c r="B170" s="4">
        <f>'[1]Transition '!B$40</f>
        <v>0</v>
      </c>
      <c r="C170" s="4">
        <f>'[1]Transition '!C$40</f>
        <v>5.0749186565425477</v>
      </c>
      <c r="D170" s="4">
        <f>'[1]Transition '!D$40</f>
        <v>16.23381290769316</v>
      </c>
      <c r="E170" s="4">
        <f>'[1]Transition '!E$40</f>
        <v>27.438308738315701</v>
      </c>
      <c r="F170" s="4">
        <f>'[1]Transition '!F$40</f>
        <v>32.940162329693052</v>
      </c>
      <c r="G170" s="4">
        <f>'[1]Transition '!G$40</f>
        <v>38.51776049307044</v>
      </c>
      <c r="H170" s="4">
        <f>'[1]Transition '!H$40</f>
        <v>44.145758385105552</v>
      </c>
      <c r="I170" s="1">
        <f>'[1]Transition '!I$40</f>
        <v>49.727215937492161</v>
      </c>
      <c r="J170" s="1">
        <f>'[1]Transition '!J$40</f>
        <v>55.702384820338949</v>
      </c>
      <c r="K170" s="1">
        <f>'[1]Transition '!K$40</f>
        <v>62.367904211211012</v>
      </c>
    </row>
    <row r="171" spans="1:11" x14ac:dyDescent="0.2">
      <c r="A171" t="s">
        <v>41</v>
      </c>
      <c r="B171" s="4">
        <f>'[2]Transition '!B$40</f>
        <v>0</v>
      </c>
      <c r="C171" s="4">
        <f>'[2]Transition '!C$40</f>
        <v>6.3557504535590503E-2</v>
      </c>
      <c r="D171" s="4">
        <f>'[2]Transition '!D$40</f>
        <v>0.58507581978432821</v>
      </c>
      <c r="E171" s="4">
        <f>'[2]Transition '!E$40</f>
        <v>1.0423738284840027</v>
      </c>
      <c r="F171" s="4">
        <f>'[2]Transition '!F$40</f>
        <v>1.4745261290924159</v>
      </c>
      <c r="G171" s="4">
        <f>'[2]Transition '!G$40</f>
        <v>1.9007844067922921</v>
      </c>
      <c r="H171" s="4">
        <f>'[2]Transition '!H$40</f>
        <v>2.3641732846539263</v>
      </c>
      <c r="I171" s="1">
        <f>'[2]Transition '!I$40</f>
        <v>2.9101782097085138</v>
      </c>
      <c r="J171" s="1">
        <f>'[2]Transition '!J$40</f>
        <v>3.5118924877581694</v>
      </c>
      <c r="K171" s="1">
        <f>'[2]Transition '!K$40</f>
        <v>4.1669990052605765</v>
      </c>
    </row>
    <row r="172" spans="1:11" x14ac:dyDescent="0.2">
      <c r="A172" t="s">
        <v>68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">
      <c r="A173" t="s">
        <v>34</v>
      </c>
      <c r="B173" s="4">
        <f>'[1]Transition '!B$43</f>
        <v>0</v>
      </c>
      <c r="C173" s="4">
        <f>'[1]Transition '!C$43</f>
        <v>0.18151910476814237</v>
      </c>
      <c r="D173" s="4">
        <f>'[1]Transition '!D$43</f>
        <v>7.8104173676279487</v>
      </c>
      <c r="E173" s="4">
        <f>'[1]Transition '!E$43</f>
        <v>15.185404176046603</v>
      </c>
      <c r="F173" s="4">
        <f>'[1]Transition '!F$43</f>
        <v>19.593230290737221</v>
      </c>
      <c r="G173" s="4">
        <f>'[1]Transition '!G$43</f>
        <v>24.006309636254777</v>
      </c>
      <c r="H173" s="4">
        <f>'[1]Transition '!H$43</f>
        <v>28.596589241456901</v>
      </c>
      <c r="I173" s="1">
        <f>'[1]Transition '!I$43</f>
        <v>32.745234426743714</v>
      </c>
      <c r="J173" s="1">
        <f>'[1]Transition '!J$43</f>
        <v>37.231685264280401</v>
      </c>
      <c r="K173" s="1">
        <f>'[1]Transition '!K$43</f>
        <v>42.253770569481119</v>
      </c>
    </row>
    <row r="174" spans="1:11" x14ac:dyDescent="0.2">
      <c r="A174" t="s">
        <v>41</v>
      </c>
      <c r="B174" s="4">
        <f>'[2]Transition '!B$43</f>
        <v>0</v>
      </c>
      <c r="C174" s="4">
        <f>'[2]Transition '!C$43</f>
        <v>1.3301984160015934E-2</v>
      </c>
      <c r="D174" s="4">
        <f>'[2]Transition '!D$43</f>
        <v>0.90116684100100208</v>
      </c>
      <c r="E174" s="4">
        <f>'[2]Transition '!E$43</f>
        <v>1.4983319546275489</v>
      </c>
      <c r="F174" s="4">
        <f>'[2]Transition '!F$43</f>
        <v>1.7423870906884495</v>
      </c>
      <c r="G174" s="4">
        <f>'[2]Transition '!G$43</f>
        <v>2.031746403488766</v>
      </c>
      <c r="H174" s="4">
        <f>'[2]Transition '!H$43</f>
        <v>2.3672212982516001</v>
      </c>
      <c r="I174" s="1">
        <f>'[2]Transition '!I$43</f>
        <v>2.5950077802134857</v>
      </c>
      <c r="J174" s="1">
        <f>'[2]Transition '!J$43</f>
        <v>2.8574948872089223</v>
      </c>
      <c r="K174" s="1">
        <f>'[2]Transition '!K$43</f>
        <v>3.1466888765694669</v>
      </c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0" spans="2:8" x14ac:dyDescent="0.2">
      <c r="B180" s="4"/>
      <c r="C180" s="4"/>
      <c r="D180" s="4"/>
      <c r="E180" s="4"/>
      <c r="F180" s="4"/>
      <c r="G180" s="4"/>
      <c r="H180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  <row r="191" spans="2:8" x14ac:dyDescent="0.2">
      <c r="B191" s="4"/>
      <c r="C191" s="4"/>
      <c r="D191" s="4"/>
      <c r="E191" s="4"/>
      <c r="F191" s="4"/>
      <c r="G191" s="4"/>
      <c r="H191" s="4"/>
    </row>
    <row r="193" spans="2:8" x14ac:dyDescent="0.2">
      <c r="B193" s="4"/>
      <c r="C193" s="4"/>
      <c r="D193" s="4"/>
      <c r="E193" s="4"/>
      <c r="F193" s="4"/>
      <c r="G193" s="4"/>
      <c r="H193" s="4"/>
    </row>
    <row r="194" spans="2:8" x14ac:dyDescent="0.2">
      <c r="B194" s="4"/>
      <c r="C194" s="4"/>
      <c r="D194" s="4"/>
      <c r="E194" s="4"/>
      <c r="F194" s="4"/>
      <c r="G194" s="4"/>
      <c r="H194" s="4"/>
    </row>
    <row r="195" spans="2:8" x14ac:dyDescent="0.2">
      <c r="B195" s="4"/>
      <c r="C195" s="4"/>
      <c r="D195" s="4"/>
      <c r="E195" s="4"/>
      <c r="F195" s="4"/>
      <c r="G195" s="4"/>
      <c r="H195" s="4"/>
    </row>
    <row r="196" spans="2:8" x14ac:dyDescent="0.2">
      <c r="B196" s="4"/>
      <c r="C196" s="4"/>
      <c r="D196" s="4"/>
      <c r="E196" s="4"/>
      <c r="F196" s="4"/>
      <c r="G196" s="4"/>
      <c r="H196" s="4"/>
    </row>
    <row r="197" spans="2:8" x14ac:dyDescent="0.2">
      <c r="B197" s="4"/>
      <c r="C197" s="4"/>
      <c r="D197" s="4"/>
      <c r="E197" s="4"/>
      <c r="F197" s="4"/>
      <c r="G197" s="4"/>
      <c r="H197" s="4"/>
    </row>
    <row r="198" spans="2:8" x14ac:dyDescent="0.2">
      <c r="B198" s="4"/>
      <c r="C198" s="4"/>
      <c r="D198" s="4"/>
      <c r="E198" s="4"/>
      <c r="F198" s="4"/>
      <c r="G198" s="4"/>
      <c r="H198" s="4"/>
    </row>
    <row r="199" spans="2:8" x14ac:dyDescent="0.2">
      <c r="B199" s="4"/>
      <c r="C199" s="4"/>
      <c r="D199" s="4"/>
      <c r="E199" s="4"/>
      <c r="F199" s="4"/>
      <c r="G199" s="4"/>
      <c r="H199" s="4"/>
    </row>
    <row r="200" spans="2:8" x14ac:dyDescent="0.2">
      <c r="B200" s="4"/>
      <c r="C200" s="4"/>
      <c r="D200" s="4"/>
      <c r="E200" s="4"/>
      <c r="F200" s="4"/>
      <c r="G200" s="4"/>
      <c r="H200" s="4"/>
    </row>
    <row r="201" spans="2:8" x14ac:dyDescent="0.2">
      <c r="B201" s="4"/>
      <c r="C201" s="4"/>
      <c r="D201" s="4"/>
      <c r="E201" s="4"/>
      <c r="F201" s="4"/>
      <c r="G201" s="4"/>
      <c r="H201" s="4"/>
    </row>
    <row r="202" spans="2:8" x14ac:dyDescent="0.2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T19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4" sqref="G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59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OFFSET(Northland_Reference,0,7)</f>
        <v>5.0772161771000004</v>
      </c>
      <c r="C5" s="4">
        <f ca="1">$B5*('Updated Population'!C$4/'Updated Population'!$B$4)*('Total Duration Tables Sup #1'!C170/'Total Duration Tables Sup #1'!$B170)</f>
        <v>5.4073211527494465</v>
      </c>
      <c r="D5" s="4">
        <f ca="1">$B5*('Updated Population'!D$4/'Updated Population'!$B$4)*('Total Duration Tables Sup #1'!D170/'Total Duration Tables Sup #1'!$B170)</f>
        <v>5.5770088301240266</v>
      </c>
      <c r="E5" s="4">
        <f ca="1">$B5*('Updated Population'!E$4/'Updated Population'!$B$4)*('Total Duration Tables Sup #1'!E170/'Total Duration Tables Sup #1'!$B170)</f>
        <v>5.6553536008340188</v>
      </c>
      <c r="F5" s="4">
        <f ca="1">$B5*('Updated Population'!F$4/'Updated Population'!$B$4)*('Total Duration Tables Sup #1'!F170/'Total Duration Tables Sup #1'!$B170)</f>
        <v>5.6704985280328515</v>
      </c>
      <c r="G5" s="4">
        <f ca="1">$B5*('Updated Population'!G$4/'Updated Population'!$B$4)*('Total Duration Tables Sup #1'!G170/'Total Duration Tables Sup #1'!$B170)</f>
        <v>5.6574157487465886</v>
      </c>
      <c r="H5" s="4">
        <f ca="1">$B5*('Updated Population'!H$4/'Updated Population'!$B$4)*('Total Duration Tables Sup #1'!H170/'Total Duration Tables Sup #1'!$B170)</f>
        <v>5.6161819585697819</v>
      </c>
      <c r="I5" s="1">
        <f ca="1">$B5*('Updated Population'!I$4/'Updated Population'!$B$4)*('Total Duration Tables Sup #1'!I170/'Total Duration Tables Sup #1'!$B170)</f>
        <v>5.6939621449855853</v>
      </c>
      <c r="J5" s="1">
        <f ca="1">$B5*('Updated Population'!J$4/'Updated Population'!$B$4)*('Total Duration Tables Sup #1'!J170/'Total Duration Tables Sup #1'!$B170)</f>
        <v>5.7567517551161167</v>
      </c>
      <c r="K5" s="1">
        <f ca="1">$B5*('Updated Population'!K$4/'Updated Population'!$B$4)*('Total Duration Tables Sup #1'!K170/'Total Duration Tables Sup #1'!$B170)</f>
        <v>5.8100986688520768</v>
      </c>
    </row>
    <row r="6" spans="1:11" x14ac:dyDescent="0.2">
      <c r="A6" t="str">
        <f ca="1">OFFSET(Northland_Reference,7,2)</f>
        <v>Cyclist</v>
      </c>
      <c r="B6" s="4">
        <f ca="1">OFFSET(Northland_Reference,7,7)</f>
        <v>0.15772883609999999</v>
      </c>
      <c r="C6" s="4">
        <f ca="1">$B6*('Updated Population'!C$4/'Updated Population'!$B$4)*('Total Duration Tables Sup #1'!C171/'Total Duration Tables Sup #1'!$B171)</f>
        <v>0.17259468510419795</v>
      </c>
      <c r="D6" s="4">
        <f ca="1">$B6*('Updated Population'!D$4/'Updated Population'!$B$4)*('Total Duration Tables Sup #1'!D171/'Total Duration Tables Sup #1'!$B171)</f>
        <v>0.17996117662437114</v>
      </c>
      <c r="E6" s="4">
        <f ca="1">$B6*('Updated Population'!E$4/'Updated Population'!$B$4)*('Total Duration Tables Sup #1'!E171/'Total Duration Tables Sup #1'!$B171)</f>
        <v>0.18333254150840336</v>
      </c>
      <c r="F6" s="4">
        <f ca="1">$B6*('Updated Population'!F$4/'Updated Population'!$B$4)*('Total Duration Tables Sup #1'!F171/'Total Duration Tables Sup #1'!$B171)</f>
        <v>0.1877714449424385</v>
      </c>
      <c r="G6" s="4">
        <f ca="1">$B6*('Updated Population'!G$4/'Updated Population'!$B$4)*('Total Duration Tables Sup #1'!G171/'Total Duration Tables Sup #1'!$B171)</f>
        <v>0.19388226422532751</v>
      </c>
      <c r="H6" s="4">
        <f ca="1">$B6*('Updated Population'!H$4/'Updated Population'!$B$4)*('Total Duration Tables Sup #1'!H171/'Total Duration Tables Sup #1'!$B171)</f>
        <v>0.19980879102609206</v>
      </c>
      <c r="I6" s="1">
        <f ca="1">$B6*('Updated Population'!I$4/'Updated Population'!$B$4)*('Total Duration Tables Sup #1'!I171/'Total Duration Tables Sup #1'!$B171)</f>
        <v>0.2025760028308683</v>
      </c>
      <c r="J6" s="1">
        <f ca="1">$B6*('Updated Population'!J$4/'Updated Population'!$B$4)*('Total Duration Tables Sup #1'!J171/'Total Duration Tables Sup #1'!$B171)</f>
        <v>0.20480988987044993</v>
      </c>
      <c r="K6" s="1">
        <f ca="1">$B6*('Updated Population'!K$4/'Updated Population'!$B$4)*('Total Duration Tables Sup #1'!K171/'Total Duration Tables Sup #1'!$B171)</f>
        <v>0.20670783093026382</v>
      </c>
    </row>
    <row r="7" spans="1:11" x14ac:dyDescent="0.2">
      <c r="A7" t="str">
        <f ca="1">OFFSET(Northland_Reference,14,2)</f>
        <v>Light Vehicle Driver</v>
      </c>
      <c r="B7" s="4">
        <f ca="1">OFFSET(Northland_Reference,14,7)</f>
        <v>23.421840091</v>
      </c>
      <c r="C7" s="4">
        <f ca="1">$B7*('Updated Population'!C$4/'Updated Population'!$B$4)*('Total Duration Tables Sup #1'!C172/'Total Duration Tables Sup #1'!$B172)</f>
        <v>25.798831724849322</v>
      </c>
      <c r="D7" s="4">
        <f ca="1">$B7*('Updated Population'!D$4/'Updated Population'!$B$4)*('Total Duration Tables Sup #1'!D172/'Total Duration Tables Sup #1'!$B172)</f>
        <v>27.151855473509102</v>
      </c>
      <c r="E7" s="4">
        <f ca="1">$B7*('Updated Population'!E$4/'Updated Population'!$B$4)*('Total Duration Tables Sup #1'!E172/'Total Duration Tables Sup #1'!$B172)</f>
        <v>28.312841112815256</v>
      </c>
      <c r="F7" s="4">
        <f ca="1">$B7*('Updated Population'!F$4/'Updated Population'!$B$4)*('Total Duration Tables Sup #1'!F172/'Total Duration Tables Sup #1'!$B172)</f>
        <v>29.300611438844392</v>
      </c>
      <c r="G7" s="4">
        <f ca="1">$B7*('Updated Population'!G$4/'Updated Population'!$B$4)*('Total Duration Tables Sup #1'!G172/'Total Duration Tables Sup #1'!$B172)</f>
        <v>29.972584257376774</v>
      </c>
      <c r="H7" s="4">
        <f ca="1">$B7*('Updated Population'!H$4/'Updated Population'!$B$4)*('Total Duration Tables Sup #1'!H172/'Total Duration Tables Sup #1'!$B172)</f>
        <v>30.466515533466666</v>
      </c>
      <c r="I7" s="1">
        <f ca="1">$B7*('Updated Population'!I$4/'Updated Population'!$B$4)*('Total Duration Tables Sup #1'!I172/'Total Duration Tables Sup #1'!$B172)</f>
        <v>30.888455434116981</v>
      </c>
      <c r="J7" s="1">
        <f ca="1">$B7*('Updated Population'!J$4/'Updated Population'!$B$4)*('Total Duration Tables Sup #1'!J172/'Total Duration Tables Sup #1'!$B172)</f>
        <v>31.229074852521528</v>
      </c>
      <c r="K7" s="1">
        <f ca="1">$B7*('Updated Population'!K$4/'Updated Population'!$B$4)*('Total Duration Tables Sup #1'!K172/'Total Duration Tables Sup #1'!$B172)</f>
        <v>31.518469780960249</v>
      </c>
    </row>
    <row r="8" spans="1:11" x14ac:dyDescent="0.2">
      <c r="A8" t="str">
        <f ca="1">OFFSET(Northland_Reference,21,2)</f>
        <v>Light Vehicle Passenger</v>
      </c>
      <c r="B8" s="4">
        <f ca="1">OFFSET(Northland_Reference,21,7)</f>
        <v>15.174949781</v>
      </c>
      <c r="C8" s="4">
        <f ca="1">$B8*('Updated Population'!C$4/'Updated Population'!$B$4)*('Total Duration Tables Sup #1'!C173/'Total Duration Tables Sup #1'!$B173)</f>
        <v>16.016320050347538</v>
      </c>
      <c r="D8" s="4">
        <f ca="1">$B8*('Updated Population'!D$4/'Updated Population'!$B$4)*('Total Duration Tables Sup #1'!D173/'Total Duration Tables Sup #1'!$B173)</f>
        <v>16.461085941450346</v>
      </c>
      <c r="E8" s="4">
        <f ca="1">$B8*('Updated Population'!E$4/'Updated Population'!$B$4)*('Total Duration Tables Sup #1'!E173/'Total Duration Tables Sup #1'!$B173)</f>
        <v>16.767494297049581</v>
      </c>
      <c r="F8" s="4">
        <f ca="1">$B8*('Updated Population'!F$4/'Updated Population'!$B$4)*('Total Duration Tables Sup #1'!F173/'Total Duration Tables Sup #1'!$B173)</f>
        <v>16.940297618786321</v>
      </c>
      <c r="G8" s="4">
        <f ca="1">$B8*('Updated Population'!G$4/'Updated Population'!$B$4)*('Total Duration Tables Sup #1'!G173/'Total Duration Tables Sup #1'!$B173)</f>
        <v>16.993942068528938</v>
      </c>
      <c r="H8" s="4">
        <f ca="1">$B8*('Updated Population'!H$4/'Updated Population'!$B$4)*('Total Duration Tables Sup #1'!H173/'Total Duration Tables Sup #1'!$B173)</f>
        <v>16.941361909656283</v>
      </c>
      <c r="I8" s="1">
        <f ca="1">$B8*('Updated Population'!I$4/'Updated Population'!$B$4)*('Total Duration Tables Sup #1'!I173/'Total Duration Tables Sup #1'!$B173)</f>
        <v>17.17598790596325</v>
      </c>
      <c r="J8" s="1">
        <f ca="1">$B8*('Updated Population'!J$4/'Updated Population'!$B$4)*('Total Duration Tables Sup #1'!J173/'Total Duration Tables Sup #1'!$B173)</f>
        <v>17.365394431114094</v>
      </c>
      <c r="K8" s="1">
        <f ca="1">$B8*('Updated Population'!K$4/'Updated Population'!$B$4)*('Total Duration Tables Sup #1'!K173/'Total Duration Tables Sup #1'!$B173)</f>
        <v>17.526316812018269</v>
      </c>
    </row>
    <row r="9" spans="1:11" x14ac:dyDescent="0.2">
      <c r="A9" t="str">
        <f ca="1">OFFSET(Northland_Reference,28,2)</f>
        <v>Taxi/Vehicle Share</v>
      </c>
      <c r="B9" s="4">
        <f ca="1">OFFSET(Northland_Reference,28,7)</f>
        <v>2.5131369800000001E-2</v>
      </c>
      <c r="C9" s="4">
        <f ca="1">$B9*('Updated Population'!C$4/'Updated Population'!$B$4)*('Total Duration Tables Sup #1'!C174/'Total Duration Tables Sup #1'!$B174)</f>
        <v>2.8859500483386185E-2</v>
      </c>
      <c r="D9" s="4">
        <f ca="1">$B9*('Updated Population'!D$4/'Updated Population'!$B$4)*('Total Duration Tables Sup #1'!D174/'Total Duration Tables Sup #1'!$B174)</f>
        <v>3.1687581590277104E-2</v>
      </c>
      <c r="E9" s="4">
        <f ca="1">$B9*('Updated Population'!E$4/'Updated Population'!$B$4)*('Total Duration Tables Sup #1'!E174/'Total Duration Tables Sup #1'!$B174)</f>
        <v>3.4016431419628922E-2</v>
      </c>
      <c r="F9" s="4">
        <f ca="1">$B9*('Updated Population'!F$4/'Updated Population'!$B$4)*('Total Duration Tables Sup #1'!F174/'Total Duration Tables Sup #1'!$B174)</f>
        <v>3.5921849817863213E-2</v>
      </c>
      <c r="G9" s="4">
        <f ca="1">$B9*('Updated Population'!G$4/'Updated Population'!$B$4)*('Total Duration Tables Sup #1'!G174/'Total Duration Tables Sup #1'!$B174)</f>
        <v>3.7132029649242386E-2</v>
      </c>
      <c r="H9" s="4">
        <f ca="1">$B9*('Updated Population'!H$4/'Updated Population'!$B$4)*('Total Duration Tables Sup #1'!H174/'Total Duration Tables Sup #1'!$B174)</f>
        <v>3.8121459017436812E-2</v>
      </c>
      <c r="I9" s="1">
        <f ca="1">$B9*('Updated Population'!I$4/'Updated Population'!$B$4)*('Total Duration Tables Sup #1'!I174/'Total Duration Tables Sup #1'!$B174)</f>
        <v>3.8649414523631583E-2</v>
      </c>
      <c r="J9" s="1">
        <f ca="1">$B9*('Updated Population'!J$4/'Updated Population'!$B$4)*('Total Duration Tables Sup #1'!J174/'Total Duration Tables Sup #1'!$B174)</f>
        <v>3.9075617158619111E-2</v>
      </c>
      <c r="K9" s="1">
        <f ca="1">$B9*('Updated Population'!K$4/'Updated Population'!$B$4)*('Total Duration Tables Sup #1'!K174/'Total Duration Tables Sup #1'!$B174)</f>
        <v>3.9437724761380979E-2</v>
      </c>
    </row>
    <row r="10" spans="1:11" x14ac:dyDescent="0.2">
      <c r="A10" t="str">
        <f ca="1">OFFSET(Northland_Reference,35,2)</f>
        <v>Motorcyclist</v>
      </c>
      <c r="B10" s="4">
        <f ca="1">OFFSET(Northland_Reference,35,7)</f>
        <v>0.28382488960000002</v>
      </c>
      <c r="C10" s="4">
        <f ca="1">$B10*('Updated Population'!C$4/'Updated Population'!$B$4)*('Total Duration Tables Sup #1'!C175/'Total Duration Tables Sup #1'!$B175)</f>
        <v>0.30753432954471788</v>
      </c>
      <c r="D10" s="4">
        <f ca="1">$B10*('Updated Population'!D$4/'Updated Population'!$B$4)*('Total Duration Tables Sup #1'!D175/'Total Duration Tables Sup #1'!$B175)</f>
        <v>0.31895652046164202</v>
      </c>
      <c r="E10" s="4">
        <f ca="1">$B10*('Updated Population'!E$4/'Updated Population'!$B$4)*('Total Duration Tables Sup #1'!E175/'Total Duration Tables Sup #1'!$B175)</f>
        <v>0.32630250797842797</v>
      </c>
      <c r="F10" s="4">
        <f ca="1">$B10*('Updated Population'!F$4/'Updated Population'!$B$4)*('Total Duration Tables Sup #1'!F175/'Total Duration Tables Sup #1'!$B175)</f>
        <v>0.33136921479147941</v>
      </c>
      <c r="G10" s="4">
        <f ca="1">$B10*('Updated Population'!G$4/'Updated Population'!$B$4)*('Total Duration Tables Sup #1'!G175/'Total Duration Tables Sup #1'!$B175)</f>
        <v>0.3312646759813983</v>
      </c>
      <c r="H10" s="4">
        <f ca="1">$B10*('Updated Population'!H$4/'Updated Population'!$B$4)*('Total Duration Tables Sup #1'!H175/'Total Duration Tables Sup #1'!$B175)</f>
        <v>0.32879673767103323</v>
      </c>
      <c r="I10" s="1">
        <f ca="1">$B10*('Updated Population'!I$4/'Updated Population'!$B$4)*('Total Duration Tables Sup #1'!I175/'Total Duration Tables Sup #1'!$B175)</f>
        <v>0.3333503421905481</v>
      </c>
      <c r="J10" s="1">
        <f ca="1">$B10*('Updated Population'!J$4/'Updated Population'!$B$4)*('Total Duration Tables Sup #1'!J175/'Total Duration Tables Sup #1'!$B175)</f>
        <v>0.33702633045496899</v>
      </c>
      <c r="K10" s="1">
        <f ca="1">$B10*('Updated Population'!K$4/'Updated Population'!$B$4)*('Total Duration Tables Sup #1'!K175/'Total Duration Tables Sup #1'!$B175)</f>
        <v>0.34014950048945064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Duration Tables Sup #1'!C176/'Total Duration Tables Sup #1'!$B176)</f>
        <v>0</v>
      </c>
      <c r="D11" s="4">
        <f ca="1">$B11*('Updated Population'!D$4/'Updated Population'!$B$4)*('Total Duration Tables Sup #1'!D176/'Total Duration Tables Sup #1'!$B176)</f>
        <v>0</v>
      </c>
      <c r="E11" s="4">
        <f ca="1">$B11*('Updated Population'!E$4/'Updated Population'!$B$4)*('Total Duration Tables Sup #1'!E176/'Total Duration Tables Sup #1'!$B176)</f>
        <v>0</v>
      </c>
      <c r="F11" s="4">
        <f ca="1">$B11*('Updated Population'!F$4/'Updated Population'!$B$4)*('Total Duration Tables Sup #1'!F176/'Total Duration Tables Sup #1'!$B176)</f>
        <v>0</v>
      </c>
      <c r="G11" s="4">
        <f ca="1">$B11*('Updated Population'!G$4/'Updated Population'!$B$4)*('Total Duration Tables Sup #1'!G176/'Total Duration Tables Sup #1'!$B176)</f>
        <v>0</v>
      </c>
      <c r="H11" s="4">
        <f ca="1">$B11*('Updated Population'!H$4/'Updated Population'!$B$4)*('Total Duration Tables Sup #1'!H176/'Total Duration Tables Sup #1'!$B176)</f>
        <v>0</v>
      </c>
      <c r="I11" s="1">
        <f ca="1">$B11*('Updated Population'!I$4/'Updated Population'!$B$4)*('Total Duration Tables Sup #1'!I176/'Total Duration Tables Sup #1'!$B176)</f>
        <v>0</v>
      </c>
      <c r="J11" s="1">
        <f ca="1">$B11*('Updated Population'!J$4/'Updated Population'!$B$4)*('Total Duration Tables Sup #1'!J176/'Total Duration Tables Sup #1'!$B176)</f>
        <v>0</v>
      </c>
      <c r="K11" s="1">
        <f ca="1">$B11*('Updated Population'!K$4/'Updated Population'!$B$4)*('Total Duration Tables Sup #1'!K176/'Total Duration Tables Sup #1'!$B176)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OFFSET(Northland_Reference,42,7)</f>
        <v>1.5691203781</v>
      </c>
      <c r="C12" s="4">
        <f ca="1">$B12*('Updated Population'!C$4/'Updated Population'!$B$4)*('Total Duration Tables Sup #1'!C177/'Total Duration Tables Sup #1'!$B177)</f>
        <v>1.56196682160775</v>
      </c>
      <c r="D12" s="4">
        <f ca="1">$B12*('Updated Population'!D$4/'Updated Population'!$B$4)*('Total Duration Tables Sup #1'!D177/'Total Duration Tables Sup #1'!$B177)</f>
        <v>1.5479921526213125</v>
      </c>
      <c r="E12" s="4">
        <f ca="1">$B12*('Updated Population'!E$4/'Updated Population'!$B$4)*('Total Duration Tables Sup #1'!E177/'Total Duration Tables Sup #1'!$B177)</f>
        <v>1.5398685794330185</v>
      </c>
      <c r="F12" s="4">
        <f ca="1">$B12*('Updated Population'!F$4/'Updated Population'!$B$4)*('Total Duration Tables Sup #1'!F177/'Total Duration Tables Sup #1'!$B177)</f>
        <v>1.5080670438057153</v>
      </c>
      <c r="G12" s="4">
        <f ca="1">$B12*('Updated Population'!G$4/'Updated Population'!$B$4)*('Total Duration Tables Sup #1'!G177/'Total Duration Tables Sup #1'!$B177)</f>
        <v>1.4823903192937398</v>
      </c>
      <c r="H12" s="4">
        <f ca="1">$B12*('Updated Population'!H$4/'Updated Population'!$B$4)*('Total Duration Tables Sup #1'!H177/'Total Duration Tables Sup #1'!$B177)</f>
        <v>1.44870729235044</v>
      </c>
      <c r="I12" s="1">
        <f ca="1">$B12*('Updated Population'!I$4/'Updated Population'!$B$4)*('Total Duration Tables Sup #1'!I177/'Total Duration Tables Sup #1'!$B177)</f>
        <v>1.4687708736396843</v>
      </c>
      <c r="J12" s="1">
        <f ca="1">$B12*('Updated Population'!J$4/'Updated Population'!$B$4)*('Total Duration Tables Sup #1'!J177/'Total Duration Tables Sup #1'!$B177)</f>
        <v>1.4849676006601007</v>
      </c>
      <c r="K12" s="1">
        <f ca="1">$B12*('Updated Population'!K$4/'Updated Population'!$B$4)*('Total Duration Tables Sup #1'!K177/'Total Duration Tables Sup #1'!$B177)</f>
        <v>1.4987285620256325</v>
      </c>
    </row>
    <row r="13" spans="1:11" x14ac:dyDescent="0.2">
      <c r="A13" t="str">
        <f ca="1">OFFSET(Northland_Reference,49,2)</f>
        <v>Local Ferry</v>
      </c>
      <c r="B13" s="4">
        <f ca="1">OFFSET(Northland_Reference,49,7)</f>
        <v>1.43058123E-2</v>
      </c>
      <c r="C13" s="4">
        <f ca="1">$B13*('Updated Population'!C$4/'Updated Population'!$B$4)*('Total Duration Tables Sup #1'!C178/'Total Duration Tables Sup #1'!$B178)</f>
        <v>1.6124520556115997E-2</v>
      </c>
      <c r="D13" s="4">
        <f ca="1">$B13*('Updated Population'!D$4/'Updated Population'!$B$4)*('Total Duration Tables Sup #1'!D178/'Total Duration Tables Sup #1'!$B178)</f>
        <v>1.7284278311733774E-2</v>
      </c>
      <c r="E13" s="4">
        <f ca="1">$B13*('Updated Population'!E$4/'Updated Population'!$B$4)*('Total Duration Tables Sup #1'!E178/'Total Duration Tables Sup #1'!$B178)</f>
        <v>1.7993990190253332E-2</v>
      </c>
      <c r="F13" s="4">
        <f ca="1">$B13*('Updated Population'!F$4/'Updated Population'!$B$4)*('Total Duration Tables Sup #1'!F178/'Total Duration Tables Sup #1'!$B178)</f>
        <v>1.8436797199440327E-2</v>
      </c>
      <c r="G13" s="4">
        <f ca="1">$B13*('Updated Population'!G$4/'Updated Population'!$B$4)*('Total Duration Tables Sup #1'!G178/'Total Duration Tables Sup #1'!$B178)</f>
        <v>1.9156281759369957E-2</v>
      </c>
      <c r="H13" s="4">
        <f ca="1">$B13*('Updated Population'!H$4/'Updated Population'!$B$4)*('Total Duration Tables Sup #1'!H178/'Total Duration Tables Sup #1'!$B178)</f>
        <v>1.9695201465983952E-2</v>
      </c>
      <c r="I13" s="1">
        <f ca="1">$B13*('Updated Population'!I$4/'Updated Population'!$B$4)*('Total Duration Tables Sup #1'!I178/'Total Duration Tables Sup #1'!$B178)</f>
        <v>1.9967966211289878E-2</v>
      </c>
      <c r="J13" s="1">
        <f ca="1">$B13*('Updated Population'!J$4/'Updated Population'!$B$4)*('Total Duration Tables Sup #1'!J178/'Total Duration Tables Sup #1'!$B178)</f>
        <v>2.0188161003875684E-2</v>
      </c>
      <c r="K13" s="1">
        <f ca="1">$B13*('Updated Population'!K$4/'Updated Population'!$B$4)*('Total Duration Tables Sup #1'!K178/'Total Duration Tables Sup #1'!$B178)</f>
        <v>2.0375241518960308E-2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OFFSET(Northland_Reference,56,7)</f>
        <v>0</v>
      </c>
      <c r="C14" s="4">
        <f ca="1">$B14*('Updated Population'!C$4/'Updated Population'!$B$4)*('Total Duration Tables Sup #1'!C179/'Total Duration Tables Sup #1'!$B179)</f>
        <v>0</v>
      </c>
      <c r="D14" s="4">
        <f ca="1">$B14*('Updated Population'!D$4/'Updated Population'!$B$4)*('Total Duration Tables Sup #1'!D179/'Total Duration Tables Sup #1'!$B179)</f>
        <v>0</v>
      </c>
      <c r="E14" s="4">
        <f ca="1">$B14*('Updated Population'!E$4/'Updated Population'!$B$4)*('Total Duration Tables Sup #1'!E179/'Total Duration Tables Sup #1'!$B179)</f>
        <v>0</v>
      </c>
      <c r="F14" s="4">
        <f ca="1">$B14*('Updated Population'!F$4/'Updated Population'!$B$4)*('Total Duration Tables Sup #1'!F179/'Total Duration Tables Sup #1'!$B179)</f>
        <v>0</v>
      </c>
      <c r="G14" s="4">
        <f ca="1">$B14*('Updated Population'!G$4/'Updated Population'!$B$4)*('Total Duration Tables Sup #1'!G179/'Total Duration Tables Sup #1'!$B179)</f>
        <v>0</v>
      </c>
      <c r="H14" s="4">
        <f ca="1">$B14*('Updated Population'!H$4/'Updated Population'!$B$4)*('Total Duration Tables Sup #1'!H179/'Total Duration Tables Sup #1'!$B179)</f>
        <v>0</v>
      </c>
      <c r="I14" s="1">
        <f ca="1">$B14*('Updated Population'!I$4/'Updated Population'!$B$4)*('Total Duration Tables Sup #1'!I179/'Total Duration Tables Sup #1'!$B179)</f>
        <v>0</v>
      </c>
      <c r="J14" s="1">
        <f ca="1">$B14*('Updated Population'!J$4/'Updated Population'!$B$4)*('Total Duration Tables Sup #1'!J179/'Total Duration Tables Sup #1'!$B179)</f>
        <v>0</v>
      </c>
      <c r="K14" s="1">
        <f ca="1">$B14*('Updated Population'!K$4/'Updated Population'!$B$4)*('Total Duration Tables Sup #1'!K179/'Total Duration Tables Sup #1'!$B179)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OFFSET(Auckland_Reference,0,7)</f>
        <v>73.381071999</v>
      </c>
      <c r="C16" s="4">
        <f ca="1">$B16*('Updated Population'!C$15/'Updated Population'!$B$15)*('Total Duration Tables Sup #1'!C170/'Total Duration Tables Sup #1'!$B170)</f>
        <v>80.082203397597496</v>
      </c>
      <c r="D16" s="4">
        <f ca="1">$B16*('Updated Population'!D$15/'Updated Population'!$B$15)*('Total Duration Tables Sup #1'!D170/'Total Duration Tables Sup #1'!$B170)</f>
        <v>84.350354857784851</v>
      </c>
      <c r="E16" s="4">
        <f ca="1">$B16*('Updated Population'!E$15/'Updated Population'!$B$15)*('Total Duration Tables Sup #1'!E170/'Total Duration Tables Sup #1'!$B170)</f>
        <v>86.961862620909599</v>
      </c>
      <c r="F16" s="4">
        <f ca="1">$B16*('Updated Population'!F$15/'Updated Population'!$B$15)*('Total Duration Tables Sup #1'!F170/'Total Duration Tables Sup #1'!$B170)</f>
        <v>88.768059783232715</v>
      </c>
      <c r="G16" s="4">
        <f ca="1">$B16*('Updated Population'!G$15/'Updated Population'!$B$15)*('Total Duration Tables Sup #1'!G170/'Total Duration Tables Sup #1'!$B170)</f>
        <v>90.16550553119481</v>
      </c>
      <c r="H16" s="4">
        <f ca="1">$B16*('Updated Population'!H$15/'Updated Population'!$B$15)*('Total Duration Tables Sup #1'!H170/'Total Duration Tables Sup #1'!$B170)</f>
        <v>91.214291535301697</v>
      </c>
      <c r="I16" s="1">
        <f ca="1">$B16*('Updated Population'!I$15/'Updated Population'!$B$15)*('Total Duration Tables Sup #1'!I170/'Total Duration Tables Sup #1'!$B170)</f>
        <v>94.224359890221336</v>
      </c>
      <c r="J16" s="1">
        <f ca="1">$B16*('Updated Population'!J$15/'Updated Population'!$B$15)*('Total Duration Tables Sup #1'!J170/'Total Duration Tables Sup #1'!$B170)</f>
        <v>97.045463109218304</v>
      </c>
      <c r="K16" s="1">
        <f ca="1">$B16*('Updated Population'!K$15/'Updated Population'!$B$15)*('Total Duration Tables Sup #1'!K170/'Total Duration Tables Sup #1'!$B170)</f>
        <v>99.757920898343258</v>
      </c>
    </row>
    <row r="17" spans="1:11" x14ac:dyDescent="0.2">
      <c r="A17" t="str">
        <f ca="1">OFFSET(Auckland_Reference,7,2)</f>
        <v>Cyclist</v>
      </c>
      <c r="B17" s="4">
        <f ca="1">OFFSET(Auckland_Reference,7,7)</f>
        <v>4.3659429593999999</v>
      </c>
      <c r="C17" s="4">
        <f ca="1">$B17*('Updated Population'!C$15/'Updated Population'!$B$15)*('Total Duration Tables Sup #1'!C171/'Total Duration Tables Sup #1'!$B171)</f>
        <v>4.8954185562141213</v>
      </c>
      <c r="D17" s="4">
        <f ca="1">$B17*('Updated Population'!D$15/'Updated Population'!$B$15)*('Total Duration Tables Sup #1'!D171/'Total Duration Tables Sup #1'!$B171)</f>
        <v>5.2128228685171623</v>
      </c>
      <c r="E17" s="4">
        <f ca="1">$B17*('Updated Population'!E$15/'Updated Population'!$B$15)*('Total Duration Tables Sup #1'!E171/'Total Duration Tables Sup #1'!$B171)</f>
        <v>5.3990480167950619</v>
      </c>
      <c r="F17" s="4">
        <f ca="1">$B17*('Updated Population'!F$15/'Updated Population'!$B$15)*('Total Duration Tables Sup #1'!F171/'Total Duration Tables Sup #1'!$B171)</f>
        <v>5.6295488982734918</v>
      </c>
      <c r="G17" s="4">
        <f ca="1">$B17*('Updated Population'!G$15/'Updated Population'!$B$15)*('Total Duration Tables Sup #1'!G171/'Total Duration Tables Sup #1'!$B171)</f>
        <v>5.9179183902087447</v>
      </c>
      <c r="H17" s="4">
        <f ca="1">$B17*('Updated Population'!H$15/'Updated Population'!$B$15)*('Total Duration Tables Sup #1'!H171/'Total Duration Tables Sup #1'!$B171)</f>
        <v>6.2150535262127367</v>
      </c>
      <c r="I17" s="1">
        <f ca="1">$B17*('Updated Population'!I$15/'Updated Population'!$B$15)*('Total Duration Tables Sup #1'!I171/'Total Duration Tables Sup #1'!$B171)</f>
        <v>6.4201500700601937</v>
      </c>
      <c r="J17" s="1">
        <f ca="1">$B17*('Updated Population'!J$15/'Updated Population'!$B$15)*('Total Duration Tables Sup #1'!J171/'Total Duration Tables Sup #1'!$B171)</f>
        <v>6.6123711268038221</v>
      </c>
      <c r="K17" s="1">
        <f ca="1">$B17*('Updated Population'!K$15/'Updated Population'!$B$15)*('Total Duration Tables Sup #1'!K171/'Total Duration Tables Sup #1'!$B171)</f>
        <v>6.7971894273491911</v>
      </c>
    </row>
    <row r="18" spans="1:11" x14ac:dyDescent="0.2">
      <c r="A18" t="str">
        <f ca="1">OFFSET(Auckland_Reference,14,2)</f>
        <v>Light Vehicle Driver</v>
      </c>
      <c r="B18" s="4">
        <f ca="1">OFFSET(Auckland_Reference,14,7)</f>
        <v>295.36669345000001</v>
      </c>
      <c r="C18" s="4">
        <f ca="1">$B18*('Updated Population'!C$15/'Updated Population'!$B$15)*('Total Duration Tables Sup #1'!C172/'Total Duration Tables Sup #1'!$B172)</f>
        <v>333.37728277759436</v>
      </c>
      <c r="D18" s="4">
        <f ca="1">$B18*('Updated Population'!D$15/'Updated Population'!$B$15)*('Total Duration Tables Sup #1'!D172/'Total Duration Tables Sup #1'!$B172)</f>
        <v>358.31683059169785</v>
      </c>
      <c r="E18" s="4">
        <f ca="1">$B18*('Updated Population'!E$15/'Updated Population'!$B$15)*('Total Duration Tables Sup #1'!E172/'Total Duration Tables Sup #1'!$B172)</f>
        <v>379.8696822676481</v>
      </c>
      <c r="F18" s="4">
        <f ca="1">$B18*('Updated Population'!F$15/'Updated Population'!$B$15)*('Total Duration Tables Sup #1'!F172/'Total Duration Tables Sup #1'!$B172)</f>
        <v>400.21584750557946</v>
      </c>
      <c r="G18" s="4">
        <f ca="1">$B18*('Updated Population'!G$15/'Updated Population'!$B$15)*('Total Duration Tables Sup #1'!G172/'Total Duration Tables Sup #1'!$B172)</f>
        <v>416.80088218284857</v>
      </c>
      <c r="H18" s="4">
        <f ca="1">$B18*('Updated Population'!H$15/'Updated Population'!$B$15)*('Total Duration Tables Sup #1'!H172/'Total Duration Tables Sup #1'!$B172)</f>
        <v>431.74430610785981</v>
      </c>
      <c r="I18" s="1">
        <f ca="1">$B18*('Updated Population'!I$15/'Updated Population'!$B$15)*('Total Duration Tables Sup #1'!I172/'Total Duration Tables Sup #1'!$B172)</f>
        <v>445.99185275167764</v>
      </c>
      <c r="J18" s="1">
        <f ca="1">$B18*('Updated Population'!J$15/'Updated Population'!$B$15)*('Total Duration Tables Sup #1'!J172/'Total Duration Tables Sup #1'!$B172)</f>
        <v>459.3449713391646</v>
      </c>
      <c r="K18" s="1">
        <f ca="1">$B18*('Updated Population'!K$15/'Updated Population'!$B$15)*('Total Duration Tables Sup #1'!K172/'Total Duration Tables Sup #1'!$B172)</f>
        <v>472.18383887078795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OFFSET(Auckland_Reference,21,7)</f>
        <v>145.42645436999999</v>
      </c>
      <c r="C19" s="4">
        <f ca="1">$B19*('Updated Population'!C$15/'Updated Population'!$B$15)*('Total Duration Tables Sup #1'!C173/'Total Duration Tables Sup #1'!$B173)</f>
        <v>157.28030580991901</v>
      </c>
      <c r="D19" s="4">
        <f ca="1">$B19*('Updated Population'!D$15/'Updated Population'!$B$15)*('Total Duration Tables Sup #1'!D173/'Total Duration Tables Sup #1'!$B173)</f>
        <v>165.08279780128851</v>
      </c>
      <c r="E19" s="4">
        <f ca="1">$B19*('Updated Population'!E$15/'Updated Population'!$B$15)*('Total Duration Tables Sup #1'!E173/'Total Duration Tables Sup #1'!$B173)</f>
        <v>170.96019032103462</v>
      </c>
      <c r="F19" s="4">
        <f ca="1">$B19*('Updated Population'!F$15/'Updated Population'!$B$15)*('Total Duration Tables Sup #1'!F173/'Total Duration Tables Sup #1'!$B173)</f>
        <v>175.83862456825366</v>
      </c>
      <c r="G19" s="4">
        <f ca="1">$B19*('Updated Population'!G$15/'Updated Population'!$B$15)*('Total Duration Tables Sup #1'!G173/'Total Duration Tables Sup #1'!$B173)</f>
        <v>179.58671928798714</v>
      </c>
      <c r="H19" s="4">
        <f ca="1">$B19*('Updated Population'!H$15/'Updated Population'!$B$15)*('Total Duration Tables Sup #1'!H173/'Total Duration Tables Sup #1'!$B173)</f>
        <v>182.4432482369526</v>
      </c>
      <c r="I19" s="1">
        <f ca="1">$B19*('Updated Population'!I$15/'Updated Population'!$B$15)*('Total Duration Tables Sup #1'!I173/'Total Duration Tables Sup #1'!$B173)</f>
        <v>188.46386889675637</v>
      </c>
      <c r="J19" s="1">
        <f ca="1">$B19*('Updated Population'!J$15/'Updated Population'!$B$15)*('Total Duration Tables Sup #1'!J173/'Total Duration Tables Sup #1'!$B173)</f>
        <v>194.10652890345426</v>
      </c>
      <c r="K19" s="1">
        <f ca="1">$B19*('Updated Population'!K$15/'Updated Population'!$B$15)*('Total Duration Tables Sup #1'!K173/'Total Duration Tables Sup #1'!$B173)</f>
        <v>199.53188058271448</v>
      </c>
    </row>
    <row r="20" spans="1:11" x14ac:dyDescent="0.2">
      <c r="A20" t="str">
        <f ca="1">OFFSET(Auckland_Reference,28,2)</f>
        <v>Taxi/Vehicle Share</v>
      </c>
      <c r="B20" s="4">
        <f ca="1">OFFSET(Auckland_Reference,28,7)</f>
        <v>1.9131795197999999</v>
      </c>
      <c r="C20" s="4">
        <f ca="1">$B20*('Updated Population'!C$15/'Updated Population'!$B$15)*('Total Duration Tables Sup #1'!C174/'Total Duration Tables Sup #1'!$B174)</f>
        <v>2.2512505158692444</v>
      </c>
      <c r="D20" s="4">
        <f ca="1">$B20*('Updated Population'!D$15/'Updated Population'!$B$15)*('Total Duration Tables Sup #1'!D174/'Total Duration Tables Sup #1'!$B174)</f>
        <v>2.5243864622175067</v>
      </c>
      <c r="E20" s="4">
        <f ca="1">$B20*('Updated Population'!E$15/'Updated Population'!$B$15)*('Total Duration Tables Sup #1'!E174/'Total Duration Tables Sup #1'!$B174)</f>
        <v>2.7551102688963791</v>
      </c>
      <c r="F20" s="4">
        <f ca="1">$B20*('Updated Population'!F$15/'Updated Population'!$B$15)*('Total Duration Tables Sup #1'!F174/'Total Duration Tables Sup #1'!$B174)</f>
        <v>2.9619337749507042</v>
      </c>
      <c r="G20" s="4">
        <f ca="1">$B20*('Updated Population'!G$15/'Updated Population'!$B$15)*('Total Duration Tables Sup #1'!G174/'Total Duration Tables Sup #1'!$B174)</f>
        <v>3.1171103785809278</v>
      </c>
      <c r="H20" s="4">
        <f ca="1">$B20*('Updated Population'!H$15/'Updated Population'!$B$15)*('Total Duration Tables Sup #1'!H174/'Total Duration Tables Sup #1'!$B174)</f>
        <v>3.2611621934507542</v>
      </c>
      <c r="I20" s="1">
        <f ca="1">$B20*('Updated Population'!I$15/'Updated Population'!$B$15)*('Total Duration Tables Sup #1'!I174/'Total Duration Tables Sup #1'!$B174)</f>
        <v>3.3687804290752377</v>
      </c>
      <c r="J20" s="1">
        <f ca="1">$B20*('Updated Population'!J$15/'Updated Population'!$B$15)*('Total Duration Tables Sup #1'!J174/'Total Duration Tables Sup #1'!$B174)</f>
        <v>3.4696426405418967</v>
      </c>
      <c r="K20" s="1">
        <f ca="1">$B20*('Updated Population'!K$15/'Updated Population'!$B$15)*('Total Duration Tables Sup #1'!K174/'Total Duration Tables Sup #1'!$B174)</f>
        <v>3.5666204786014282</v>
      </c>
    </row>
    <row r="21" spans="1:11" x14ac:dyDescent="0.2">
      <c r="A21" t="str">
        <f ca="1">OFFSET(Auckland_Reference,35,2)</f>
        <v>Motorcyclist</v>
      </c>
      <c r="B21" s="4">
        <f ca="1">OFFSET(Auckland_Reference,35,7)</f>
        <v>1.5334409518000001</v>
      </c>
      <c r="C21" s="4">
        <f ca="1">$B21*('Updated Population'!C$15/'Updated Population'!$B$15)*('Total Duration Tables Sup #1'!C175/'Total Duration Tables Sup #1'!$B175)</f>
        <v>1.7025725813039958</v>
      </c>
      <c r="D21" s="4">
        <f ca="1">$B21*('Updated Population'!D$15/'Updated Population'!$B$15)*('Total Duration Tables Sup #1'!D175/'Total Duration Tables Sup #1'!$B175)</f>
        <v>1.8033301745233454</v>
      </c>
      <c r="E21" s="4">
        <f ca="1">$B21*('Updated Population'!E$15/'Updated Population'!$B$15)*('Total Duration Tables Sup #1'!E175/'Total Duration Tables Sup #1'!$B175)</f>
        <v>1.875632129530405</v>
      </c>
      <c r="F21" s="4">
        <f ca="1">$B21*('Updated Population'!F$15/'Updated Population'!$B$15)*('Total Duration Tables Sup #1'!F175/'Total Duration Tables Sup #1'!$B175)</f>
        <v>1.9391250962641151</v>
      </c>
      <c r="G21" s="4">
        <f ca="1">$B21*('Updated Population'!G$15/'Updated Population'!$B$15)*('Total Duration Tables Sup #1'!G175/'Total Duration Tables Sup #1'!$B175)</f>
        <v>1.9735841000681316</v>
      </c>
      <c r="H21" s="4">
        <f ca="1">$B21*('Updated Population'!H$15/'Updated Population'!$B$15)*('Total Duration Tables Sup #1'!H175/'Total Duration Tables Sup #1'!$B175)</f>
        <v>1.9962154012299951</v>
      </c>
      <c r="I21" s="1">
        <f ca="1">$B21*('Updated Population'!I$15/'Updated Population'!$B$15)*('Total Duration Tables Sup #1'!I175/'Total Duration Tables Sup #1'!$B175)</f>
        <v>2.0620904380000842</v>
      </c>
      <c r="J21" s="1">
        <f ca="1">$B21*('Updated Population'!J$15/'Updated Population'!$B$15)*('Total Duration Tables Sup #1'!J175/'Total Duration Tables Sup #1'!$B175)</f>
        <v>2.1238299921799433</v>
      </c>
      <c r="K21" s="1">
        <f ca="1">$B21*('Updated Population'!K$15/'Updated Population'!$B$15)*('Total Duration Tables Sup #1'!K175/'Total Duration Tables Sup #1'!$B175)</f>
        <v>2.1831918522865026</v>
      </c>
    </row>
    <row r="22" spans="1:11" x14ac:dyDescent="0.2">
      <c r="A22" t="str">
        <f ca="1">OFFSET(Auckland_Reference,42,2)</f>
        <v>Local Train</v>
      </c>
      <c r="B22" s="4">
        <f ca="1">OFFSET(Auckland_Reference,42,7)</f>
        <v>4.2843438359999997</v>
      </c>
      <c r="C22" s="4">
        <f ca="1">OFFSET(Auckland_Reference,43,7)</f>
        <v>4.6853682510999999</v>
      </c>
      <c r="D22" s="4">
        <f ca="1">OFFSET(Auckland_Reference,44,7)</f>
        <v>4.9043856447999996</v>
      </c>
      <c r="E22" s="4">
        <f ca="1">OFFSET(Auckland_Reference,45,7)</f>
        <v>5.0421625551</v>
      </c>
      <c r="F22" s="4">
        <f ca="1">OFFSET(Auckland_Reference,46,7)</f>
        <v>5.1310096593000001</v>
      </c>
      <c r="G22" s="4">
        <f ca="1">OFFSET(Auckland_Reference,47,7)</f>
        <v>5.1626424107000002</v>
      </c>
      <c r="H22" s="4">
        <f ca="1">OFFSET(Auckland_Reference,48,7)</f>
        <v>5.1555646639999999</v>
      </c>
      <c r="I22" s="1">
        <f ca="1">OFFSET(Auckland_Reference,48,7)*('Updated Population'!I15/'Updated Population'!H15)</f>
        <v>5.3256981133273165</v>
      </c>
      <c r="J22" s="1">
        <f ca="1">OFFSET(Auckland_Reference,48,7)*('Updated Population'!J15/'Updated Population'!H15)</f>
        <v>5.4851509778351595</v>
      </c>
      <c r="K22" s="1">
        <f ca="1">OFFSET(Auckland_Reference,48,7)*('Updated Population'!K15/'Updated Population'!H15)</f>
        <v>5.6384630443416679</v>
      </c>
    </row>
    <row r="23" spans="1:11" x14ac:dyDescent="0.2">
      <c r="A23" t="str">
        <f ca="1">OFFSET(Auckland_Reference,49,2)</f>
        <v>Local Bus</v>
      </c>
      <c r="B23" s="4">
        <f ca="1">OFFSET(Auckland_Reference,49,7)</f>
        <v>22.622672496</v>
      </c>
      <c r="C23" s="4">
        <f ca="1">OFFSET(Auckland_Reference,50,7)</f>
        <v>23.884403189</v>
      </c>
      <c r="D23" s="4">
        <f ca="1">OFFSET(Auckland_Reference,51,7)</f>
        <v>24.297402097999999</v>
      </c>
      <c r="E23" s="4">
        <f ca="1">OFFSET(Auckland_Reference,52,7)</f>
        <v>24.240961715000001</v>
      </c>
      <c r="F23" s="4">
        <f ca="1">OFFSET(Auckland_Reference,53,7)</f>
        <v>23.712285279</v>
      </c>
      <c r="G23" s="4">
        <f ca="1">OFFSET(Auckland_Reference,54,7)</f>
        <v>23.120775157000001</v>
      </c>
      <c r="H23" s="4">
        <f ca="1">OFFSET(Auckland_Reference,55,7)</f>
        <v>22.373467740999999</v>
      </c>
      <c r="I23" s="1">
        <f ca="1">OFFSET(Auckland_Reference,55,7)*('Updated Population'!I15/'Updated Population'!H15)</f>
        <v>23.111791375415724</v>
      </c>
      <c r="J23" s="1">
        <f ca="1">OFFSET(Auckland_Reference,55,7)*('Updated Population'!J15/'Updated Population'!H15)</f>
        <v>23.803764758115648</v>
      </c>
      <c r="K23" s="1">
        <f ca="1">OFFSET(Auckland_Reference,55,7)*('Updated Population'!K15/'Updated Population'!H15)</f>
        <v>24.469089081994483</v>
      </c>
    </row>
    <row r="24" spans="1:11" x14ac:dyDescent="0.2">
      <c r="A24" t="str">
        <f ca="1">OFFSET(Auckland_Reference,56,2)</f>
        <v>Local Ferry</v>
      </c>
      <c r="B24" s="4">
        <f ca="1">OFFSET(Auckland_Reference,56,7)</f>
        <v>1.2124045342000001</v>
      </c>
      <c r="C24" s="4">
        <f ca="1">$B24*('Updated Population'!C$15/'Updated Population'!$B$15)*('Total Duration Tables Sup #1'!C178/'Total Duration Tables Sup #1'!$B178)</f>
        <v>1.4002877600234211</v>
      </c>
      <c r="D24" s="4">
        <f ca="1">$B24*('Updated Population'!D$15/'Updated Population'!$B$15)*('Total Duration Tables Sup #1'!D178/'Total Duration Tables Sup #1'!$B178)</f>
        <v>1.532898732504119</v>
      </c>
      <c r="E24" s="4">
        <f ca="1">$B24*('Updated Population'!E$15/'Updated Population'!$B$15)*('Total Duration Tables Sup #1'!E178/'Total Duration Tables Sup #1'!$B178)</f>
        <v>1.6224569450670443</v>
      </c>
      <c r="F24" s="4">
        <f ca="1">$B24*('Updated Population'!F$15/'Updated Population'!$B$15)*('Total Duration Tables Sup #1'!F178/'Total Duration Tables Sup #1'!$B178)</f>
        <v>1.6923788787607688</v>
      </c>
      <c r="G24" s="4">
        <f ca="1">$B24*('Updated Population'!G$15/'Updated Population'!$B$15)*('Total Duration Tables Sup #1'!G178/'Total Duration Tables Sup #1'!$B178)</f>
        <v>1.7902355445789133</v>
      </c>
      <c r="H24" s="4">
        <f ca="1">$B24*('Updated Population'!H$15/'Updated Population'!$B$15)*('Total Duration Tables Sup #1'!H178/'Total Duration Tables Sup #1'!$B178)</f>
        <v>1.875680137315205</v>
      </c>
      <c r="I24" s="1">
        <f ca="1">$B24*('Updated Population'!I$15/'Updated Population'!$B$15)*('Total Duration Tables Sup #1'!I178/'Total Duration Tables Sup #1'!$B178)</f>
        <v>1.9375775146916303</v>
      </c>
      <c r="J24" s="1">
        <f ca="1">$B24*('Updated Population'!J$15/'Updated Population'!$B$15)*('Total Duration Tables Sup #1'!J178/'Total Duration Tables Sup #1'!$B178)</f>
        <v>1.9955891177433369</v>
      </c>
      <c r="K24" s="1">
        <f ca="1">$B24*('Updated Population'!K$15/'Updated Population'!$B$15)*('Total Duration Tables Sup #1'!K178/'Total Duration Tables Sup #1'!$B178)</f>
        <v>2.0513665963898555</v>
      </c>
    </row>
    <row r="25" spans="1:11" x14ac:dyDescent="0.2">
      <c r="A25" t="str">
        <f ca="1">OFFSET(Auckland_Reference,63,2)</f>
        <v>Other Household Travel</v>
      </c>
      <c r="B25" s="4">
        <f ca="1">OFFSET(Auckland_Reference,63,7)</f>
        <v>2.4325058500000001</v>
      </c>
      <c r="C25" s="4">
        <f ca="1">$B25*('Updated Population'!C$15/'Updated Population'!$B$15)*('Total Duration Tables Sup #1'!C179/'Total Duration Tables Sup #1'!$B179)</f>
        <v>2.7383024689842088</v>
      </c>
      <c r="D25" s="4">
        <f ca="1">$B25*('Updated Population'!D$15/'Updated Population'!$B$15)*('Total Duration Tables Sup #1'!D179/'Total Duration Tables Sup #1'!$B179)</f>
        <v>2.9717085910548962</v>
      </c>
      <c r="E25" s="4">
        <f ca="1">$B25*('Updated Population'!E$15/'Updated Population'!$B$15)*('Total Duration Tables Sup #1'!E179/'Total Duration Tables Sup #1'!$B179)</f>
        <v>3.118333725835158</v>
      </c>
      <c r="F25" s="4">
        <f ca="1">$B25*('Updated Population'!F$15/'Updated Population'!$B$15)*('Total Duration Tables Sup #1'!F179/'Total Duration Tables Sup #1'!$B179)</f>
        <v>3.2392606557541948</v>
      </c>
      <c r="G25" s="4">
        <f ca="1">$B25*('Updated Population'!G$15/'Updated Population'!$B$15)*('Total Duration Tables Sup #1'!G179/'Total Duration Tables Sup #1'!$B179)</f>
        <v>3.3662815072614136</v>
      </c>
      <c r="H25" s="4">
        <f ca="1">$B25*('Updated Population'!H$15/'Updated Population'!$B$15)*('Total Duration Tables Sup #1'!H179/'Total Duration Tables Sup #1'!$B179)</f>
        <v>3.4686752191849091</v>
      </c>
      <c r="I25" s="1">
        <f ca="1">$B25*('Updated Population'!I$15/'Updated Population'!$B$15)*('Total Duration Tables Sup #1'!I179/'Total Duration Tables Sup #1'!$B179)</f>
        <v>3.5831413772290306</v>
      </c>
      <c r="J25" s="1">
        <f ca="1">$B25*('Updated Population'!J$15/'Updated Population'!$B$15)*('Total Duration Tables Sup #1'!J179/'Total Duration Tables Sup #1'!$B179)</f>
        <v>3.6904216143693955</v>
      </c>
      <c r="K25" s="1">
        <f ca="1">$B25*('Updated Population'!K$15/'Updated Population'!$B$15)*('Total Duration Tables Sup #1'!K179/'Total Duration Tables Sup #1'!$B179)</f>
        <v>3.7935703091392443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OFFSET(Waikato_Reference,0,7)</f>
        <v>13.69170819</v>
      </c>
      <c r="C27" s="4">
        <f ca="1">$B27*('Updated Population'!C$26/'Updated Population'!$B$26)*('Total Duration Tables Sup #1'!C170/'Total Duration Tables Sup #1'!$B170)</f>
        <v>14.749565788678515</v>
      </c>
      <c r="D27" s="4">
        <f ca="1">$B27*('Updated Population'!D$26/'Updated Population'!$B$26)*('Total Duration Tables Sup #1'!D170/'Total Duration Tables Sup #1'!$B170)</f>
        <v>15.254395880624807</v>
      </c>
      <c r="E27" s="4">
        <f ca="1">$B27*('Updated Population'!E$26/'Updated Population'!$B$26)*('Total Duration Tables Sup #1'!E170/'Total Duration Tables Sup #1'!$B170)</f>
        <v>15.499091438114549</v>
      </c>
      <c r="F27" s="4">
        <f ca="1">$B27*('Updated Population'!F$26/'Updated Population'!$B$26)*('Total Duration Tables Sup #1'!F170/'Total Duration Tables Sup #1'!$B170)</f>
        <v>15.584156035563351</v>
      </c>
      <c r="G27" s="4">
        <f ca="1">$B27*('Updated Population'!G$26/'Updated Population'!$B$26)*('Total Duration Tables Sup #1'!G170/'Total Duration Tables Sup #1'!$B170)</f>
        <v>15.589168875830433</v>
      </c>
      <c r="H27" s="4">
        <f ca="1">$B27*('Updated Population'!H$26/'Updated Population'!$B$26)*('Total Duration Tables Sup #1'!H170/'Total Duration Tables Sup #1'!$B170)</f>
        <v>15.52743101196112</v>
      </c>
      <c r="I27" s="1">
        <f ca="1">$B27*('Updated Population'!I$26/'Updated Population'!$B$26)*('Total Duration Tables Sup #1'!I170/'Total Duration Tables Sup #1'!$B170)</f>
        <v>15.787933801211546</v>
      </c>
      <c r="J27" s="1">
        <f ca="1">$B27*('Updated Population'!J$26/'Updated Population'!$B$26)*('Total Duration Tables Sup #1'!J170/'Total Duration Tables Sup #1'!$B170)</f>
        <v>16.000535202928859</v>
      </c>
      <c r="K27" s="1">
        <f ca="1">$B27*('Updated Population'!K$26/'Updated Population'!$B$26)*('Total Duration Tables Sup #1'!K170/'Total Duration Tables Sup #1'!$B170)</f>
        <v>16.179912071532076</v>
      </c>
    </row>
    <row r="28" spans="1:11" x14ac:dyDescent="0.2">
      <c r="A28" t="str">
        <f ca="1">OFFSET(Waikato_Reference,7,2)</f>
        <v>Cyclist</v>
      </c>
      <c r="B28" s="4">
        <f ca="1">OFFSET(Waikato_Reference,7,7)</f>
        <v>1.7805943500000001</v>
      </c>
      <c r="C28" s="4">
        <f ca="1">$B28*('Updated Population'!C$26/'Updated Population'!$B$26)*('Total Duration Tables Sup #1'!C171/'Total Duration Tables Sup #1'!$B171)</f>
        <v>1.9708174646887355</v>
      </c>
      <c r="D28" s="4">
        <f ca="1">$B28*('Updated Population'!D$26/'Updated Population'!$B$26)*('Total Duration Tables Sup #1'!D171/'Total Duration Tables Sup #1'!$B171)</f>
        <v>2.0606034275184664</v>
      </c>
      <c r="E28" s="4">
        <f ca="1">$B28*('Updated Population'!E$26/'Updated Population'!$B$26)*('Total Duration Tables Sup #1'!E171/'Total Duration Tables Sup #1'!$B171)</f>
        <v>2.1033325758135142</v>
      </c>
      <c r="F28" s="4">
        <f ca="1">$B28*('Updated Population'!F$26/'Updated Population'!$B$26)*('Total Duration Tables Sup #1'!F171/'Total Duration Tables Sup #1'!$B171)</f>
        <v>2.1602972219333854</v>
      </c>
      <c r="G28" s="4">
        <f ca="1">$B28*('Updated Population'!G$26/'Updated Population'!$B$26)*('Total Duration Tables Sup #1'!G171/'Total Duration Tables Sup #1'!$B171)</f>
        <v>2.2364791956108263</v>
      </c>
      <c r="H28" s="4">
        <f ca="1">$B28*('Updated Population'!H$26/'Updated Population'!$B$26)*('Total Duration Tables Sup #1'!H171/'Total Duration Tables Sup #1'!$B171)</f>
        <v>2.3125702979225604</v>
      </c>
      <c r="I28" s="1">
        <f ca="1">$B28*('Updated Population'!I$26/'Updated Population'!$B$26)*('Total Duration Tables Sup #1'!I171/'Total Duration Tables Sup #1'!$B171)</f>
        <v>2.3513681526663648</v>
      </c>
      <c r="J28" s="1">
        <f ca="1">$B28*('Updated Population'!J$26/'Updated Population'!$B$26)*('Total Duration Tables Sup #1'!J171/'Total Duration Tables Sup #1'!$B171)</f>
        <v>2.383031837826481</v>
      </c>
      <c r="K28" s="1">
        <f ca="1">$B28*('Updated Population'!K$26/'Updated Population'!$B$26)*('Total Duration Tables Sup #1'!K171/'Total Duration Tables Sup #1'!$B171)</f>
        <v>2.4097472434944636</v>
      </c>
    </row>
    <row r="29" spans="1:11" x14ac:dyDescent="0.2">
      <c r="A29" t="str">
        <f ca="1">OFFSET(Waikato_Reference,14,2)</f>
        <v>Light Vehicle Driver</v>
      </c>
      <c r="B29" s="4">
        <f ca="1">OFFSET(Waikato_Reference,14,7)</f>
        <v>82.274552721999996</v>
      </c>
      <c r="C29" s="4">
        <f ca="1">$B29*('Updated Population'!C$26/'Updated Population'!$B$26)*('Total Duration Tables Sup #1'!C172/'Total Duration Tables Sup #1'!$B172)</f>
        <v>91.666289068627663</v>
      </c>
      <c r="D29" s="4">
        <f ca="1">$B29*('Updated Population'!D$26/'Updated Population'!$B$26)*('Total Duration Tables Sup #1'!D172/'Total Duration Tables Sup #1'!$B172)</f>
        <v>96.739922064064515</v>
      </c>
      <c r="E29" s="4">
        <f ca="1">$B29*('Updated Population'!E$26/'Updated Population'!$B$26)*('Total Duration Tables Sup #1'!E172/'Total Duration Tables Sup #1'!$B172)</f>
        <v>101.07470137319913</v>
      </c>
      <c r="F29" s="4">
        <f ca="1">$B29*('Updated Population'!F$26/'Updated Population'!$B$26)*('Total Duration Tables Sup #1'!F172/'Total Duration Tables Sup #1'!$B172)</f>
        <v>104.89415001884876</v>
      </c>
      <c r="G29" s="4">
        <f ca="1">$B29*('Updated Population'!G$26/'Updated Population'!$B$26)*('Total Duration Tables Sup #1'!G172/'Total Duration Tables Sup #1'!$B172)</f>
        <v>107.58249089630196</v>
      </c>
      <c r="H29" s="4">
        <f ca="1">$B29*('Updated Population'!H$26/'Updated Population'!$B$26)*('Total Duration Tables Sup #1'!H172/'Total Duration Tables Sup #1'!$B172)</f>
        <v>109.72201231079362</v>
      </c>
      <c r="I29" s="1">
        <f ca="1">$B29*('Updated Population'!I$26/'Updated Population'!$B$26)*('Total Duration Tables Sup #1'!I172/'Total Duration Tables Sup #1'!$B172)</f>
        <v>111.56281200438832</v>
      </c>
      <c r="J29" s="1">
        <f ca="1">$B29*('Updated Population'!J$26/'Updated Population'!$B$26)*('Total Duration Tables Sup #1'!J172/'Total Duration Tables Sup #1'!$B172)</f>
        <v>113.06512449887306</v>
      </c>
      <c r="K29" s="1">
        <f ca="1">$B29*('Updated Population'!K$26/'Updated Population'!$B$26)*('Total Duration Tables Sup #1'!K172/'Total Duration Tables Sup #1'!$B172)</f>
        <v>114.33266134833596</v>
      </c>
    </row>
    <row r="30" spans="1:11" x14ac:dyDescent="0.2">
      <c r="A30" t="str">
        <f ca="1">OFFSET(Waikato_Reference,21,2)</f>
        <v>Light Vehicle Passenger</v>
      </c>
      <c r="B30" s="4">
        <f ca="1">OFFSET(Waikato_Reference,21,7)</f>
        <v>42.037273755000001</v>
      </c>
      <c r="C30" s="4">
        <f ca="1">$B30*('Updated Population'!C$26/'Updated Population'!$B$26)*('Total Duration Tables Sup #1'!C173/'Total Duration Tables Sup #1'!$B173)</f>
        <v>44.878167069030567</v>
      </c>
      <c r="D30" s="4">
        <f ca="1">$B30*('Updated Population'!D$26/'Updated Population'!$B$26)*('Total Duration Tables Sup #1'!D173/'Total Duration Tables Sup #1'!$B173)</f>
        <v>46.251674889172342</v>
      </c>
      <c r="E30" s="4">
        <f ca="1">$B30*('Updated Population'!E$26/'Updated Population'!$B$26)*('Total Duration Tables Sup #1'!E173/'Total Duration Tables Sup #1'!$B173)</f>
        <v>47.20521113497341</v>
      </c>
      <c r="F30" s="4">
        <f ca="1">$B30*('Updated Population'!F$26/'Updated Population'!$B$26)*('Total Duration Tables Sup #1'!F173/'Total Duration Tables Sup #1'!$B173)</f>
        <v>47.82537488538042</v>
      </c>
      <c r="G30" s="4">
        <f ca="1">$B30*('Updated Population'!G$26/'Updated Population'!$B$26)*('Total Duration Tables Sup #1'!G173/'Total Duration Tables Sup #1'!$B173)</f>
        <v>48.103236881368709</v>
      </c>
      <c r="H30" s="4">
        <f ca="1">$B30*('Updated Population'!H$26/'Updated Population'!$B$26)*('Total Duration Tables Sup #1'!H173/'Total Duration Tables Sup #1'!$B173)</f>
        <v>48.115173875100389</v>
      </c>
      <c r="I30" s="1">
        <f ca="1">$B30*('Updated Population'!I$26/'Updated Population'!$B$26)*('Total Duration Tables Sup #1'!I173/'Total Duration Tables Sup #1'!$B173)</f>
        <v>48.922399293785389</v>
      </c>
      <c r="J30" s="1">
        <f ca="1">$B30*('Updated Population'!J$26/'Updated Population'!$B$26)*('Total Duration Tables Sup #1'!J173/'Total Duration Tables Sup #1'!$B173)</f>
        <v>49.581191685253025</v>
      </c>
      <c r="K30" s="1">
        <f ca="1">$B30*('Updated Population'!K$26/'Updated Population'!$B$26)*('Total Duration Tables Sup #1'!K173/'Total Duration Tables Sup #1'!$B173)</f>
        <v>50.137030523974403</v>
      </c>
    </row>
    <row r="31" spans="1:11" x14ac:dyDescent="0.2">
      <c r="A31" t="str">
        <f ca="1">OFFSET(Waikato_Reference,28,2)</f>
        <v>Taxi/Vehicle Share</v>
      </c>
      <c r="B31" s="4">
        <f ca="1">OFFSET(Waikato_Reference,28,7)</f>
        <v>0.1633822556</v>
      </c>
      <c r="C31" s="4">
        <f ca="1">$B31*('Updated Population'!C$26/'Updated Population'!$B$26)*('Total Duration Tables Sup #1'!C174/'Total Duration Tables Sup #1'!$B174)</f>
        <v>0.18977658552916657</v>
      </c>
      <c r="D31" s="4">
        <f ca="1">$B31*('Updated Population'!D$26/'Updated Population'!$B$26)*('Total Duration Tables Sup #1'!D174/'Total Duration Tables Sup #1'!$B174)</f>
        <v>0.20894862769651831</v>
      </c>
      <c r="E31" s="4">
        <f ca="1">$B31*('Updated Population'!E$26/'Updated Population'!$B$26)*('Total Duration Tables Sup #1'!E174/'Total Duration Tables Sup #1'!$B174)</f>
        <v>0.22474600177505014</v>
      </c>
      <c r="F31" s="4">
        <f ca="1">$B31*('Updated Population'!F$26/'Updated Population'!$B$26)*('Total Duration Tables Sup #1'!F174/'Total Duration Tables Sup #1'!$B174)</f>
        <v>0.23800028993559277</v>
      </c>
      <c r="G31" s="4">
        <f ca="1">$B31*('Updated Population'!G$26/'Updated Population'!$B$26)*('Total Duration Tables Sup #1'!G174/'Total Duration Tables Sup #1'!$B174)</f>
        <v>0.24666657444233914</v>
      </c>
      <c r="H31" s="4">
        <f ca="1">$B31*('Updated Population'!H$26/'Updated Population'!$B$26)*('Total Duration Tables Sup #1'!H174/'Total Duration Tables Sup #1'!$B174)</f>
        <v>0.25408831881153743</v>
      </c>
      <c r="I31" s="1">
        <f ca="1">$B31*('Updated Population'!I$26/'Updated Population'!$B$26)*('Total Duration Tables Sup #1'!I174/'Total Duration Tables Sup #1'!$B174)</f>
        <v>0.25835114346780985</v>
      </c>
      <c r="J31" s="1">
        <f ca="1">$B31*('Updated Population'!J$26/'Updated Population'!$B$26)*('Total Duration Tables Sup #1'!J174/'Total Duration Tables Sup #1'!$B174)</f>
        <v>0.2618301177229661</v>
      </c>
      <c r="K31" s="1">
        <f ca="1">$B31*('Updated Population'!K$26/'Updated Population'!$B$26)*('Total Duration Tables Sup #1'!K174/'Total Duration Tables Sup #1'!$B174)</f>
        <v>0.26476541120080932</v>
      </c>
    </row>
    <row r="32" spans="1:11" x14ac:dyDescent="0.2">
      <c r="A32" t="str">
        <f ca="1">OFFSET(Waikato_Reference,35,2)</f>
        <v>Motorcyclist</v>
      </c>
      <c r="B32" s="4">
        <f ca="1">OFFSET(Waikato_Reference,35,7)</f>
        <v>0.60639269429999998</v>
      </c>
      <c r="C32" s="4">
        <f ca="1">$B32*('Updated Population'!C$26/'Updated Population'!$B$26)*('Total Duration Tables Sup #1'!C175/'Total Duration Tables Sup #1'!$B175)</f>
        <v>0.66460281597543547</v>
      </c>
      <c r="D32" s="4">
        <f ca="1">$B32*('Updated Population'!D$26/'Updated Population'!$B$26)*('Total Duration Tables Sup #1'!D175/'Total Duration Tables Sup #1'!$B175)</f>
        <v>0.69118876328970935</v>
      </c>
      <c r="E32" s="4">
        <f ca="1">$B32*('Updated Population'!E$26/'Updated Population'!$B$26)*('Total Duration Tables Sup #1'!E175/'Total Duration Tables Sup #1'!$B175)</f>
        <v>0.70849761281314383</v>
      </c>
      <c r="F32" s="4">
        <f ca="1">$B32*('Updated Population'!F$26/'Updated Population'!$B$26)*('Total Duration Tables Sup #1'!F175/'Total Duration Tables Sup #1'!$B175)</f>
        <v>0.72151557088425566</v>
      </c>
      <c r="G32" s="4">
        <f ca="1">$B32*('Updated Population'!G$26/'Updated Population'!$B$26)*('Total Duration Tables Sup #1'!G175/'Total Duration Tables Sup #1'!$B175)</f>
        <v>0.72318847748581239</v>
      </c>
      <c r="H32" s="4">
        <f ca="1">$B32*('Updated Population'!H$26/'Updated Population'!$B$26)*('Total Duration Tables Sup #1'!H175/'Total Duration Tables Sup #1'!$B175)</f>
        <v>0.72020717144283775</v>
      </c>
      <c r="I32" s="1">
        <f ca="1">$B32*('Updated Population'!I$26/'Updated Population'!$B$26)*('Total Duration Tables Sup #1'!I175/'Total Duration Tables Sup #1'!$B175)</f>
        <v>0.73229004444703871</v>
      </c>
      <c r="J32" s="1">
        <f ca="1">$B32*('Updated Population'!J$26/'Updated Population'!$B$26)*('Total Duration Tables Sup #1'!J175/'Total Duration Tables Sup #1'!$B175)</f>
        <v>0.74215111251796795</v>
      </c>
      <c r="K32" s="1">
        <f ca="1">$B32*('Updated Population'!K$26/'Updated Population'!$B$26)*('Total Duration Tables Sup #1'!K175/'Total Duration Tables Sup #1'!$B175)</f>
        <v>0.75047113062395598</v>
      </c>
    </row>
    <row r="33" spans="1:11" x14ac:dyDescent="0.2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Duration Tables Sup #1'!C176/'Total Duration Tables Sup #1'!$B176)</f>
        <v>0</v>
      </c>
      <c r="D33" s="4">
        <f ca="1">$B33*('Updated Population'!D$26/'Updated Population'!$B$26)*('Total Duration Tables Sup #1'!D176/'Total Duration Tables Sup #1'!$B176)</f>
        <v>0</v>
      </c>
      <c r="E33" s="4">
        <f ca="1">$B33*('Updated Population'!E$26/'Updated Population'!$B$26)*('Total Duration Tables Sup #1'!E176/'Total Duration Tables Sup #1'!$B176)</f>
        <v>0</v>
      </c>
      <c r="F33" s="4">
        <f ca="1">$B33*('Updated Population'!F$26/'Updated Population'!$B$26)*('Total Duration Tables Sup #1'!F176/'Total Duration Tables Sup #1'!$B176)</f>
        <v>0</v>
      </c>
      <c r="G33" s="4">
        <f ca="1">$B33*('Updated Population'!G$26/'Updated Population'!$B$26)*('Total Duration Tables Sup #1'!G176/'Total Duration Tables Sup #1'!$B176)</f>
        <v>0</v>
      </c>
      <c r="H33" s="4">
        <f ca="1">$B33*('Updated Population'!H$26/'Updated Population'!$B$26)*('Total Duration Tables Sup #1'!H176/'Total Duration Tables Sup #1'!$B176)</f>
        <v>0</v>
      </c>
      <c r="I33" s="1">
        <f ca="1">$B33*('Updated Population'!I$26/'Updated Population'!$B$26)*('Total Duration Tables Sup #1'!I176/'Total Duration Tables Sup #1'!$B176)</f>
        <v>0</v>
      </c>
      <c r="J33" s="1">
        <f ca="1">$B33*('Updated Population'!J$26/'Updated Population'!$B$26)*('Total Duration Tables Sup #1'!J176/'Total Duration Tables Sup #1'!$B176)</f>
        <v>0</v>
      </c>
      <c r="K33" s="1">
        <f ca="1">$B33*('Updated Population'!K$26/'Updated Population'!$B$26)*('Total Duration Tables Sup #1'!K176/'Total Duration Tables Sup #1'!$B176)</f>
        <v>0</v>
      </c>
    </row>
    <row r="34" spans="1:11" x14ac:dyDescent="0.2">
      <c r="A34" t="str">
        <f ca="1">OFFSET(Waikato_Reference,49,2)</f>
        <v>Local Bus</v>
      </c>
      <c r="B34" s="4">
        <f ca="1">OFFSET(Waikato_Reference,49,7)</f>
        <v>2.2088814398999999</v>
      </c>
      <c r="C34" s="4">
        <f ca="1">$B34*('Updated Population'!C$26/'Updated Population'!$B$26)*('Total Duration Tables Sup #1'!C177/'Total Duration Tables Sup #1'!$B177)</f>
        <v>2.2240934955850635</v>
      </c>
      <c r="D34" s="4">
        <f ca="1">$B34*('Updated Population'!D$26/'Updated Population'!$B$26)*('Total Duration Tables Sup #1'!D177/'Total Duration Tables Sup #1'!$B177)</f>
        <v>2.2102764667750394</v>
      </c>
      <c r="E34" s="4">
        <f ca="1">$B34*('Updated Population'!E$26/'Updated Population'!$B$26)*('Total Duration Tables Sup #1'!E177/'Total Duration Tables Sup #1'!$B177)</f>
        <v>2.2029989876933609</v>
      </c>
      <c r="F34" s="4">
        <f ca="1">$B34*('Updated Population'!F$26/'Updated Population'!$B$26)*('Total Duration Tables Sup #1'!F177/'Total Duration Tables Sup #1'!$B177)</f>
        <v>2.1635496163735137</v>
      </c>
      <c r="G34" s="4">
        <f ca="1">$B34*('Updated Population'!G$26/'Updated Population'!$B$26)*('Total Duration Tables Sup #1'!G177/'Total Duration Tables Sup #1'!$B177)</f>
        <v>2.1323161730373688</v>
      </c>
      <c r="H34" s="4">
        <f ca="1">$B34*('Updated Population'!H$26/'Updated Population'!$B$26)*('Total Duration Tables Sup #1'!H177/'Total Duration Tables Sup #1'!$B177)</f>
        <v>2.0908517885221518</v>
      </c>
      <c r="I34" s="1">
        <f ca="1">$B34*('Updated Population'!I$26/'Updated Population'!$B$26)*('Total Duration Tables Sup #1'!I177/'Total Duration Tables Sup #1'!$B177)</f>
        <v>2.1259298849825186</v>
      </c>
      <c r="J34" s="1">
        <f ca="1">$B34*('Updated Population'!J$26/'Updated Population'!$B$26)*('Total Duration Tables Sup #1'!J177/'Total Duration Tables Sup #1'!$B177)</f>
        <v>2.1545578029349817</v>
      </c>
      <c r="K34" s="1">
        <f ca="1">$B34*('Updated Population'!K$26/'Updated Population'!$B$26)*('Total Duration Tables Sup #1'!K177/'Total Duration Tables Sup #1'!$B177)</f>
        <v>2.1787118594720631</v>
      </c>
    </row>
    <row r="35" spans="1:11" x14ac:dyDescent="0.2">
      <c r="A35" t="str">
        <f ca="1">OFFSET(Waikato_Reference,56,2)</f>
        <v>Local Ferry</v>
      </c>
      <c r="B35" s="4">
        <f ca="1">OFFSET(Waikato_Reference,56,7)</f>
        <v>9.3342661800000004E-2</v>
      </c>
      <c r="C35" s="4">
        <f ca="1">$B35*('Updated Population'!C$26/'Updated Population'!$B$26)*('Total Duration Tables Sup #1'!C178/'Total Duration Tables Sup #1'!$B178)</f>
        <v>0.10641909489431312</v>
      </c>
      <c r="D35" s="4">
        <f ca="1">$B35*('Updated Population'!D$26/'Updated Population'!$B$26)*('Total Duration Tables Sup #1'!D178/'Total Duration Tables Sup #1'!$B178)</f>
        <v>0.11438803798047271</v>
      </c>
      <c r="E35" s="4">
        <f ca="1">$B35*('Updated Population'!E$26/'Updated Population'!$B$26)*('Total Duration Tables Sup #1'!E178/'Total Duration Tables Sup #1'!$B178)</f>
        <v>0.11931900820246982</v>
      </c>
      <c r="F35" s="4">
        <f ca="1">$B35*('Updated Population'!F$26/'Updated Population'!$B$26)*('Total Duration Tables Sup #1'!F178/'Total Duration Tables Sup #1'!$B178)</f>
        <v>0.12259794873192272</v>
      </c>
      <c r="G35" s="4">
        <f ca="1">$B35*('Updated Population'!G$26/'Updated Population'!$B$26)*('Total Duration Tables Sup #1'!G178/'Total Duration Tables Sup #1'!$B178)</f>
        <v>0.12771789799089159</v>
      </c>
      <c r="H35" s="4">
        <f ca="1">$B35*('Updated Population'!H$26/'Updated Population'!$B$26)*('Total Duration Tables Sup #1'!H178/'Total Duration Tables Sup #1'!$B178)</f>
        <v>0.13175118962720711</v>
      </c>
      <c r="I35" s="1">
        <f ca="1">$B35*('Updated Population'!I$26/'Updated Population'!$B$26)*('Total Duration Tables Sup #1'!I178/'Total Duration Tables Sup #1'!$B178)</f>
        <v>0.13396157152222313</v>
      </c>
      <c r="J35" s="1">
        <f ca="1">$B35*('Updated Population'!J$26/'Updated Population'!$B$26)*('Total Duration Tables Sup #1'!J178/'Total Duration Tables Sup #1'!$B178)</f>
        <v>0.13576550725190634</v>
      </c>
      <c r="K35" s="1">
        <f ca="1">$B35*('Updated Population'!K$26/'Updated Population'!$B$26)*('Total Duration Tables Sup #1'!K178/'Total Duration Tables Sup #1'!$B178)</f>
        <v>0.13728753081213801</v>
      </c>
    </row>
    <row r="36" spans="1:11" x14ac:dyDescent="0.2">
      <c r="A36" t="str">
        <f ca="1">OFFSET(Waikato_Reference,63,2)</f>
        <v>Other Household Travel</v>
      </c>
      <c r="B36" s="4">
        <f ca="1">OFFSET(Waikato_Reference,63,7)</f>
        <v>0.63404452519999999</v>
      </c>
      <c r="C36" s="4">
        <f ca="1">$B36*('Updated Population'!C$26/'Updated Population'!$B$26)*('Total Duration Tables Sup #1'!C179/'Total Duration Tables Sup #1'!$B179)</f>
        <v>0.7045582755480384</v>
      </c>
      <c r="D36" s="4">
        <f ca="1">$B36*('Updated Population'!D$26/'Updated Population'!$B$26)*('Total Duration Tables Sup #1'!D179/'Total Duration Tables Sup #1'!$B179)</f>
        <v>0.75076946302256786</v>
      </c>
      <c r="E36" s="4">
        <f ca="1">$B36*('Updated Population'!E$26/'Updated Population'!$B$26)*('Total Duration Tables Sup #1'!E179/'Total Duration Tables Sup #1'!$B179)</f>
        <v>0.77641207292578229</v>
      </c>
      <c r="F36" s="4">
        <f ca="1">$B36*('Updated Population'!F$26/'Updated Population'!$B$26)*('Total Duration Tables Sup #1'!F179/'Total Duration Tables Sup #1'!$B179)</f>
        <v>0.79444664875685456</v>
      </c>
      <c r="G36" s="4">
        <f ca="1">$B36*('Updated Population'!G$26/'Updated Population'!$B$26)*('Total Duration Tables Sup #1'!G179/'Total Duration Tables Sup #1'!$B179)</f>
        <v>0.81306497299592939</v>
      </c>
      <c r="H36" s="4">
        <f ca="1">$B36*('Updated Population'!H$26/'Updated Population'!$B$26)*('Total Duration Tables Sup #1'!H179/'Total Duration Tables Sup #1'!$B179)</f>
        <v>0.82488354003582354</v>
      </c>
      <c r="I36" s="1">
        <f ca="1">$B36*('Updated Population'!I$26/'Updated Population'!$B$26)*('Total Duration Tables Sup #1'!I179/'Total Duration Tables Sup #1'!$B179)</f>
        <v>0.83872256226819186</v>
      </c>
      <c r="J36" s="1">
        <f ca="1">$B36*('Updated Population'!J$26/'Updated Population'!$B$26)*('Total Duration Tables Sup #1'!J179/'Total Duration Tables Sup #1'!$B179)</f>
        <v>0.85001685793951465</v>
      </c>
      <c r="K36" s="1">
        <f ca="1">$B36*('Updated Population'!K$26/'Updated Population'!$B$26)*('Total Duration Tables Sup #1'!K179/'Total Duration Tables Sup #1'!$B179)</f>
        <v>0.85954612432363064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OFFSET(BOP_Reference,0,7)</f>
        <v>9.1706746114000008</v>
      </c>
      <c r="C38" s="4">
        <f ca="1">$B38*('Updated Population'!C$37/'Updated Population'!$B$37)*('Total Duration Tables Sup #1'!C170/'Total Duration Tables Sup #1'!$B170)</f>
        <v>9.731505806606318</v>
      </c>
      <c r="D38" s="4">
        <f ca="1">$B38*('Updated Population'!D$37/'Updated Population'!$B$37)*('Total Duration Tables Sup #1'!D170/'Total Duration Tables Sup #1'!$B170)</f>
        <v>9.9744953164241696</v>
      </c>
      <c r="E38" s="4">
        <f ca="1">$B38*('Updated Population'!E$37/'Updated Population'!$B$37)*('Total Duration Tables Sup #1'!E170/'Total Duration Tables Sup #1'!$B170)</f>
        <v>10.05997352846442</v>
      </c>
      <c r="F38" s="4">
        <f ca="1">$B38*('Updated Population'!F$37/'Updated Population'!$B$37)*('Total Duration Tables Sup #1'!F170/'Total Duration Tables Sup #1'!$B170)</f>
        <v>10.041891650481148</v>
      </c>
      <c r="G38" s="4">
        <f ca="1">$B38*('Updated Population'!G$37/'Updated Population'!$B$37)*('Total Duration Tables Sup #1'!G170/'Total Duration Tables Sup #1'!$B170)</f>
        <v>9.969957581059294</v>
      </c>
      <c r="H38" s="4">
        <f ca="1">$B38*('Updated Population'!H$37/'Updated Population'!$B$37)*('Total Duration Tables Sup #1'!H170/'Total Duration Tables Sup #1'!$B170)</f>
        <v>9.8577048537330576</v>
      </c>
      <c r="I38" s="1">
        <f ca="1">$B38*('Updated Population'!I$37/'Updated Population'!$B$37)*('Total Duration Tables Sup #1'!I170/'Total Duration Tables Sup #1'!$B170)</f>
        <v>9.9491113966985996</v>
      </c>
      <c r="J38" s="1">
        <f ca="1">$B38*('Updated Population'!J$37/'Updated Population'!$B$37)*('Total Duration Tables Sup #1'!J170/'Total Duration Tables Sup #1'!$B170)</f>
        <v>10.008118444004973</v>
      </c>
      <c r="K38" s="1">
        <f ca="1">$B38*('Updated Population'!K$37/'Updated Population'!$B$37)*('Total Duration Tables Sup #1'!K170/'Total Duration Tables Sup #1'!$B170)</f>
        <v>10.044499390141018</v>
      </c>
    </row>
    <row r="39" spans="1:11" x14ac:dyDescent="0.2">
      <c r="A39" t="str">
        <f ca="1">OFFSET(BOP_Reference,7,2)</f>
        <v>Cyclist</v>
      </c>
      <c r="B39" s="4">
        <f ca="1">OFFSET(BOP_Reference,7,7)</f>
        <v>0.91801276549999999</v>
      </c>
      <c r="C39" s="4">
        <f ca="1">$B39*('Updated Population'!C$37/'Updated Population'!$B$37)*('Total Duration Tables Sup #1'!C171/'Total Duration Tables Sup #1'!$B171)</f>
        <v>1.0008921716719597</v>
      </c>
      <c r="D39" s="4">
        <f ca="1">$B39*('Updated Population'!D$37/'Updated Population'!$B$37)*('Total Duration Tables Sup #1'!D171/'Total Duration Tables Sup #1'!$B171)</f>
        <v>1.0371233572128766</v>
      </c>
      <c r="E39" s="4">
        <f ca="1">$B39*('Updated Population'!E$37/'Updated Population'!$B$37)*('Total Duration Tables Sup #1'!E171/'Total Duration Tables Sup #1'!$B171)</f>
        <v>1.0508449104278201</v>
      </c>
      <c r="F39" s="4">
        <f ca="1">$B39*('Updated Population'!F$37/'Updated Population'!$B$37)*('Total Duration Tables Sup #1'!F171/'Total Duration Tables Sup #1'!$B171)</f>
        <v>1.0714843444593336</v>
      </c>
      <c r="G39" s="4">
        <f ca="1">$B39*('Updated Population'!G$37/'Updated Population'!$B$37)*('Total Duration Tables Sup #1'!G171/'Total Duration Tables Sup #1'!$B171)</f>
        <v>1.100969507550446</v>
      </c>
      <c r="H39" s="4">
        <f ca="1">$B39*('Updated Population'!H$37/'Updated Population'!$B$37)*('Total Duration Tables Sup #1'!H171/'Total Duration Tables Sup #1'!$B171)</f>
        <v>1.1300852994215429</v>
      </c>
      <c r="I39" s="1">
        <f ca="1">$B39*('Updated Population'!I$37/'Updated Population'!$B$37)*('Total Duration Tables Sup #1'!I171/'Total Duration Tables Sup #1'!$B171)</f>
        <v>1.1405641271009075</v>
      </c>
      <c r="J39" s="1">
        <f ca="1">$B39*('Updated Population'!J$37/'Updated Population'!$B$37)*('Total Duration Tables Sup #1'!J171/'Total Duration Tables Sup #1'!$B171)</f>
        <v>1.1473286831220741</v>
      </c>
      <c r="K39" s="1">
        <f ca="1">$B39*('Updated Population'!K$37/'Updated Population'!$B$37)*('Total Duration Tables Sup #1'!K171/'Total Duration Tables Sup #1'!$B171)</f>
        <v>1.1514993874612107</v>
      </c>
    </row>
    <row r="40" spans="1:11" x14ac:dyDescent="0.2">
      <c r="A40" t="str">
        <f ca="1">OFFSET(BOP_Reference,14,2)</f>
        <v>Light Vehicle Driver</v>
      </c>
      <c r="B40" s="4">
        <f ca="1">OFFSET(BOP_Reference,14,7)</f>
        <v>45.59682093</v>
      </c>
      <c r="C40" s="4">
        <f ca="1">$B40*('Updated Population'!C$37/'Updated Population'!$B$37)*('Total Duration Tables Sup #1'!C172/'Total Duration Tables Sup #1'!$B172)</f>
        <v>50.042136735852566</v>
      </c>
      <c r="D40" s="4">
        <f ca="1">$B40*('Updated Population'!D$37/'Updated Population'!$B$37)*('Total Duration Tables Sup #1'!D172/'Total Duration Tables Sup #1'!$B172)</f>
        <v>52.339194585603238</v>
      </c>
      <c r="E40" s="4">
        <f ca="1">$B40*('Updated Population'!E$37/'Updated Population'!$B$37)*('Total Duration Tables Sup #1'!E172/'Total Duration Tables Sup #1'!$B172)</f>
        <v>54.282325972813446</v>
      </c>
      <c r="F40" s="4">
        <f ca="1">$B40*('Updated Population'!F$37/'Updated Population'!$B$37)*('Total Duration Tables Sup #1'!F172/'Total Duration Tables Sup #1'!$B172)</f>
        <v>55.925373814744781</v>
      </c>
      <c r="G40" s="4">
        <f ca="1">$B40*('Updated Population'!G$37/'Updated Population'!$B$37)*('Total Duration Tables Sup #1'!G172/'Total Duration Tables Sup #1'!$B172)</f>
        <v>56.929494632015974</v>
      </c>
      <c r="H40" s="4">
        <f ca="1">$B40*('Updated Population'!H$37/'Updated Population'!$B$37)*('Total Duration Tables Sup #1'!H172/'Total Duration Tables Sup #1'!$B172)</f>
        <v>57.636201487183889</v>
      </c>
      <c r="I40" s="1">
        <f ca="1">$B40*('Updated Population'!I$37/'Updated Population'!$B$37)*('Total Duration Tables Sup #1'!I172/'Total Duration Tables Sup #1'!$B172)</f>
        <v>58.170638864421235</v>
      </c>
      <c r="J40" s="1">
        <f ca="1">$B40*('Updated Population'!J$37/'Updated Population'!$B$37)*('Total Duration Tables Sup #1'!J172/'Total Duration Tables Sup #1'!$B172)</f>
        <v>58.515642302663345</v>
      </c>
      <c r="K40" s="1">
        <f ca="1">$B40*('Updated Population'!K$37/'Updated Population'!$B$37)*('Total Duration Tables Sup #1'!K172/'Total Duration Tables Sup #1'!$B172)</f>
        <v>58.728355056078513</v>
      </c>
    </row>
    <row r="41" spans="1:11" x14ac:dyDescent="0.2">
      <c r="A41" t="str">
        <f ca="1">OFFSET(BOP_Reference,21,2)</f>
        <v>Light Vehicle Passenger</v>
      </c>
      <c r="B41" s="4">
        <f ca="1">OFFSET(BOP_Reference,21,7)</f>
        <v>28.895615969000001</v>
      </c>
      <c r="C41" s="4">
        <f ca="1">$B41*('Updated Population'!C$37/'Updated Population'!$B$37)*('Total Duration Tables Sup #1'!C173/'Total Duration Tables Sup #1'!$B173)</f>
        <v>30.38713013455558</v>
      </c>
      <c r="D41" s="4">
        <f ca="1">$B41*('Updated Population'!D$37/'Updated Population'!$B$37)*('Total Duration Tables Sup #1'!D173/'Total Duration Tables Sup #1'!$B173)</f>
        <v>31.03681488999883</v>
      </c>
      <c r="E41" s="4">
        <f ca="1">$B41*('Updated Population'!E$37/'Updated Population'!$B$37)*('Total Duration Tables Sup #1'!E173/'Total Duration Tables Sup #1'!$B173)</f>
        <v>31.443747918818428</v>
      </c>
      <c r="F41" s="4">
        <f ca="1">$B41*('Updated Population'!F$37/'Updated Population'!$B$37)*('Total Duration Tables Sup #1'!F173/'Total Duration Tables Sup #1'!$B173)</f>
        <v>31.626009000264848</v>
      </c>
      <c r="G41" s="4">
        <f ca="1">$B41*('Updated Population'!G$37/'Updated Population'!$B$37)*('Total Duration Tables Sup #1'!G173/'Total Duration Tables Sup #1'!$B173)</f>
        <v>31.57173246108005</v>
      </c>
      <c r="H41" s="4">
        <f ca="1">$B41*('Updated Population'!H$37/'Updated Population'!$B$37)*('Total Duration Tables Sup #1'!H173/'Total Duration Tables Sup #1'!$B173)</f>
        <v>31.348157935107661</v>
      </c>
      <c r="I41" s="1">
        <f ca="1">$B41*('Updated Population'!I$37/'Updated Population'!$B$37)*('Total Duration Tables Sup #1'!I173/'Total Duration Tables Sup #1'!$B173)</f>
        <v>31.638836829201441</v>
      </c>
      <c r="J41" s="1">
        <f ca="1">$B41*('Updated Population'!J$37/'Updated Population'!$B$37)*('Total Duration Tables Sup #1'!J173/'Total Duration Tables Sup #1'!$B173)</f>
        <v>31.82648316936794</v>
      </c>
      <c r="K41" s="1">
        <f ca="1">$B41*('Updated Population'!K$37/'Updated Population'!$B$37)*('Total Duration Tables Sup #1'!K173/'Total Duration Tables Sup #1'!$B173)</f>
        <v>31.942177000967039</v>
      </c>
    </row>
    <row r="42" spans="1:11" x14ac:dyDescent="0.2">
      <c r="A42" t="str">
        <f ca="1">OFFSET(BOP_Reference,28,2)</f>
        <v>Taxi/Vehicle Share</v>
      </c>
      <c r="B42" s="4">
        <f ca="1">OFFSET(BOP_Reference,28,7)</f>
        <v>7.3048454499999999E-2</v>
      </c>
      <c r="C42" s="4">
        <f ca="1">$B42*('Updated Population'!C$37/'Updated Population'!$B$37)*('Total Duration Tables Sup #1'!C174/'Total Duration Tables Sup #1'!$B174)</f>
        <v>8.358068648651866E-2</v>
      </c>
      <c r="D42" s="4">
        <f ca="1">$B42*('Updated Population'!D$37/'Updated Population'!$B$37)*('Total Duration Tables Sup #1'!D174/'Total Duration Tables Sup #1'!$B174)</f>
        <v>9.1200650405934849E-2</v>
      </c>
      <c r="E42" s="4">
        <f ca="1">$B42*('Updated Population'!E$37/'Updated Population'!$B$37)*('Total Duration Tables Sup #1'!E174/'Total Duration Tables Sup #1'!$B174)</f>
        <v>9.7374460944609303E-2</v>
      </c>
      <c r="F42" s="4">
        <f ca="1">$B42*('Updated Population'!F$37/'Updated Population'!$B$37)*('Total Duration Tables Sup #1'!F174/'Total Duration Tables Sup #1'!$B174)</f>
        <v>0.10236988700925501</v>
      </c>
      <c r="G42" s="4">
        <f ca="1">$B42*('Updated Population'!G$37/'Updated Population'!$B$37)*('Total Duration Tables Sup #1'!G174/'Total Duration Tables Sup #1'!$B174)</f>
        <v>0.10530358239907169</v>
      </c>
      <c r="H42" s="4">
        <f ca="1">$B42*('Updated Population'!H$37/'Updated Population'!$B$37)*('Total Duration Tables Sup #1'!H174/'Total Duration Tables Sup #1'!$B174)</f>
        <v>0.1076771115116017</v>
      </c>
      <c r="I42" s="1">
        <f ca="1">$B42*('Updated Population'!I$37/'Updated Population'!$B$37)*('Total Duration Tables Sup #1'!I174/'Total Duration Tables Sup #1'!$B174)</f>
        <v>0.10867555817498131</v>
      </c>
      <c r="J42" s="1">
        <f ca="1">$B42*('Updated Population'!J$37/'Updated Population'!$B$37)*('Total Duration Tables Sup #1'!J174/'Total Duration Tables Sup #1'!$B174)</f>
        <v>0.10932010054128806</v>
      </c>
      <c r="K42" s="1">
        <f ca="1">$B42*('Updated Population'!K$37/'Updated Population'!$B$37)*('Total Duration Tables Sup #1'!K174/'Total Duration Tables Sup #1'!$B174)</f>
        <v>0.10971749478793211</v>
      </c>
    </row>
    <row r="43" spans="1:11" x14ac:dyDescent="0.2">
      <c r="A43" t="str">
        <f ca="1">OFFSET(BOP_Reference,35,2)</f>
        <v>Motorcyclist</v>
      </c>
      <c r="B43" s="4">
        <f ca="1">OFFSET(BOP_Reference,35,7)</f>
        <v>0.60409197079999999</v>
      </c>
      <c r="C43" s="4">
        <f ca="1">$B43*('Updated Population'!C$37/'Updated Population'!$B$37)*('Total Duration Tables Sup #1'!C175/'Total Duration Tables Sup #1'!$B175)</f>
        <v>0.65218144858849048</v>
      </c>
      <c r="D43" s="4">
        <f ca="1">$B43*('Updated Population'!D$37/'Updated Population'!$B$37)*('Total Duration Tables Sup #1'!D175/'Total Duration Tables Sup #1'!$B175)</f>
        <v>0.67219927564851267</v>
      </c>
      <c r="E43" s="4">
        <f ca="1">$B43*('Updated Population'!E$37/'Updated Population'!$B$37)*('Total Duration Tables Sup #1'!E175/'Total Duration Tables Sup #1'!$B175)</f>
        <v>0.68396588747015497</v>
      </c>
      <c r="F43" s="4">
        <f ca="1">$B43*('Updated Population'!F$37/'Updated Population'!$B$37)*('Total Duration Tables Sup #1'!F175/'Total Duration Tables Sup #1'!$B175)</f>
        <v>0.69148602019600813</v>
      </c>
      <c r="G43" s="4">
        <f ca="1">$B43*('Updated Population'!G$37/'Updated Population'!$B$37)*('Total Duration Tables Sup #1'!G175/'Total Duration Tables Sup #1'!$B175)</f>
        <v>0.68790315283008319</v>
      </c>
      <c r="H43" s="4">
        <f ca="1">$B43*('Updated Population'!H$37/'Updated Population'!$B$37)*('Total Duration Tables Sup #1'!H175/'Total Duration Tables Sup #1'!$B175)</f>
        <v>0.68004726343973132</v>
      </c>
      <c r="I43" s="1">
        <f ca="1">$B43*('Updated Population'!I$37/'Updated Population'!$B$37)*('Total Duration Tables Sup #1'!I175/'Total Duration Tables Sup #1'!$B175)</f>
        <v>0.68635306893163173</v>
      </c>
      <c r="J43" s="1">
        <f ca="1">$B43*('Updated Population'!J$37/'Updated Population'!$B$37)*('Total Duration Tables Sup #1'!J175/'Total Duration Tables Sup #1'!$B175)</f>
        <v>0.69042375086416707</v>
      </c>
      <c r="K43" s="1">
        <f ca="1">$B43*('Updated Population'!K$37/'Updated Population'!$B$37)*('Total Duration Tables Sup #1'!K175/'Total Duration Tables Sup #1'!$B175)</f>
        <v>0.69293354023484388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Duration Tables Sup #1'!C176/'Total Duration Tables Sup #1'!$B176)</f>
        <v>0</v>
      </c>
      <c r="D44" s="4">
        <f ca="1">$B44*('Updated Population'!D$37/'Updated Population'!$B$37)*('Total Duration Tables Sup #1'!D176/'Total Duration Tables Sup #1'!$B176)</f>
        <v>0</v>
      </c>
      <c r="E44" s="4">
        <f ca="1">$B44*('Updated Population'!E$37/'Updated Population'!$B$37)*('Total Duration Tables Sup #1'!E176/'Total Duration Tables Sup #1'!$B176)</f>
        <v>0</v>
      </c>
      <c r="F44" s="4">
        <f ca="1">$B44*('Updated Population'!F$37/'Updated Population'!$B$37)*('Total Duration Tables Sup #1'!F176/'Total Duration Tables Sup #1'!$B176)</f>
        <v>0</v>
      </c>
      <c r="G44" s="4">
        <f ca="1">$B44*('Updated Population'!G$37/'Updated Population'!$B$37)*('Total Duration Tables Sup #1'!G176/'Total Duration Tables Sup #1'!$B176)</f>
        <v>0</v>
      </c>
      <c r="H44" s="4">
        <f ca="1">$B44*('Updated Population'!H$37/'Updated Population'!$B$37)*('Total Duration Tables Sup #1'!H176/'Total Duration Tables Sup #1'!$B176)</f>
        <v>0</v>
      </c>
      <c r="I44" s="1">
        <f ca="1">$B44*('Updated Population'!I$37/'Updated Population'!$B$37)*('Total Duration Tables Sup #1'!I176/'Total Duration Tables Sup #1'!$B176)</f>
        <v>0</v>
      </c>
      <c r="J44" s="1">
        <f ca="1">$B44*('Updated Population'!J$37/'Updated Population'!$B$37)*('Total Duration Tables Sup #1'!J176/'Total Duration Tables Sup #1'!$B176)</f>
        <v>0</v>
      </c>
      <c r="K44" s="1">
        <f ca="1">$B44*('Updated Population'!K$37/'Updated Population'!$B$37)*('Total Duration Tables Sup #1'!K176/'Total Duration Tables Sup #1'!$B176)</f>
        <v>0</v>
      </c>
    </row>
    <row r="45" spans="1:11" x14ac:dyDescent="0.2">
      <c r="A45" t="str">
        <f ca="1">OFFSET(BOP_Reference,42,2)</f>
        <v>Local Bus</v>
      </c>
      <c r="B45" s="4">
        <f ca="1">OFFSET(BOP_Reference,42,7)</f>
        <v>2.9412276716000001</v>
      </c>
      <c r="C45" s="4">
        <f ca="1">$B45*('Updated Population'!C$37/'Updated Population'!$B$37)*('Total Duration Tables Sup #1'!C177/'Total Duration Tables Sup #1'!$B177)</f>
        <v>2.9172015665779054</v>
      </c>
      <c r="D45" s="4">
        <f ca="1">$B45*('Updated Population'!D$37/'Updated Population'!$B$37)*('Total Duration Tables Sup #1'!D177/'Total Duration Tables Sup #1'!$B177)</f>
        <v>2.8731288616376243</v>
      </c>
      <c r="E45" s="4">
        <f ca="1">$B45*('Updated Population'!E$37/'Updated Population'!$B$37)*('Total Duration Tables Sup #1'!E177/'Total Duration Tables Sup #1'!$B177)</f>
        <v>2.842611328200062</v>
      </c>
      <c r="F45" s="4">
        <f ca="1">$B45*('Updated Population'!F$37/'Updated Population'!$B$37)*('Total Duration Tables Sup #1'!F177/'Total Duration Tables Sup #1'!$B177)</f>
        <v>2.7714796229404706</v>
      </c>
      <c r="G45" s="4">
        <f ca="1">$B45*('Updated Population'!G$37/'Updated Population'!$B$37)*('Total Duration Tables Sup #1'!G177/'Total Duration Tables Sup #1'!$B177)</f>
        <v>2.7110313333302631</v>
      </c>
      <c r="H45" s="4">
        <f ca="1">$B45*('Updated Population'!H$37/'Updated Population'!$B$37)*('Total Duration Tables Sup #1'!H177/'Total Duration Tables Sup #1'!$B177)</f>
        <v>2.6388338023220155</v>
      </c>
      <c r="I45" s="1">
        <f ca="1">$B45*('Updated Population'!I$37/'Updated Population'!$B$37)*('Total Duration Tables Sup #1'!I177/'Total Duration Tables Sup #1'!$B177)</f>
        <v>2.6633026496764303</v>
      </c>
      <c r="J45" s="1">
        <f ca="1">$B45*('Updated Population'!J$37/'Updated Population'!$B$37)*('Total Duration Tables Sup #1'!J177/'Total Duration Tables Sup #1'!$B177)</f>
        <v>2.6790983945600182</v>
      </c>
      <c r="K45" s="1">
        <f ca="1">$B45*('Updated Population'!K$37/'Updated Population'!$B$37)*('Total Duration Tables Sup #1'!K177/'Total Duration Tables Sup #1'!$B177)</f>
        <v>2.6888373015215001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Duration Tables Sup #1'!C178/'Total Duration Tables Sup #1'!$B178)</f>
        <v>0</v>
      </c>
      <c r="D46" s="4">
        <f ca="1">$B46*('Updated Population'!D$37/'Updated Population'!$B$37)*('Total Duration Tables Sup #1'!D178/'Total Duration Tables Sup #1'!$B178)</f>
        <v>0</v>
      </c>
      <c r="E46" s="4">
        <f ca="1">$B46*('Updated Population'!E$37/'Updated Population'!$B$37)*('Total Duration Tables Sup #1'!E178/'Total Duration Tables Sup #1'!$B178)</f>
        <v>0</v>
      </c>
      <c r="F46" s="4">
        <f ca="1">$B46*('Updated Population'!F$37/'Updated Population'!$B$37)*('Total Duration Tables Sup #1'!F178/'Total Duration Tables Sup #1'!$B178)</f>
        <v>0</v>
      </c>
      <c r="G46" s="4">
        <f ca="1">$B46*('Updated Population'!G$37/'Updated Population'!$B$37)*('Total Duration Tables Sup #1'!G178/'Total Duration Tables Sup #1'!$B178)</f>
        <v>0</v>
      </c>
      <c r="H46" s="4">
        <f ca="1">$B46*('Updated Population'!H$37/'Updated Population'!$B$37)*('Total Duration Tables Sup #1'!H178/'Total Duration Tables Sup #1'!$B178)</f>
        <v>0</v>
      </c>
      <c r="I46" s="1">
        <f ca="1">$B46*('Updated Population'!I$37/'Updated Population'!$B$37)*('Total Duration Tables Sup #1'!I178/'Total Duration Tables Sup #1'!$B178)</f>
        <v>0</v>
      </c>
      <c r="J46" s="1">
        <f ca="1">$B46*('Updated Population'!J$37/'Updated Population'!$B$37)*('Total Duration Tables Sup #1'!J178/'Total Duration Tables Sup #1'!$B178)</f>
        <v>0</v>
      </c>
      <c r="K46" s="1">
        <f ca="1">$B46*('Updated Population'!K$37/'Updated Population'!$B$37)*('Total Duration Tables Sup #1'!K178/'Total Duration Tables Sup #1'!$B178)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OFFSET(BOP_Reference,49,7)</f>
        <v>0.21279540499999999</v>
      </c>
      <c r="C47" s="4">
        <f ca="1">$B47*('Updated Population'!C$37/'Updated Population'!$B$37)*('Total Duration Tables Sup #1'!C179/'Total Duration Tables Sup #1'!$B179)</f>
        <v>0.23292524995052649</v>
      </c>
      <c r="D47" s="4">
        <f ca="1">$B47*('Updated Population'!D$37/'Updated Population'!$B$37)*('Total Duration Tables Sup #1'!D179/'Total Duration Tables Sup #1'!$B179)</f>
        <v>0.24598088320826089</v>
      </c>
      <c r="E47" s="4">
        <f ca="1">$B47*('Updated Population'!E$37/'Updated Population'!$B$37)*('Total Duration Tables Sup #1'!E179/'Total Duration Tables Sup #1'!$B179)</f>
        <v>0.25251182251323245</v>
      </c>
      <c r="F47" s="4">
        <f ca="1">$B47*('Updated Population'!F$37/'Updated Population'!$B$37)*('Total Duration Tables Sup #1'!F179/'Total Duration Tables Sup #1'!$B179)</f>
        <v>0.25650499085263162</v>
      </c>
      <c r="G47" s="4">
        <f ca="1">$B47*('Updated Population'!G$37/'Updated Population'!$B$37)*('Total Duration Tables Sup #1'!G179/'Total Duration Tables Sup #1'!$B179)</f>
        <v>0.26055201719000959</v>
      </c>
      <c r="H47" s="4">
        <f ca="1">$B47*('Updated Population'!H$37/'Updated Population'!$B$37)*('Total Duration Tables Sup #1'!H179/'Total Duration Tables Sup #1'!$B179)</f>
        <v>0.26240232531979746</v>
      </c>
      <c r="I47" s="1">
        <f ca="1">$B47*('Updated Population'!I$37/'Updated Population'!$B$37)*('Total Duration Tables Sup #1'!I179/'Total Duration Tables Sup #1'!$B179)</f>
        <v>0.26483547682712011</v>
      </c>
      <c r="J47" s="1">
        <f ca="1">$B47*('Updated Population'!J$37/'Updated Population'!$B$37)*('Total Duration Tables Sup #1'!J179/'Total Duration Tables Sup #1'!$B179)</f>
        <v>0.26640618589715115</v>
      </c>
      <c r="K47" s="1">
        <f ca="1">$B47*('Updated Population'!K$37/'Updated Population'!$B$37)*('Total Duration Tables Sup #1'!K179/'Total Duration Tables Sup #1'!$B179)</f>
        <v>0.26737461059692474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OFFSET(Gisborne_Reference,0,7)</f>
        <v>2.2694063563000002</v>
      </c>
      <c r="C49" s="4">
        <f ca="1">$B49*('Updated Population'!C$48/'Updated Population'!$B$48)*('Total Duration Tables Sup #1'!C170/'Total Duration Tables Sup #1'!$B170)</f>
        <v>2.3025252397636895</v>
      </c>
      <c r="D49" s="4">
        <f ca="1">$B49*('Updated Population'!D$48/'Updated Population'!$B$48)*('Total Duration Tables Sup #1'!D170/'Total Duration Tables Sup #1'!$B170)</f>
        <v>2.3010993053938607</v>
      </c>
      <c r="E49" s="4">
        <f ca="1">$B49*('Updated Population'!E$48/'Updated Population'!$B$48)*('Total Duration Tables Sup #1'!E170/'Total Duration Tables Sup #1'!$B170)</f>
        <v>2.2755550113361345</v>
      </c>
      <c r="F49" s="4">
        <f ca="1">$B49*('Updated Population'!F$48/'Updated Population'!$B$48)*('Total Duration Tables Sup #1'!F170/'Total Duration Tables Sup #1'!$B170)</f>
        <v>2.229131676775816</v>
      </c>
      <c r="G49" s="4">
        <f ca="1">$B49*('Updated Population'!G$48/'Updated Population'!$B$48)*('Total Duration Tables Sup #1'!G170/'Total Duration Tables Sup #1'!$B170)</f>
        <v>2.1704012859045001</v>
      </c>
      <c r="H49" s="4">
        <f ca="1">$B49*('Updated Population'!H$48/'Updated Population'!$B$48)*('Total Duration Tables Sup #1'!H170/'Total Duration Tables Sup #1'!$B170)</f>
        <v>2.1060331517079356</v>
      </c>
      <c r="I49" s="1">
        <f ca="1">$B49*('Updated Population'!I$48/'Updated Population'!$B$48)*('Total Duration Tables Sup #1'!I170/'Total Duration Tables Sup #1'!$B170)</f>
        <v>2.0862669839409262</v>
      </c>
      <c r="J49" s="1">
        <f ca="1">$B49*('Updated Population'!J$48/'Updated Population'!$B$48)*('Total Duration Tables Sup #1'!J170/'Total Duration Tables Sup #1'!$B170)</f>
        <v>2.0601077127894567</v>
      </c>
      <c r="K49" s="1">
        <f ca="1">$B49*('Updated Population'!K$48/'Updated Population'!$B$48)*('Total Duration Tables Sup #1'!K170/'Total Duration Tables Sup #1'!$B170)</f>
        <v>2.0299046558736444</v>
      </c>
    </row>
    <row r="50" spans="1:11" x14ac:dyDescent="0.2">
      <c r="A50" t="str">
        <f ca="1">OFFSET(Gisborne_Reference,7,2)</f>
        <v>Cyclist</v>
      </c>
      <c r="B50" s="4">
        <f ca="1">OFFSET(Gisborne_Reference,7,7)</f>
        <v>0.28046850410000002</v>
      </c>
      <c r="C50" s="4">
        <f ca="1">$B50*('Updated Population'!C$48/'Updated Population'!$B$48)*('Total Duration Tables Sup #1'!C171/'Total Duration Tables Sup #1'!$B171)</f>
        <v>0.29237217673909133</v>
      </c>
      <c r="D50" s="4">
        <f ca="1">$B50*('Updated Population'!D$48/'Updated Population'!$B$48)*('Total Duration Tables Sup #1'!D171/'Total Duration Tables Sup #1'!$B171)</f>
        <v>0.29539234803382919</v>
      </c>
      <c r="E50" s="4">
        <f ca="1">$B50*('Updated Population'!E$48/'Updated Population'!$B$48)*('Total Duration Tables Sup #1'!E171/'Total Duration Tables Sup #1'!$B171)</f>
        <v>0.29346311386653912</v>
      </c>
      <c r="F50" s="4">
        <f ca="1">$B50*('Updated Population'!F$48/'Updated Population'!$B$48)*('Total Duration Tables Sup #1'!F171/'Total Duration Tables Sup #1'!$B171)</f>
        <v>0.2936502787144229</v>
      </c>
      <c r="G50" s="4">
        <f ca="1">$B50*('Updated Population'!G$48/'Updated Population'!$B$48)*('Total Duration Tables Sup #1'!G171/'Total Duration Tables Sup #1'!$B171)</f>
        <v>0.29590098691159183</v>
      </c>
      <c r="H50" s="4">
        <f ca="1">$B50*('Updated Population'!H$48/'Updated Population'!$B$48)*('Total Duration Tables Sup #1'!H171/'Total Duration Tables Sup #1'!$B171)</f>
        <v>0.2980746296438409</v>
      </c>
      <c r="I50" s="1">
        <f ca="1">$B50*('Updated Population'!I$48/'Updated Population'!$B$48)*('Total Duration Tables Sup #1'!I171/'Total Duration Tables Sup #1'!$B171)</f>
        <v>0.29527705111006941</v>
      </c>
      <c r="J50" s="1">
        <f ca="1">$B50*('Updated Population'!J$48/'Updated Population'!$B$48)*('Total Duration Tables Sup #1'!J171/'Total Duration Tables Sup #1'!$B171)</f>
        <v>0.29157463310496651</v>
      </c>
      <c r="K50" s="1">
        <f ca="1">$B50*('Updated Population'!K$48/'Updated Population'!$B$48)*('Total Duration Tables Sup #1'!K171/'Total Duration Tables Sup #1'!$B171)</f>
        <v>0.28729988320514099</v>
      </c>
    </row>
    <row r="51" spans="1:11" x14ac:dyDescent="0.2">
      <c r="A51" t="str">
        <f ca="1">OFFSET(Gisborne_Reference,14,2)</f>
        <v>Light Vehicle Driver</v>
      </c>
      <c r="B51" s="4">
        <f ca="1">OFFSET(Gisborne_Reference,14,7)</f>
        <v>6.0182660548999998</v>
      </c>
      <c r="C51" s="4">
        <f ca="1">$B51*('Updated Population'!C$48/'Updated Population'!$B$48)*('Total Duration Tables Sup #1'!C172/'Total Duration Tables Sup #1'!$B172)</f>
        <v>6.3151843818847935</v>
      </c>
      <c r="D51" s="4">
        <f ca="1">$B51*('Updated Population'!D$48/'Updated Population'!$B$48)*('Total Duration Tables Sup #1'!D172/'Total Duration Tables Sup #1'!$B172)</f>
        <v>6.4401695654257427</v>
      </c>
      <c r="E51" s="4">
        <f ca="1">$B51*('Updated Population'!E$48/'Updated Population'!$B$48)*('Total Duration Tables Sup #1'!E172/'Total Duration Tables Sup #1'!$B172)</f>
        <v>6.5489969189868003</v>
      </c>
      <c r="F51" s="4">
        <f ca="1">$B51*('Updated Population'!F$48/'Updated Population'!$B$48)*('Total Duration Tables Sup #1'!F172/'Total Duration Tables Sup #1'!$B172)</f>
        <v>6.6214777536295681</v>
      </c>
      <c r="G51" s="4">
        <f ca="1">$B51*('Updated Population'!G$48/'Updated Population'!$B$48)*('Total Duration Tables Sup #1'!G172/'Total Duration Tables Sup #1'!$B172)</f>
        <v>6.6101283513358826</v>
      </c>
      <c r="H51" s="4">
        <f ca="1">$B51*('Updated Population'!H$48/'Updated Population'!$B$48)*('Total Duration Tables Sup #1'!H172/'Total Duration Tables Sup #1'!$B172)</f>
        <v>6.5676587567803706</v>
      </c>
      <c r="I51" s="1">
        <f ca="1">$B51*('Updated Population'!I$48/'Updated Population'!$B$48)*('Total Duration Tables Sup #1'!I172/'Total Duration Tables Sup #1'!$B172)</f>
        <v>6.5060180154094622</v>
      </c>
      <c r="J51" s="1">
        <f ca="1">$B51*('Updated Population'!J$48/'Updated Population'!$B$48)*('Total Duration Tables Sup #1'!J172/'Total Duration Tables Sup #1'!$B172)</f>
        <v>6.4244403982149692</v>
      </c>
      <c r="K51" s="1">
        <f ca="1">$B51*('Updated Population'!K$48/'Updated Population'!$B$48)*('Total Duration Tables Sup #1'!K172/'Total Duration Tables Sup #1'!$B172)</f>
        <v>6.3302522459184081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OFFSET(Gisborne_Reference,21,7)</f>
        <v>4.5909579553000004</v>
      </c>
      <c r="C52" s="4">
        <f ca="1">$B52*('Updated Population'!C$48/'Updated Population'!$B$48)*('Total Duration Tables Sup #1'!C173/'Total Duration Tables Sup #1'!$B173)</f>
        <v>4.6160915684455341</v>
      </c>
      <c r="D52" s="4">
        <f ca="1">$B52*('Updated Population'!D$48/'Updated Population'!$B$48)*('Total Duration Tables Sup #1'!D173/'Total Duration Tables Sup #1'!$B173)</f>
        <v>4.5970788473496222</v>
      </c>
      <c r="E52" s="4">
        <f ca="1">$B52*('Updated Population'!E$48/'Updated Population'!$B$48)*('Total Duration Tables Sup #1'!E173/'Total Duration Tables Sup #1'!$B173)</f>
        <v>4.5665180968481618</v>
      </c>
      <c r="F52" s="4">
        <f ca="1">$B52*('Updated Population'!F$48/'Updated Population'!$B$48)*('Total Duration Tables Sup #1'!F173/'Total Duration Tables Sup #1'!$B173)</f>
        <v>4.5073881493927521</v>
      </c>
      <c r="G52" s="4">
        <f ca="1">$B52*('Updated Population'!G$48/'Updated Population'!$B$48)*('Total Duration Tables Sup #1'!G173/'Total Duration Tables Sup #1'!$B173)</f>
        <v>4.4127113276564547</v>
      </c>
      <c r="H52" s="4">
        <f ca="1">$B52*('Updated Population'!H$48/'Updated Population'!$B$48)*('Total Duration Tables Sup #1'!H173/'Total Duration Tables Sup #1'!$B173)</f>
        <v>4.2999340485454667</v>
      </c>
      <c r="I52" s="1">
        <f ca="1">$B52*('Updated Population'!I$48/'Updated Population'!$B$48)*('Total Duration Tables Sup #1'!I173/'Total Duration Tables Sup #1'!$B173)</f>
        <v>4.2595770305556506</v>
      </c>
      <c r="J52" s="1">
        <f ca="1">$B52*('Updated Population'!J$48/'Updated Population'!$B$48)*('Total Duration Tables Sup #1'!J173/'Total Duration Tables Sup #1'!$B173)</f>
        <v>4.2061670732536411</v>
      </c>
      <c r="K52" s="1">
        <f ca="1">$B52*('Updated Population'!K$48/'Updated Population'!$B$48)*('Total Duration Tables Sup #1'!K173/'Total Duration Tables Sup #1'!$B173)</f>
        <v>4.1445008299197523</v>
      </c>
    </row>
    <row r="53" spans="1:11" x14ac:dyDescent="0.2">
      <c r="A53" t="str">
        <f ca="1">OFFSET(Gisborne_Reference,28,2)</f>
        <v>Taxi/Vehicle Share</v>
      </c>
      <c r="B53" s="4">
        <f ca="1">OFFSET(Gisborne_Reference,28,7)</f>
        <v>5.0534828E-3</v>
      </c>
      <c r="C53" s="4">
        <f ca="1">$B53*('Updated Population'!C$48/'Updated Population'!$B$48)*('Total Duration Tables Sup #1'!C174/'Total Duration Tables Sup #1'!$B174)</f>
        <v>5.5283949891576862E-3</v>
      </c>
      <c r="D53" s="4">
        <f ca="1">$B53*('Updated Population'!D$48/'Updated Population'!$B$48)*('Total Duration Tables Sup #1'!D174/'Total Duration Tables Sup #1'!$B174)</f>
        <v>5.8818120600700559E-3</v>
      </c>
      <c r="E53" s="4">
        <f ca="1">$B53*('Updated Population'!E$48/'Updated Population'!$B$48)*('Total Duration Tables Sup #1'!E174/'Total Duration Tables Sup #1'!$B174)</f>
        <v>6.1574989280925585E-3</v>
      </c>
      <c r="F53" s="4">
        <f ca="1">$B53*('Updated Population'!F$48/'Updated Population'!$B$48)*('Total Duration Tables Sup #1'!F174/'Total Duration Tables Sup #1'!$B174)</f>
        <v>6.3527416431193896E-3</v>
      </c>
      <c r="G53" s="4">
        <f ca="1">$B53*('Updated Population'!G$48/'Updated Population'!$B$48)*('Total Duration Tables Sup #1'!G174/'Total Duration Tables Sup #1'!$B174)</f>
        <v>6.4085333822141493E-3</v>
      </c>
      <c r="H53" s="4">
        <f ca="1">$B53*('Updated Population'!H$48/'Updated Population'!$B$48)*('Total Duration Tables Sup #1'!H174/'Total Duration Tables Sup #1'!$B174)</f>
        <v>6.4310452677677037E-3</v>
      </c>
      <c r="I53" s="1">
        <f ca="1">$B53*('Updated Population'!I$48/'Updated Population'!$B$48)*('Total Duration Tables Sup #1'!I174/'Total Duration Tables Sup #1'!$B174)</f>
        <v>6.3706867118841753E-3</v>
      </c>
      <c r="J53" s="1">
        <f ca="1">$B53*('Updated Population'!J$48/'Updated Population'!$B$48)*('Total Duration Tables Sup #1'!J174/'Total Duration Tables Sup #1'!$B174)</f>
        <v>6.2908059859751462E-3</v>
      </c>
      <c r="K53" s="1">
        <f ca="1">$B53*('Updated Population'!K$48/'Updated Population'!$B$48)*('Total Duration Tables Sup #1'!K174/'Total Duration Tables Sup #1'!$B174)</f>
        <v>6.1985770359735595E-3</v>
      </c>
    </row>
    <row r="54" spans="1:11" x14ac:dyDescent="0.2">
      <c r="A54" t="str">
        <f ca="1">OFFSET(Gisborne_Reference,35,2)</f>
        <v>Motorcyclist</v>
      </c>
      <c r="B54" s="4">
        <f ca="1">OFFSET(Gisborne_Reference,35,7)</f>
        <v>4.6418087199999999E-2</v>
      </c>
      <c r="C54" s="4">
        <f ca="1">$B54*('Updated Population'!C$48/'Updated Population'!$B$48)*('Total Duration Tables Sup #1'!C175/'Total Duration Tables Sup #1'!$B175)</f>
        <v>4.7914392761495055E-2</v>
      </c>
      <c r="D54" s="4">
        <f ca="1">$B54*('Updated Population'!D$48/'Updated Population'!$B$48)*('Total Duration Tables Sup #1'!D175/'Total Duration Tables Sup #1'!$B175)</f>
        <v>4.8152147957170301E-2</v>
      </c>
      <c r="E54" s="4">
        <f ca="1">$B54*('Updated Population'!E$48/'Updated Population'!$B$48)*('Total Duration Tables Sup #1'!E175/'Total Duration Tables Sup #1'!$B175)</f>
        <v>4.80394622288602E-2</v>
      </c>
      <c r="F54" s="4">
        <f ca="1">$B54*('Updated Population'!F$48/'Updated Population'!$B$48)*('Total Duration Tables Sup #1'!F175/'Total Duration Tables Sup #1'!$B175)</f>
        <v>4.7662496972117122E-2</v>
      </c>
      <c r="G54" s="4">
        <f ca="1">$B54*('Updated Population'!G$48/'Updated Population'!$B$48)*('Total Duration Tables Sup #1'!G175/'Total Duration Tables Sup #1'!$B175)</f>
        <v>4.6499386343786184E-2</v>
      </c>
      <c r="H54" s="4">
        <f ca="1">$B54*('Updated Population'!H$48/'Updated Population'!$B$48)*('Total Duration Tables Sup #1'!H175/'Total Duration Tables Sup #1'!$B175)</f>
        <v>4.5112997422191055E-2</v>
      </c>
      <c r="I54" s="1">
        <f ca="1">$B54*('Updated Population'!I$48/'Updated Population'!$B$48)*('Total Duration Tables Sup #1'!I175/'Total Duration Tables Sup #1'!$B175)</f>
        <v>4.4689589521514597E-2</v>
      </c>
      <c r="J54" s="1">
        <f ca="1">$B54*('Updated Population'!J$48/'Updated Population'!$B$48)*('Total Duration Tables Sup #1'!J175/'Total Duration Tables Sup #1'!$B175)</f>
        <v>4.4129235981464385E-2</v>
      </c>
      <c r="K54" s="1">
        <f ca="1">$B54*('Updated Population'!K$48/'Updated Population'!$B$48)*('Total Duration Tables Sup #1'!K175/'Total Duration Tables Sup #1'!$B175)</f>
        <v>4.3482261156932142E-2</v>
      </c>
    </row>
    <row r="55" spans="1:11" x14ac:dyDescent="0.2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Duration Tables Sup #1'!C176/'Total Duration Tables Sup #1'!$B176)</f>
        <v>0</v>
      </c>
      <c r="D55" s="4">
        <f ca="1">$B55*('Updated Population'!D$48/'Updated Population'!$B$48)*('Total Duration Tables Sup #1'!D176/'Total Duration Tables Sup #1'!$B176)</f>
        <v>0</v>
      </c>
      <c r="E55" s="4">
        <f ca="1">$B55*('Updated Population'!E$48/'Updated Population'!$B$48)*('Total Duration Tables Sup #1'!E176/'Total Duration Tables Sup #1'!$B176)</f>
        <v>0</v>
      </c>
      <c r="F55" s="4">
        <f ca="1">$B55*('Updated Population'!F$48/'Updated Population'!$B$48)*('Total Duration Tables Sup #1'!F176/'Total Duration Tables Sup #1'!$B176)</f>
        <v>0</v>
      </c>
      <c r="G55" s="4">
        <f ca="1">$B55*('Updated Population'!G$48/'Updated Population'!$B$48)*('Total Duration Tables Sup #1'!G176/'Total Duration Tables Sup #1'!$B176)</f>
        <v>0</v>
      </c>
      <c r="H55" s="4">
        <f ca="1">$B55*('Updated Population'!H$48/'Updated Population'!$B$48)*('Total Duration Tables Sup #1'!H176/'Total Duration Tables Sup #1'!$B176)</f>
        <v>0</v>
      </c>
      <c r="I55" s="1">
        <f ca="1">$B55*('Updated Population'!I$48/'Updated Population'!$B$48)*('Total Duration Tables Sup #1'!I176/'Total Duration Tables Sup #1'!$B176)</f>
        <v>0</v>
      </c>
      <c r="J55" s="1">
        <f ca="1">$B55*('Updated Population'!J$48/'Updated Population'!$B$48)*('Total Duration Tables Sup #1'!J176/'Total Duration Tables Sup #1'!$B176)</f>
        <v>0</v>
      </c>
      <c r="K55" s="1">
        <f ca="1">$B55*('Updated Population'!K$48/'Updated Population'!$B$48)*('Total Duration Tables Sup #1'!K176/'Total Duration Tables Sup #1'!$B176)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OFFSET(Gisborne_Reference,49,7)</f>
        <v>0.17812381360000001</v>
      </c>
      <c r="C56" s="4">
        <f ca="1">$B56*('Updated Population'!C$48/'Updated Population'!$B$48)*('Total Duration Tables Sup #1'!C177/'Total Duration Tables Sup #1'!$B177)</f>
        <v>0.16891691861654301</v>
      </c>
      <c r="D56" s="4">
        <f ca="1">$B56*('Updated Population'!D$48/'Updated Population'!$B$48)*('Total Duration Tables Sup #1'!D177/'Total Duration Tables Sup #1'!$B177)</f>
        <v>0.16221159485955919</v>
      </c>
      <c r="E56" s="4">
        <f ca="1">$B56*('Updated Population'!E$48/'Updated Population'!$B$48)*('Total Duration Tables Sup #1'!E177/'Total Duration Tables Sup #1'!$B177)</f>
        <v>0.15735854902872684</v>
      </c>
      <c r="F56" s="4">
        <f ca="1">$B56*('Updated Population'!F$48/'Updated Population'!$B$48)*('Total Duration Tables Sup #1'!F177/'Total Duration Tables Sup #1'!$B177)</f>
        <v>0.15056160682277381</v>
      </c>
      <c r="G56" s="4">
        <f ca="1">$B56*('Updated Population'!G$48/'Updated Population'!$B$48)*('Total Duration Tables Sup #1'!G177/'Total Duration Tables Sup #1'!$B177)</f>
        <v>0.14443206597023034</v>
      </c>
      <c r="H56" s="4">
        <f ca="1">$B56*('Updated Population'!H$48/'Updated Population'!$B$48)*('Total Duration Tables Sup #1'!H177/'Total Duration Tables Sup #1'!$B177)</f>
        <v>0.1379697221778938</v>
      </c>
      <c r="I56" s="1">
        <f ca="1">$B56*('Updated Population'!I$48/'Updated Population'!$B$48)*('Total Duration Tables Sup #1'!I177/'Total Duration Tables Sup #1'!$B177)</f>
        <v>0.13667480776824914</v>
      </c>
      <c r="J56" s="1">
        <f ca="1">$B56*('Updated Population'!J$48/'Updated Population'!$B$48)*('Total Duration Tables Sup #1'!J177/'Total Duration Tables Sup #1'!$B177)</f>
        <v>0.13496107056035311</v>
      </c>
      <c r="K56" s="1">
        <f ca="1">$B56*('Updated Population'!K$48/'Updated Population'!$B$48)*('Total Duration Tables Sup #1'!K177/'Total Duration Tables Sup #1'!$B177)</f>
        <v>0.13298241824511375</v>
      </c>
    </row>
    <row r="57" spans="1:11" x14ac:dyDescent="0.2">
      <c r="A57" t="str">
        <f ca="1">OFFSET(Gisborne_Reference,56,2)</f>
        <v>Local Ferry</v>
      </c>
      <c r="B57" s="4">
        <f ca="1">OFFSET(Gisborne_Reference,56,7)</f>
        <v>6.5213138999999998E-3</v>
      </c>
      <c r="C57" s="4">
        <f ca="1">$B57*('Updated Population'!C$48/'Updated Population'!$B$48)*('Total Duration Tables Sup #1'!C178/'Total Duration Tables Sup #1'!$B178)</f>
        <v>7.0023693840175101E-3</v>
      </c>
      <c r="D57" s="4">
        <f ca="1">$B57*('Updated Population'!D$48/'Updated Population'!$B$48)*('Total Duration Tables Sup #1'!D178/'Total Duration Tables Sup #1'!$B178)</f>
        <v>7.2731283351156759E-3</v>
      </c>
      <c r="E57" s="4">
        <f ca="1">$B57*('Updated Population'!E$48/'Updated Population'!$B$48)*('Total Duration Tables Sup #1'!E178/'Total Duration Tables Sup #1'!$B178)</f>
        <v>7.3839887255626848E-3</v>
      </c>
      <c r="F57" s="4">
        <f ca="1">$B57*('Updated Population'!F$48/'Updated Population'!$B$48)*('Total Duration Tables Sup #1'!F178/'Total Duration Tables Sup #1'!$B178)</f>
        <v>7.3915570084782676E-3</v>
      </c>
      <c r="G57" s="4">
        <f ca="1">$B57*('Updated Population'!G$48/'Updated Population'!$B$48)*('Total Duration Tables Sup #1'!G178/'Total Duration Tables Sup #1'!$B178)</f>
        <v>7.4949567329149619E-3</v>
      </c>
      <c r="H57" s="4">
        <f ca="1">$B57*('Updated Population'!H$48/'Updated Population'!$B$48)*('Total Duration Tables Sup #1'!H178/'Total Duration Tables Sup #1'!$B178)</f>
        <v>7.5321755210007542E-3</v>
      </c>
      <c r="I57" s="1">
        <f ca="1">$B57*('Updated Population'!I$48/'Updated Population'!$B$48)*('Total Duration Tables Sup #1'!I178/'Total Duration Tables Sup #1'!$B178)</f>
        <v>7.4614823104603972E-3</v>
      </c>
      <c r="J57" s="1">
        <f ca="1">$B57*('Updated Population'!J$48/'Updated Population'!$B$48)*('Total Duration Tables Sup #1'!J178/'Total Duration Tables Sup #1'!$B178)</f>
        <v>7.3679243236573263E-3</v>
      </c>
      <c r="K57" s="1">
        <f ca="1">$B57*('Updated Population'!K$48/'Updated Population'!$B$48)*('Total Duration Tables Sup #1'!K178/'Total Duration Tables Sup #1'!$B178)</f>
        <v>7.2599038370015582E-3</v>
      </c>
    </row>
    <row r="58" spans="1:11" x14ac:dyDescent="0.2">
      <c r="A58" t="str">
        <f ca="1">OFFSET(Gisborne_Reference,63,2)</f>
        <v>Other Household Travel</v>
      </c>
      <c r="B58" s="4">
        <f ca="1">OFFSET(Gisborne_Reference,63,7)</f>
        <v>5.2226492000000003E-3</v>
      </c>
      <c r="C58" s="4">
        <f ca="1">$B58*('Updated Population'!C$48/'Updated Population'!$B$48)*('Total Duration Tables Sup #1'!C179/'Total Duration Tables Sup #1'!$B179)</f>
        <v>5.4658605947701337E-3</v>
      </c>
      <c r="D58" s="4">
        <f ca="1">$B58*('Updated Population'!D$48/'Updated Population'!$B$48)*('Total Duration Tables Sup #1'!D179/'Total Duration Tables Sup #1'!$B179)</f>
        <v>5.6281208523128769E-3</v>
      </c>
      <c r="E58" s="4">
        <f ca="1">$B58*('Updated Population'!E$48/'Updated Population'!$B$48)*('Total Duration Tables Sup #1'!E179/'Total Duration Tables Sup #1'!$B179)</f>
        <v>5.6648686552687871E-3</v>
      </c>
      <c r="F58" s="4">
        <f ca="1">$B58*('Updated Population'!F$48/'Updated Population'!$B$48)*('Total Duration Tables Sup #1'!F179/'Total Duration Tables Sup #1'!$B179)</f>
        <v>5.6472061161049079E-3</v>
      </c>
      <c r="G58" s="4">
        <f ca="1">$B58*('Updated Population'!G$48/'Updated Population'!$B$48)*('Total Duration Tables Sup #1'!G179/'Total Duration Tables Sup #1'!$B179)</f>
        <v>5.6254697627598875E-3</v>
      </c>
      <c r="H58" s="4">
        <f ca="1">$B58*('Updated Population'!H$48/'Updated Population'!$B$48)*('Total Duration Tables Sup #1'!H179/'Total Duration Tables Sup #1'!$B179)</f>
        <v>5.5599988138521515E-3</v>
      </c>
      <c r="I58" s="1">
        <f ca="1">$B58*('Updated Population'!I$48/'Updated Population'!$B$48)*('Total Duration Tables Sup #1'!I179/'Total Duration Tables Sup #1'!$B179)</f>
        <v>5.5078154618237903E-3</v>
      </c>
      <c r="J58" s="1">
        <f ca="1">$B58*('Updated Population'!J$48/'Updated Population'!$B$48)*('Total Duration Tables Sup #1'!J179/'Total Duration Tables Sup #1'!$B179)</f>
        <v>5.4387541004413944E-3</v>
      </c>
      <c r="K58" s="1">
        <f ca="1">$B58*('Updated Population'!K$48/'Updated Population'!$B$48)*('Total Duration Tables Sup #1'!K179/'Total Duration Tables Sup #1'!$B179)</f>
        <v>5.359017007751073E-3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OFFSET(Hawkes_Bay_Reference,0,7)</f>
        <v>5.9462513095</v>
      </c>
      <c r="C60" s="4">
        <f ca="1">$B60*('Updated Population'!C$59/'Updated Population'!$B$59)*('Total Duration Tables Sup #1'!C170/'Total Duration Tables Sup #1'!$B170)</f>
        <v>6.2621007394521895</v>
      </c>
      <c r="D60" s="4">
        <f ca="1">$B60*('Updated Population'!D$59/'Updated Population'!$B$59)*('Total Duration Tables Sup #1'!D170/'Total Duration Tables Sup #1'!$B170)</f>
        <v>6.4149756981428103</v>
      </c>
      <c r="E60" s="4">
        <f ca="1">$B60*('Updated Population'!E$59/'Updated Population'!$B$59)*('Total Duration Tables Sup #1'!E170/'Total Duration Tables Sup #1'!$B170)</f>
        <v>6.4714052914787388</v>
      </c>
      <c r="F60" s="4">
        <f ca="1">$B60*('Updated Population'!F$59/'Updated Population'!$B$59)*('Total Duration Tables Sup #1'!F170/'Total Duration Tables Sup #1'!$B170)</f>
        <v>6.4623964460091461</v>
      </c>
      <c r="G60" s="4">
        <f ca="1">$B60*('Updated Population'!G$59/'Updated Population'!$B$59)*('Total Duration Tables Sup #1'!G170/'Total Duration Tables Sup #1'!$B170)</f>
        <v>6.4246452947070267</v>
      </c>
      <c r="H60" s="4">
        <f ca="1">$B60*('Updated Population'!H$59/'Updated Population'!$B$59)*('Total Duration Tables Sup #1'!H170/'Total Duration Tables Sup #1'!$B170)</f>
        <v>6.3677348999085712</v>
      </c>
      <c r="I60" s="1">
        <f ca="1">$B60*('Updated Population'!I$59/'Updated Population'!$B$59)*('Total Duration Tables Sup #1'!I170/'Total Duration Tables Sup #1'!$B170)</f>
        <v>6.4471370997373061</v>
      </c>
      <c r="J60" s="1">
        <f ca="1">$B60*('Updated Population'!J$59/'Updated Population'!$B$59)*('Total Duration Tables Sup #1'!J170/'Total Duration Tables Sup #1'!$B170)</f>
        <v>6.5107742591821269</v>
      </c>
      <c r="K60" s="1">
        <f ca="1">$B60*('Updated Population'!K$59/'Updated Population'!$B$59)*('Total Duration Tables Sup #1'!K170/'Total Duration Tables Sup #1'!$B170)</f>
        <v>6.5649890537132372</v>
      </c>
    </row>
    <row r="61" spans="1:11" x14ac:dyDescent="0.2">
      <c r="A61" t="str">
        <f ca="1">OFFSET(Hawkes_Bay_Reference,7,2)</f>
        <v>Cyclist</v>
      </c>
      <c r="B61" s="4">
        <f ca="1">OFFSET(Hawkes_Bay_Reference,7,7)</f>
        <v>0.88401106659999995</v>
      </c>
      <c r="C61" s="4">
        <f ca="1">$B61*('Updated Population'!C$59/'Updated Population'!$B$59)*('Total Duration Tables Sup #1'!C171/'Total Duration Tables Sup #1'!$B171)</f>
        <v>0.9565205436191152</v>
      </c>
      <c r="D61" s="4">
        <f ca="1">$B61*('Updated Population'!D$59/'Updated Population'!$B$59)*('Total Duration Tables Sup #1'!D171/'Total Duration Tables Sup #1'!$B171)</f>
        <v>0.99060725795945626</v>
      </c>
      <c r="E61" s="4">
        <f ca="1">$B61*('Updated Population'!E$59/'Updated Population'!$B$59)*('Total Duration Tables Sup #1'!E171/'Total Duration Tables Sup #1'!$B171)</f>
        <v>1.0039391549610852</v>
      </c>
      <c r="F61" s="4">
        <f ca="1">$B61*('Updated Population'!F$59/'Updated Population'!$B$59)*('Total Duration Tables Sup #1'!F171/'Total Duration Tables Sup #1'!$B171)</f>
        <v>1.02407296581204</v>
      </c>
      <c r="G61" s="4">
        <f ca="1">$B61*('Updated Population'!G$59/'Updated Population'!$B$59)*('Total Duration Tables Sup #1'!G171/'Total Duration Tables Sup #1'!$B171)</f>
        <v>1.0536542938439906</v>
      </c>
      <c r="H61" s="4">
        <f ca="1">$B61*('Updated Population'!H$59/'Updated Population'!$B$59)*('Total Duration Tables Sup #1'!H171/'Total Duration Tables Sup #1'!$B171)</f>
        <v>1.0841450591800905</v>
      </c>
      <c r="I61" s="1">
        <f ca="1">$B61*('Updated Population'!I$59/'Updated Population'!$B$59)*('Total Duration Tables Sup #1'!I171/'Total Duration Tables Sup #1'!$B171)</f>
        <v>1.0976637599403229</v>
      </c>
      <c r="J61" s="1">
        <f ca="1">$B61*('Updated Population'!J$59/'Updated Population'!$B$59)*('Total Duration Tables Sup #1'!J171/'Total Duration Tables Sup #1'!$B171)</f>
        <v>1.1084983680194609</v>
      </c>
      <c r="K61" s="1">
        <f ca="1">$B61*('Updated Population'!K$59/'Updated Population'!$B$59)*('Total Duration Tables Sup #1'!K171/'Total Duration Tables Sup #1'!$B171)</f>
        <v>1.1177287619584755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OFFSET(Hawkes_Bay_Reference,14,7)</f>
        <v>25.377986313000001</v>
      </c>
      <c r="C62" s="4">
        <f ca="1">$B62*('Updated Population'!C$59/'Updated Population'!$B$59)*('Total Duration Tables Sup #1'!C172/'Total Duration Tables Sup #1'!$B172)</f>
        <v>27.641172927254004</v>
      </c>
      <c r="D62" s="4">
        <f ca="1">$B62*('Updated Population'!D$59/'Updated Population'!$B$59)*('Total Duration Tables Sup #1'!D172/'Total Duration Tables Sup #1'!$B172)</f>
        <v>28.894270815381439</v>
      </c>
      <c r="E62" s="4">
        <f ca="1">$B62*('Updated Population'!E$59/'Updated Population'!$B$59)*('Total Duration Tables Sup #1'!E172/'Total Duration Tables Sup #1'!$B172)</f>
        <v>29.97373265667893</v>
      </c>
      <c r="F62" s="4">
        <f ca="1">$B62*('Updated Population'!F$59/'Updated Population'!$B$59)*('Total Duration Tables Sup #1'!F172/'Total Duration Tables Sup #1'!$B172)</f>
        <v>30.893533227224992</v>
      </c>
      <c r="G62" s="4">
        <f ca="1">$B62*('Updated Population'!G$59/'Updated Population'!$B$59)*('Total Duration Tables Sup #1'!G172/'Total Duration Tables Sup #1'!$B172)</f>
        <v>31.490082047498557</v>
      </c>
      <c r="H62" s="4">
        <f ca="1">$B62*('Updated Population'!H$59/'Updated Population'!$B$59)*('Total Duration Tables Sup #1'!H172/'Total Duration Tables Sup #1'!$B172)</f>
        <v>31.95840775399942</v>
      </c>
      <c r="I62" s="1">
        <f ca="1">$B62*('Updated Population'!I$59/'Updated Population'!$B$59)*('Total Duration Tables Sup #1'!I172/'Total Duration Tables Sup #1'!$B172)</f>
        <v>32.356911761873185</v>
      </c>
      <c r="J62" s="1">
        <f ca="1">$B62*('Updated Population'!J$59/'Updated Population'!$B$59)*('Total Duration Tables Sup #1'!J172/'Total Duration Tables Sup #1'!$B172)</f>
        <v>32.676294135953036</v>
      </c>
      <c r="K62" s="1">
        <f ca="1">$B62*('Updated Population'!K$59/'Updated Population'!$B$59)*('Total Duration Tables Sup #1'!K172/'Total Duration Tables Sup #1'!$B172)</f>
        <v>32.948387515649067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OFFSET(Hawkes_Bay_Reference,21,7)</f>
        <v>15.230731736999999</v>
      </c>
      <c r="C63" s="4">
        <f ca="1">$B63*('Updated Population'!C$59/'Updated Population'!$B$59)*('Total Duration Tables Sup #1'!C173/'Total Duration Tables Sup #1'!$B173)</f>
        <v>15.895585370651093</v>
      </c>
      <c r="D63" s="4">
        <f ca="1">$B63*('Updated Population'!D$59/'Updated Population'!$B$59)*('Total Duration Tables Sup #1'!D173/'Total Duration Tables Sup #1'!$B173)</f>
        <v>16.226620046172922</v>
      </c>
      <c r="E63" s="4">
        <f ca="1">$B63*('Updated Population'!E$59/'Updated Population'!$B$59)*('Total Duration Tables Sup #1'!E173/'Total Duration Tables Sup #1'!$B173)</f>
        <v>16.443069938715595</v>
      </c>
      <c r="F63" s="4">
        <f ca="1">$B63*('Updated Population'!F$59/'Updated Population'!$B$59)*('Total Duration Tables Sup #1'!F173/'Total Duration Tables Sup #1'!$B173)</f>
        <v>16.545096036495359</v>
      </c>
      <c r="G63" s="4">
        <f ca="1">$B63*('Updated Population'!G$59/'Updated Population'!$B$59)*('Total Duration Tables Sup #1'!G173/'Total Duration Tables Sup #1'!$B173)</f>
        <v>16.538689545724854</v>
      </c>
      <c r="H63" s="4">
        <f ca="1">$B63*('Updated Population'!H$59/'Updated Population'!$B$59)*('Total Duration Tables Sup #1'!H173/'Total Duration Tables Sup #1'!$B173)</f>
        <v>16.461447686107029</v>
      </c>
      <c r="I63" s="1">
        <f ca="1">$B63*('Updated Population'!I$59/'Updated Population'!$B$59)*('Total Duration Tables Sup #1'!I173/'Total Duration Tables Sup #1'!$B173)</f>
        <v>16.666713008735535</v>
      </c>
      <c r="J63" s="1">
        <f ca="1">$B63*('Updated Population'!J$59/'Updated Population'!$B$59)*('Total Duration Tables Sup #1'!J173/'Total Duration Tables Sup #1'!$B173)</f>
        <v>16.831223590215366</v>
      </c>
      <c r="K63" s="1">
        <f ca="1">$B63*('Updated Population'!K$59/'Updated Population'!$B$59)*('Total Duration Tables Sup #1'!K173/'Total Duration Tables Sup #1'!$B173)</f>
        <v>16.971376096250083</v>
      </c>
    </row>
    <row r="64" spans="1:11" x14ac:dyDescent="0.2">
      <c r="A64" t="str">
        <f ca="1">OFFSET(Hawkes_Bay_Reference,28,2)</f>
        <v>Taxi/Vehicle Share</v>
      </c>
      <c r="B64" s="4">
        <f ca="1">OFFSET(Hawkes_Bay_Reference,28,7)</f>
        <v>4.5837477299999999E-2</v>
      </c>
      <c r="C64" s="4">
        <f ca="1">$B64*('Updated Population'!C$59/'Updated Population'!$B$59)*('Total Duration Tables Sup #1'!C174/'Total Duration Tables Sup #1'!$B174)</f>
        <v>5.204914956209411E-2</v>
      </c>
      <c r="D64" s="4">
        <f ca="1">$B64*('Updated Population'!D$59/'Updated Population'!$B$59)*('Total Duration Tables Sup #1'!D174/'Total Duration Tables Sup #1'!$B174)</f>
        <v>5.676357248822661E-2</v>
      </c>
      <c r="E64" s="4">
        <f ca="1">$B64*('Updated Population'!E$59/'Updated Population'!$B$59)*('Total Duration Tables Sup #1'!E174/'Total Duration Tables Sup #1'!$B174)</f>
        <v>6.0619804087980178E-2</v>
      </c>
      <c r="F64" s="4">
        <f ca="1">$B64*('Updated Population'!F$59/'Updated Population'!$B$59)*('Total Duration Tables Sup #1'!F174/'Total Duration Tables Sup #1'!$B174)</f>
        <v>6.3755549031033212E-2</v>
      </c>
      <c r="G64" s="4">
        <f ca="1">$B64*('Updated Population'!G$59/'Updated Population'!$B$59)*('Total Duration Tables Sup #1'!G174/'Total Duration Tables Sup #1'!$B174)</f>
        <v>6.566995080508102E-2</v>
      </c>
      <c r="H64" s="4">
        <f ca="1">$B64*('Updated Population'!H$59/'Updated Population'!$B$59)*('Total Duration Tables Sup #1'!H174/'Total Duration Tables Sup #1'!$B174)</f>
        <v>6.7313203700804583E-2</v>
      </c>
      <c r="I64" s="1">
        <f ca="1">$B64*('Updated Population'!I$59/'Updated Population'!$B$59)*('Total Duration Tables Sup #1'!I174/'Total Duration Tables Sup #1'!$B174)</f>
        <v>6.8152562834841446E-2</v>
      </c>
      <c r="J64" s="1">
        <f ca="1">$B64*('Updated Population'!J$59/'Updated Population'!$B$59)*('Total Duration Tables Sup #1'!J174/'Total Duration Tables Sup #1'!$B174)</f>
        <v>6.8825270028840896E-2</v>
      </c>
      <c r="K64" s="1">
        <f ca="1">$B64*('Updated Population'!K$59/'Updated Population'!$B$59)*('Total Duration Tables Sup #1'!K174/'Total Duration Tables Sup #1'!$B174)</f>
        <v>6.9398373583752115E-2</v>
      </c>
    </row>
    <row r="65" spans="1:11" x14ac:dyDescent="0.2">
      <c r="A65" t="str">
        <f ca="1">OFFSET(Hawkes_Bay_Reference,35,2)</f>
        <v>Motorcyclist</v>
      </c>
      <c r="B65" s="4">
        <f ca="1">OFFSET(Hawkes_Bay_Reference,35,7)</f>
        <v>0.11763194120000001</v>
      </c>
      <c r="C65" s="4">
        <f ca="1">$B65*('Updated Population'!C$59/'Updated Population'!$B$59)*('Total Duration Tables Sup #1'!C175/'Total Duration Tables Sup #1'!$B175)</f>
        <v>0.12603427562804739</v>
      </c>
      <c r="D65" s="4">
        <f ca="1">$B65*('Updated Population'!D$59/'Updated Population'!$B$59)*('Total Duration Tables Sup #1'!D175/'Total Duration Tables Sup #1'!$B175)</f>
        <v>0.12983218009793923</v>
      </c>
      <c r="E65" s="4">
        <f ca="1">$B65*('Updated Population'!E$59/'Updated Population'!$B$59)*('Total Duration Tables Sup #1'!E175/'Total Duration Tables Sup #1'!$B175)</f>
        <v>0.1321345617293718</v>
      </c>
      <c r="F65" s="4">
        <f ca="1">$B65*('Updated Population'!F$59/'Updated Population'!$B$59)*('Total Duration Tables Sup #1'!F175/'Total Duration Tables Sup #1'!$B175)</f>
        <v>0.13364160877851247</v>
      </c>
      <c r="G65" s="4">
        <f ca="1">$B65*('Updated Population'!G$59/'Updated Population'!$B$59)*('Total Duration Tables Sup #1'!G175/'Total Duration Tables Sup #1'!$B175)</f>
        <v>0.13312614908286355</v>
      </c>
      <c r="H65" s="4">
        <f ca="1">$B65*('Updated Population'!H$59/'Updated Population'!$B$59)*('Total Duration Tables Sup #1'!H175/'Total Duration Tables Sup #1'!$B175)</f>
        <v>0.13192542010766764</v>
      </c>
      <c r="I65" s="1">
        <f ca="1">$B65*('Updated Population'!I$59/'Updated Population'!$B$59)*('Total Duration Tables Sup #1'!I175/'Total Duration Tables Sup #1'!$B175)</f>
        <v>0.13357045852941932</v>
      </c>
      <c r="J65" s="1">
        <f ca="1">$B65*('Updated Population'!J$59/'Updated Population'!$B$59)*('Total Duration Tables Sup #1'!J175/'Total Duration Tables Sup #1'!$B175)</f>
        <v>0.1348888800915885</v>
      </c>
      <c r="K65" s="1">
        <f ca="1">$B65*('Updated Population'!K$59/'Updated Population'!$B$59)*('Total Duration Tables Sup #1'!K175/'Total Duration Tables Sup #1'!$B175)</f>
        <v>0.13601209103817963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Duration Tables Sup #1'!C176/'Total Duration Tables Sup #1'!$B176)</f>
        <v>0</v>
      </c>
      <c r="D66" s="4">
        <f ca="1">$B66*('Updated Population'!D$59/'Updated Population'!$B$59)*('Total Duration Tables Sup #1'!D176/'Total Duration Tables Sup #1'!$B176)</f>
        <v>0</v>
      </c>
      <c r="E66" s="4">
        <f ca="1">$B66*('Updated Population'!E$59/'Updated Population'!$B$59)*('Total Duration Tables Sup #1'!E176/'Total Duration Tables Sup #1'!$B176)</f>
        <v>0</v>
      </c>
      <c r="F66" s="4">
        <f ca="1">$B66*('Updated Population'!F$59/'Updated Population'!$B$59)*('Total Duration Tables Sup #1'!F176/'Total Duration Tables Sup #1'!$B176)</f>
        <v>0</v>
      </c>
      <c r="G66" s="4">
        <f ca="1">$B66*('Updated Population'!G$59/'Updated Population'!$B$59)*('Total Duration Tables Sup #1'!G176/'Total Duration Tables Sup #1'!$B176)</f>
        <v>0</v>
      </c>
      <c r="H66" s="4">
        <f ca="1">$B66*('Updated Population'!H$59/'Updated Population'!$B$59)*('Total Duration Tables Sup #1'!H176/'Total Duration Tables Sup #1'!$B176)</f>
        <v>0</v>
      </c>
      <c r="I66" s="1">
        <f ca="1">$B66*('Updated Population'!I$59/'Updated Population'!$B$59)*('Total Duration Tables Sup #1'!I176/'Total Duration Tables Sup #1'!$B176)</f>
        <v>0</v>
      </c>
      <c r="J66" s="1">
        <f ca="1">$B66*('Updated Population'!J$59/'Updated Population'!$B$59)*('Total Duration Tables Sup #1'!J176/'Total Duration Tables Sup #1'!$B176)</f>
        <v>0</v>
      </c>
      <c r="K66" s="1">
        <f ca="1">$B66*('Updated Population'!K$59/'Updated Population'!$B$59)*('Total Duration Tables Sup #1'!K176/'Total Duration Tables Sup #1'!$B176)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OFFSET(Hawkes_Bay_Reference,42,7)</f>
        <v>1.3660147812000001</v>
      </c>
      <c r="C67" s="4">
        <f ca="1">$B67*('Updated Population'!C$59/'Updated Population'!$B$59)*('Total Duration Tables Sup #1'!C177/'Total Duration Tables Sup #1'!$B177)</f>
        <v>1.3445941631275147</v>
      </c>
      <c r="D67" s="4">
        <f ca="1">$B67*('Updated Population'!D$59/'Updated Population'!$B$59)*('Total Duration Tables Sup #1'!D177/'Total Duration Tables Sup #1'!$B177)</f>
        <v>1.3235610229370562</v>
      </c>
      <c r="E67" s="4">
        <f ca="1">$B67*('Updated Population'!E$59/'Updated Population'!$B$59)*('Total Duration Tables Sup #1'!E177/'Total Duration Tables Sup #1'!$B177)</f>
        <v>1.309797098219146</v>
      </c>
      <c r="F67" s="4">
        <f ca="1">$B67*('Updated Population'!F$59/'Updated Population'!$B$59)*('Total Duration Tables Sup #1'!F177/'Total Duration Tables Sup #1'!$B177)</f>
        <v>1.2775400840652649</v>
      </c>
      <c r="G67" s="4">
        <f ca="1">$B67*('Updated Population'!G$59/'Updated Population'!$B$59)*('Total Duration Tables Sup #1'!G177/'Total Duration Tables Sup #1'!$B177)</f>
        <v>1.2513395222118764</v>
      </c>
      <c r="H67" s="4">
        <f ca="1">$B67*('Updated Population'!H$59/'Updated Population'!$B$59)*('Total Duration Tables Sup #1'!H177/'Total Duration Tables Sup #1'!$B177)</f>
        <v>1.2209727800274448</v>
      </c>
      <c r="I67" s="1">
        <f ca="1">$B67*('Updated Population'!I$59/'Updated Population'!$B$59)*('Total Duration Tables Sup #1'!I177/'Total Duration Tables Sup #1'!$B177)</f>
        <v>1.2361976482402492</v>
      </c>
      <c r="J67" s="1">
        <f ca="1">$B67*('Updated Population'!J$59/'Updated Population'!$B$59)*('Total Duration Tables Sup #1'!J177/'Total Duration Tables Sup #1'!$B177)</f>
        <v>1.2483996699483939</v>
      </c>
      <c r="K67" s="1">
        <f ca="1">$B67*('Updated Population'!K$59/'Updated Population'!$B$59)*('Total Duration Tables Sup #1'!K177/'Total Duration Tables Sup #1'!$B177)</f>
        <v>1.2587950129451975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Duration Tables Sup #1'!C178/'Total Duration Tables Sup #1'!$B178)</f>
        <v>0</v>
      </c>
      <c r="D68" s="4">
        <f ca="1">$B68*('Updated Population'!D$59/'Updated Population'!$B$59)*('Total Duration Tables Sup #1'!D178/'Total Duration Tables Sup #1'!$B178)</f>
        <v>0</v>
      </c>
      <c r="E68" s="4">
        <f ca="1">$B68*('Updated Population'!E$59/'Updated Population'!$B$59)*('Total Duration Tables Sup #1'!E178/'Total Duration Tables Sup #1'!$B178)</f>
        <v>0</v>
      </c>
      <c r="F68" s="4">
        <f ca="1">$B68*('Updated Population'!F$59/'Updated Population'!$B$59)*('Total Duration Tables Sup #1'!F178/'Total Duration Tables Sup #1'!$B178)</f>
        <v>0</v>
      </c>
      <c r="G68" s="4">
        <f ca="1">$B68*('Updated Population'!G$59/'Updated Population'!$B$59)*('Total Duration Tables Sup #1'!G178/'Total Duration Tables Sup #1'!$B178)</f>
        <v>0</v>
      </c>
      <c r="H68" s="4">
        <f ca="1">$B68*('Updated Population'!H$59/'Updated Population'!$B$59)*('Total Duration Tables Sup #1'!H178/'Total Duration Tables Sup #1'!$B178)</f>
        <v>0</v>
      </c>
      <c r="I68" s="1">
        <f ca="1">$B68*('Updated Population'!I$59/'Updated Population'!$B$59)*('Total Duration Tables Sup #1'!I178/'Total Duration Tables Sup #1'!$B178)</f>
        <v>0</v>
      </c>
      <c r="J68" s="1">
        <f ca="1">$B68*('Updated Population'!J$59/'Updated Population'!$B$59)*('Total Duration Tables Sup #1'!J178/'Total Duration Tables Sup #1'!$B178)</f>
        <v>0</v>
      </c>
      <c r="K68" s="1">
        <f ca="1">$B68*('Updated Population'!K$59/'Updated Population'!$B$59)*('Total Duration Tables Sup #1'!K178/'Total Duration Tables Sup #1'!$B178)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OFFSET(Hawkes_Bay_Reference,49,7)</f>
        <v>0.15778150060000001</v>
      </c>
      <c r="C69" s="4">
        <f ca="1">$B69*('Updated Population'!C$59/'Updated Population'!$B$59)*('Total Duration Tables Sup #1'!C179/'Total Duration Tables Sup #1'!$B179)</f>
        <v>0.17139905953458798</v>
      </c>
      <c r="D69" s="4">
        <f ca="1">$B69*('Updated Population'!D$59/'Updated Population'!$B$59)*('Total Duration Tables Sup #1'!D179/'Total Duration Tables Sup #1'!$B179)</f>
        <v>0.180907804020084</v>
      </c>
      <c r="E69" s="4">
        <f ca="1">$B69*('Updated Population'!E$59/'Updated Population'!$B$59)*('Total Duration Tables Sup #1'!E179/'Total Duration Tables Sup #1'!$B179)</f>
        <v>0.18575278712076848</v>
      </c>
      <c r="F69" s="4">
        <f ca="1">$B69*('Updated Population'!F$59/'Updated Population'!$B$59)*('Total Duration Tables Sup #1'!F179/'Total Duration Tables Sup #1'!$B179)</f>
        <v>0.18876685758196812</v>
      </c>
      <c r="G69" s="4">
        <f ca="1">$B69*('Updated Population'!G$59/'Updated Population'!$B$59)*('Total Duration Tables Sup #1'!G179/'Total Duration Tables Sup #1'!$B179)</f>
        <v>0.19200040515545241</v>
      </c>
      <c r="H69" s="4">
        <f ca="1">$B69*('Updated Population'!H$59/'Updated Population'!$B$59)*('Total Duration Tables Sup #1'!H179/'Total Duration Tables Sup #1'!$B179)</f>
        <v>0.1938334401331388</v>
      </c>
      <c r="I69" s="1">
        <f ca="1">$B69*('Updated Population'!I$59/'Updated Population'!$B$59)*('Total Duration Tables Sup #1'!I179/'Total Duration Tables Sup #1'!$B179)</f>
        <v>0.1962504379807036</v>
      </c>
      <c r="J69" s="1">
        <f ca="1">$B69*('Updated Population'!J$59/'Updated Population'!$B$59)*('Total Duration Tables Sup #1'!J179/'Total Duration Tables Sup #1'!$B179)</f>
        <v>0.19818754901459226</v>
      </c>
      <c r="K69" s="1">
        <f ca="1">$B69*('Updated Population'!K$59/'Updated Population'!$B$59)*('Total Duration Tables Sup #1'!K179/'Total Duration Tables Sup #1'!$B179)</f>
        <v>0.19983784386751199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OFFSET(Taranaki_Reference,0,7)</f>
        <v>4.7547330373000003</v>
      </c>
      <c r="C71" s="4">
        <f ca="1">$B71*('Updated Population'!C$70/'Updated Population'!$B$70)*('Total Duration Tables Sup #1'!C170/'Total Duration Tables Sup #1'!$B170)</f>
        <v>5.0525869248866675</v>
      </c>
      <c r="D71" s="4">
        <f ca="1">$B71*('Updated Population'!D$70/'Updated Population'!$B$70)*('Total Duration Tables Sup #1'!D170/'Total Duration Tables Sup #1'!$B170)</f>
        <v>5.2195385665628891</v>
      </c>
      <c r="E71" s="4">
        <f ca="1">$B71*('Updated Population'!E$70/'Updated Population'!$B$70)*('Total Duration Tables Sup #1'!E170/'Total Duration Tables Sup #1'!$B170)</f>
        <v>5.3036437664683405</v>
      </c>
      <c r="F71" s="4">
        <f ca="1">$B71*('Updated Population'!F$70/'Updated Population'!$B$70)*('Total Duration Tables Sup #1'!F170/'Total Duration Tables Sup #1'!$B170)</f>
        <v>5.3404078327354618</v>
      </c>
      <c r="G71" s="4">
        <f ca="1">$B71*('Updated Population'!G$70/'Updated Population'!$B$70)*('Total Duration Tables Sup #1'!G170/'Total Duration Tables Sup #1'!$B170)</f>
        <v>5.3555526473754123</v>
      </c>
      <c r="H71" s="4">
        <f ca="1">$B71*('Updated Population'!H$70/'Updated Population'!$B$70)*('Total Duration Tables Sup #1'!H170/'Total Duration Tables Sup #1'!$B170)</f>
        <v>5.3539159589729497</v>
      </c>
      <c r="I71" s="1">
        <f ca="1">$B71*('Updated Population'!I$70/'Updated Population'!$B$70)*('Total Duration Tables Sup #1'!I170/'Total Duration Tables Sup #1'!$B170)</f>
        <v>5.4664341178880571</v>
      </c>
      <c r="J71" s="1">
        <f ca="1">$B71*('Updated Population'!J$70/'Updated Population'!$B$70)*('Total Duration Tables Sup #1'!J170/'Total Duration Tables Sup #1'!$B170)</f>
        <v>5.5659385609619569</v>
      </c>
      <c r="K71" s="1">
        <f ca="1">$B71*('Updated Population'!K$70/'Updated Population'!$B$70)*('Total Duration Tables Sup #1'!K170/'Total Duration Tables Sup #1'!$B170)</f>
        <v>5.6575073538331679</v>
      </c>
    </row>
    <row r="72" spans="1:11" x14ac:dyDescent="0.2">
      <c r="A72" t="str">
        <f ca="1">OFFSET(Taranaki_Reference,7,2)</f>
        <v>Cyclist</v>
      </c>
      <c r="B72" s="4">
        <f ca="1">OFFSET(Taranaki_Reference,7,7)</f>
        <v>0.51341482110000003</v>
      </c>
      <c r="C72" s="4">
        <f ca="1">$B72*('Updated Population'!C$70/'Updated Population'!$B$70)*('Total Duration Tables Sup #1'!C171/'Total Duration Tables Sup #1'!$B171)</f>
        <v>0.56055195048522422</v>
      </c>
      <c r="D72" s="4">
        <f ca="1">$B72*('Updated Population'!D$70/'Updated Population'!$B$70)*('Total Duration Tables Sup #1'!D171/'Total Duration Tables Sup #1'!$B171)</f>
        <v>0.58541847378956136</v>
      </c>
      <c r="E72" s="4">
        <f ca="1">$B72*('Updated Population'!E$70/'Updated Population'!$B$70)*('Total Duration Tables Sup #1'!E171/'Total Duration Tables Sup #1'!$B171)</f>
        <v>0.59760051194923269</v>
      </c>
      <c r="F72" s="4">
        <f ca="1">$B72*('Updated Population'!F$70/'Updated Population'!$B$70)*('Total Duration Tables Sup #1'!F171/'Total Duration Tables Sup #1'!$B171)</f>
        <v>0.61466650930292155</v>
      </c>
      <c r="G72" s="4">
        <f ca="1">$B72*('Updated Population'!G$70/'Updated Population'!$B$70)*('Total Duration Tables Sup #1'!G171/'Total Duration Tables Sup #1'!$B171)</f>
        <v>0.63794186128665431</v>
      </c>
      <c r="H72" s="4">
        <f ca="1">$B72*('Updated Population'!H$70/'Updated Population'!$B$70)*('Total Duration Tables Sup #1'!H171/'Total Duration Tables Sup #1'!$B171)</f>
        <v>0.66206677226401511</v>
      </c>
      <c r="I72" s="1">
        <f ca="1">$B72*('Updated Population'!I$70/'Updated Population'!$B$70)*('Total Duration Tables Sup #1'!I171/'Total Duration Tables Sup #1'!$B171)</f>
        <v>0.67598079984025383</v>
      </c>
      <c r="J72" s="1">
        <f ca="1">$B72*('Updated Population'!J$70/'Updated Population'!$B$70)*('Total Duration Tables Sup #1'!J171/'Total Duration Tables Sup #1'!$B171)</f>
        <v>0.68828554760930605</v>
      </c>
      <c r="K72" s="1">
        <f ca="1">$B72*('Updated Population'!K$70/'Updated Population'!$B$70)*('Total Duration Tables Sup #1'!K171/'Total Duration Tables Sup #1'!$B171)</f>
        <v>0.69960897061424698</v>
      </c>
    </row>
    <row r="73" spans="1:11" x14ac:dyDescent="0.2">
      <c r="A73" t="str">
        <f ca="1">OFFSET(Taranaki_Reference,14,2)</f>
        <v>Light Vehicle Driver</v>
      </c>
      <c r="B73" s="4">
        <f ca="1">OFFSET(Taranaki_Reference,14,7)</f>
        <v>21.205429401</v>
      </c>
      <c r="C73" s="4">
        <f ca="1">$B73*('Updated Population'!C$70/'Updated Population'!$B$70)*('Total Duration Tables Sup #1'!C172/'Total Duration Tables Sup #1'!$B172)</f>
        <v>23.305436775199233</v>
      </c>
      <c r="D73" s="4">
        <f ca="1">$B73*('Updated Population'!D$70/'Updated Population'!$B$70)*('Total Duration Tables Sup #1'!D172/'Total Duration Tables Sup #1'!$B172)</f>
        <v>24.567211744675973</v>
      </c>
      <c r="E73" s="4">
        <f ca="1">$B73*('Updated Population'!E$70/'Updated Population'!$B$70)*('Total Duration Tables Sup #1'!E172/'Total Duration Tables Sup #1'!$B172)</f>
        <v>25.669866508312367</v>
      </c>
      <c r="F73" s="4">
        <f ca="1">$B73*('Updated Population'!F$70/'Updated Population'!$B$70)*('Total Duration Tables Sup #1'!F172/'Total Duration Tables Sup #1'!$B172)</f>
        <v>26.678133554707667</v>
      </c>
      <c r="G73" s="4">
        <f ca="1">$B73*('Updated Population'!G$70/'Updated Population'!$B$70)*('Total Duration Tables Sup #1'!G172/'Total Duration Tables Sup #1'!$B172)</f>
        <v>27.430641522854998</v>
      </c>
      <c r="H73" s="4">
        <f ca="1">$B73*('Updated Population'!H$70/'Updated Population'!$B$70)*('Total Duration Tables Sup #1'!H172/'Total Duration Tables Sup #1'!$B172)</f>
        <v>28.078812920917819</v>
      </c>
      <c r="I73" s="1">
        <f ca="1">$B73*('Updated Population'!I$70/'Updated Population'!$B$70)*('Total Duration Tables Sup #1'!I172/'Total Duration Tables Sup #1'!$B172)</f>
        <v>28.668918622724437</v>
      </c>
      <c r="J73" s="1">
        <f ca="1">$B73*('Updated Population'!J$70/'Updated Population'!$B$70)*('Total Duration Tables Sup #1'!J172/'Total Duration Tables Sup #1'!$B172)</f>
        <v>29.190773404025133</v>
      </c>
      <c r="K73" s="1">
        <f ca="1">$B73*('Updated Population'!K$70/'Updated Population'!$B$70)*('Total Duration Tables Sup #1'!K172/'Total Duration Tables Sup #1'!$B172)</f>
        <v>29.671009370395854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OFFSET(Taranaki_Reference,21,7)</f>
        <v>13.125178352000001</v>
      </c>
      <c r="C74" s="4">
        <f ca="1">$B74*('Updated Population'!C$70/'Updated Population'!$B$70)*('Total Duration Tables Sup #1'!C173/'Total Duration Tables Sup #1'!$B173)</f>
        <v>13.822030178617451</v>
      </c>
      <c r="D74" s="4">
        <f ca="1">$B74*('Updated Population'!D$70/'Updated Population'!$B$70)*('Total Duration Tables Sup #1'!D173/'Total Duration Tables Sup #1'!$B173)</f>
        <v>14.228749366057839</v>
      </c>
      <c r="E74" s="4">
        <f ca="1">$B74*('Updated Population'!E$70/'Updated Population'!$B$70)*('Total Duration Tables Sup #1'!E173/'Total Duration Tables Sup #1'!$B173)</f>
        <v>14.523129743147189</v>
      </c>
      <c r="F74" s="4">
        <f ca="1">$B74*('Updated Population'!F$70/'Updated Population'!$B$70)*('Total Duration Tables Sup #1'!F173/'Total Duration Tables Sup #1'!$B173)</f>
        <v>14.735052468658077</v>
      </c>
      <c r="G74" s="4">
        <f ca="1">$B74*('Updated Population'!G$70/'Updated Population'!$B$70)*('Total Duration Tables Sup #1'!G173/'Total Duration Tables Sup #1'!$B173)</f>
        <v>14.857912613684203</v>
      </c>
      <c r="H74" s="4">
        <f ca="1">$B74*('Updated Population'!H$70/'Updated Population'!$B$70)*('Total Duration Tables Sup #1'!H173/'Total Duration Tables Sup #1'!$B173)</f>
        <v>14.916130292385414</v>
      </c>
      <c r="I74" s="1">
        <f ca="1">$B74*('Updated Population'!I$70/'Updated Population'!$B$70)*('Total Duration Tables Sup #1'!I173/'Total Duration Tables Sup #1'!$B173)</f>
        <v>15.229608414100088</v>
      </c>
      <c r="J74" s="1">
        <f ca="1">$B74*('Updated Population'!J$70/'Updated Population'!$B$70)*('Total Duration Tables Sup #1'!J173/'Total Duration Tables Sup #1'!$B173)</f>
        <v>15.506830030751361</v>
      </c>
      <c r="K74" s="1">
        <f ca="1">$B74*('Updated Population'!K$70/'Updated Population'!$B$70)*('Total Duration Tables Sup #1'!K173/'Total Duration Tables Sup #1'!$B173)</f>
        <v>15.761942747433871</v>
      </c>
    </row>
    <row r="75" spans="1:11" x14ac:dyDescent="0.2">
      <c r="A75" t="str">
        <f ca="1">OFFSET(Taranaki_Reference,28,2)</f>
        <v>Taxi/Vehicle Share</v>
      </c>
      <c r="B75" s="4">
        <f ca="1">OFFSET(Taranaki_Reference,28,7)</f>
        <v>0.10005985589999999</v>
      </c>
      <c r="C75" s="4">
        <f ca="1">$B75*('Updated Population'!C$70/'Updated Population'!$B$70)*('Total Duration Tables Sup #1'!C174/'Total Duration Tables Sup #1'!$B174)</f>
        <v>0.11464725725325539</v>
      </c>
      <c r="D75" s="4">
        <f ca="1">$B75*('Updated Population'!D$70/'Updated Population'!$B$70)*('Total Duration Tables Sup #1'!D174/'Total Duration Tables Sup #1'!$B174)</f>
        <v>0.12608490729840888</v>
      </c>
      <c r="E75" s="4">
        <f ca="1">$B75*('Updated Population'!E$70/'Updated Population'!$B$70)*('Total Duration Tables Sup #1'!E174/'Total Duration Tables Sup #1'!$B174)</f>
        <v>0.13562712699353088</v>
      </c>
      <c r="F75" s="4">
        <f ca="1">$B75*('Updated Population'!F$70/'Updated Population'!$B$70)*('Total Duration Tables Sup #1'!F174/'Total Duration Tables Sup #1'!$B174)</f>
        <v>0.14383186268287368</v>
      </c>
      <c r="G75" s="4">
        <f ca="1">$B75*('Updated Population'!G$70/'Updated Population'!$B$70)*('Total Duration Tables Sup #1'!G174/'Total Duration Tables Sup #1'!$B174)</f>
        <v>0.14944387368215084</v>
      </c>
      <c r="H75" s="4">
        <f ca="1">$B75*('Updated Population'!H$70/'Updated Population'!$B$70)*('Total Duration Tables Sup #1'!H174/'Total Duration Tables Sup #1'!$B174)</f>
        <v>0.15450520814791882</v>
      </c>
      <c r="I75" s="1">
        <f ca="1">$B75*('Updated Population'!I$70/'Updated Population'!$B$70)*('Total Duration Tables Sup #1'!I174/'Total Duration Tables Sup #1'!$B174)</f>
        <v>0.1577522971378876</v>
      </c>
      <c r="J75" s="1">
        <f ca="1">$B75*('Updated Population'!J$70/'Updated Population'!$B$70)*('Total Duration Tables Sup #1'!J174/'Total Duration Tables Sup #1'!$B174)</f>
        <v>0.16062383169438535</v>
      </c>
      <c r="K75" s="1">
        <f ca="1">$B75*('Updated Population'!K$70/'Updated Population'!$B$70)*('Total Duration Tables Sup #1'!K174/'Total Duration Tables Sup #1'!$B174)</f>
        <v>0.16326635643904611</v>
      </c>
    </row>
    <row r="76" spans="1:11" x14ac:dyDescent="0.2">
      <c r="A76" t="str">
        <f ca="1">OFFSET(Taranaki_Reference,35,2)</f>
        <v>Motorcyclist</v>
      </c>
      <c r="B76" s="4">
        <f ca="1">OFFSET(Taranaki_Reference,35,7)</f>
        <v>0.25001806910000002</v>
      </c>
      <c r="C76" s="4">
        <f ca="1">$B76*('Updated Population'!C$70/'Updated Population'!$B$70)*('Total Duration Tables Sup #1'!C175/'Total Duration Tables Sup #1'!$B175)</f>
        <v>0.27029976541014827</v>
      </c>
      <c r="D76" s="4">
        <f ca="1">$B76*('Updated Population'!D$70/'Updated Population'!$B$70)*('Total Duration Tables Sup #1'!D175/'Total Duration Tables Sup #1'!$B175)</f>
        <v>0.28079068753134906</v>
      </c>
      <c r="E76" s="4">
        <f ca="1">$B76*('Updated Population'!E$70/'Updated Population'!$B$70)*('Total Duration Tables Sup #1'!E175/'Total Duration Tables Sup #1'!$B175)</f>
        <v>0.28784283924017551</v>
      </c>
      <c r="F76" s="4">
        <f ca="1">$B76*('Updated Population'!F$70/'Updated Population'!$B$70)*('Total Duration Tables Sup #1'!F175/'Total Duration Tables Sup #1'!$B175)</f>
        <v>0.29355249599843242</v>
      </c>
      <c r="G76" s="4">
        <f ca="1">$B76*('Updated Population'!G$70/'Updated Population'!$B$70)*('Total Duration Tables Sup #1'!G175/'Total Duration Tables Sup #1'!$B175)</f>
        <v>0.2949726584689728</v>
      </c>
      <c r="H76" s="4">
        <f ca="1">$B76*('Updated Population'!H$70/'Updated Population'!$B$70)*('Total Duration Tables Sup #1'!H175/'Total Duration Tables Sup #1'!$B175)</f>
        <v>0.29483451020193852</v>
      </c>
      <c r="I76" s="1">
        <f ca="1">$B76*('Updated Population'!I$70/'Updated Population'!$B$70)*('Total Duration Tables Sup #1'!I175/'Total Duration Tables Sup #1'!$B175)</f>
        <v>0.30103076664801909</v>
      </c>
      <c r="J76" s="1">
        <f ca="1">$B76*('Updated Population'!J$70/'Updated Population'!$B$70)*('Total Duration Tables Sup #1'!J175/'Total Duration Tables Sup #1'!$B175)</f>
        <v>0.30651037147585386</v>
      </c>
      <c r="K76" s="1">
        <f ca="1">$B76*('Updated Population'!K$70/'Updated Population'!$B$70)*('Total Duration Tables Sup #1'!K175/'Total Duration Tables Sup #1'!$B175)</f>
        <v>0.31155296840917318</v>
      </c>
    </row>
    <row r="77" spans="1:11" x14ac:dyDescent="0.2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Duration Tables Sup #1'!C176/'Total Duration Tables Sup #1'!$B176)</f>
        <v>0</v>
      </c>
      <c r="D77" s="4">
        <f ca="1">$B77*('Updated Population'!D$70/'Updated Population'!$B$70)*('Total Duration Tables Sup #1'!D176/'Total Duration Tables Sup #1'!$B176)</f>
        <v>0</v>
      </c>
      <c r="E77" s="4">
        <f ca="1">$B77*('Updated Population'!E$70/'Updated Population'!$B$70)*('Total Duration Tables Sup #1'!E176/'Total Duration Tables Sup #1'!$B176)</f>
        <v>0</v>
      </c>
      <c r="F77" s="4">
        <f ca="1">$B77*('Updated Population'!F$70/'Updated Population'!$B$70)*('Total Duration Tables Sup #1'!F176/'Total Duration Tables Sup #1'!$B176)</f>
        <v>0</v>
      </c>
      <c r="G77" s="4">
        <f ca="1">$B77*('Updated Population'!G$70/'Updated Population'!$B$70)*('Total Duration Tables Sup #1'!G176/'Total Duration Tables Sup #1'!$B176)</f>
        <v>0</v>
      </c>
      <c r="H77" s="4">
        <f ca="1">$B77*('Updated Population'!H$70/'Updated Population'!$B$70)*('Total Duration Tables Sup #1'!H176/'Total Duration Tables Sup #1'!$B176)</f>
        <v>0</v>
      </c>
      <c r="I77" s="1">
        <f ca="1">$B77*('Updated Population'!I$70/'Updated Population'!$B$70)*('Total Duration Tables Sup #1'!I176/'Total Duration Tables Sup #1'!$B176)</f>
        <v>0</v>
      </c>
      <c r="J77" s="1">
        <f ca="1">$B77*('Updated Population'!J$70/'Updated Population'!$B$70)*('Total Duration Tables Sup #1'!J176/'Total Duration Tables Sup #1'!$B176)</f>
        <v>0</v>
      </c>
      <c r="K77" s="1">
        <f ca="1">$B77*('Updated Population'!K$70/'Updated Population'!$B$70)*('Total Duration Tables Sup #1'!K176/'Total Duration Tables Sup #1'!$B176)</f>
        <v>0</v>
      </c>
    </row>
    <row r="78" spans="1:11" x14ac:dyDescent="0.2">
      <c r="A78" t="str">
        <f ca="1">OFFSET(Taranaki_Reference,49,2)</f>
        <v>Local Bus</v>
      </c>
      <c r="B78" s="4">
        <f ca="1">OFFSET(Taranaki_Reference,49,7)</f>
        <v>0.4632962336</v>
      </c>
      <c r="C78" s="4">
        <f ca="1">$B78*('Updated Population'!C$70/'Updated Population'!$B$70)*('Total Duration Tables Sup #1'!C177/'Total Duration Tables Sup #1'!$B177)</f>
        <v>0.46015639162443511</v>
      </c>
      <c r="D78" s="4">
        <f ca="1">$B78*('Updated Population'!D$70/'Updated Population'!$B$70)*('Total Duration Tables Sup #1'!D177/'Total Duration Tables Sup #1'!$B177)</f>
        <v>0.45677419183575391</v>
      </c>
      <c r="E78" s="4">
        <f ca="1">$B78*('Updated Population'!E$70/'Updated Population'!$B$70)*('Total Duration Tables Sup #1'!E177/'Total Duration Tables Sup #1'!$B177)</f>
        <v>0.45530273933166537</v>
      </c>
      <c r="F78" s="4">
        <f ca="1">$B78*('Updated Population'!F$70/'Updated Population'!$B$70)*('Total Duration Tables Sup #1'!F177/'Total Duration Tables Sup #1'!$B177)</f>
        <v>0.44779151063955236</v>
      </c>
      <c r="G78" s="4">
        <f ca="1">$B78*('Updated Population'!G$70/'Updated Population'!$B$70)*('Total Duration Tables Sup #1'!G177/'Total Duration Tables Sup #1'!$B177)</f>
        <v>0.44243634144011218</v>
      </c>
      <c r="H78" s="4">
        <f ca="1">$B78*('Updated Population'!H$70/'Updated Population'!$B$70)*('Total Duration Tables Sup #1'!H177/'Total Duration Tables Sup #1'!$B177)</f>
        <v>0.43542468897532299</v>
      </c>
      <c r="I78" s="1">
        <f ca="1">$B78*('Updated Population'!I$70/'Updated Population'!$B$70)*('Total Duration Tables Sup #1'!I177/'Total Duration Tables Sup #1'!$B177)</f>
        <v>0.4445755954753729</v>
      </c>
      <c r="J78" s="1">
        <f ca="1">$B78*('Updated Population'!J$70/'Updated Population'!$B$70)*('Total Duration Tables Sup #1'!J177/'Total Duration Tables Sup #1'!$B177)</f>
        <v>0.45266811906168386</v>
      </c>
      <c r="K78" s="1">
        <f ca="1">$B78*('Updated Population'!K$70/'Updated Population'!$B$70)*('Total Duration Tables Sup #1'!K177/'Total Duration Tables Sup #1'!$B177)</f>
        <v>0.46011524999562581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Duration Tables Sup #1'!C178/'Total Duration Tables Sup #1'!$B178)</f>
        <v>0</v>
      </c>
      <c r="D79" s="4">
        <f ca="1">$B79*('Updated Population'!D$70/'Updated Population'!$B$70)*('Total Duration Tables Sup #1'!D178/'Total Duration Tables Sup #1'!$B178)</f>
        <v>0</v>
      </c>
      <c r="E79" s="4">
        <f ca="1">$B79*('Updated Population'!E$70/'Updated Population'!$B$70)*('Total Duration Tables Sup #1'!E178/'Total Duration Tables Sup #1'!$B178)</f>
        <v>0</v>
      </c>
      <c r="F79" s="4">
        <f ca="1">$B79*('Updated Population'!F$70/'Updated Population'!$B$70)*('Total Duration Tables Sup #1'!F178/'Total Duration Tables Sup #1'!$B178)</f>
        <v>0</v>
      </c>
      <c r="G79" s="4">
        <f ca="1">$B79*('Updated Population'!G$70/'Updated Population'!$B$70)*('Total Duration Tables Sup #1'!G178/'Total Duration Tables Sup #1'!$B178)</f>
        <v>0</v>
      </c>
      <c r="H79" s="4">
        <f ca="1">$B79*('Updated Population'!H$70/'Updated Population'!$B$70)*('Total Duration Tables Sup #1'!H178/'Total Duration Tables Sup #1'!$B178)</f>
        <v>0</v>
      </c>
      <c r="I79" s="1">
        <f ca="1">$B79*('Updated Population'!I$70/'Updated Population'!$B$70)*('Total Duration Tables Sup #1'!I178/'Total Duration Tables Sup #1'!$B178)</f>
        <v>0</v>
      </c>
      <c r="J79" s="1">
        <f ca="1">$B79*('Updated Population'!J$70/'Updated Population'!$B$70)*('Total Duration Tables Sup #1'!J178/'Total Duration Tables Sup #1'!$B178)</f>
        <v>0</v>
      </c>
      <c r="K79" s="1">
        <f ca="1">$B79*('Updated Population'!K$70/'Updated Population'!$B$70)*('Total Duration Tables Sup #1'!K178/'Total Duration Tables Sup #1'!$B178)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OFFSET(Taranaki_Reference,56,7)</f>
        <v>5.6354069499999999E-2</v>
      </c>
      <c r="C80" s="4">
        <f ca="1">$B80*('Updated Population'!C$70/'Updated Population'!$B$70)*('Total Duration Tables Sup #1'!C179/'Total Duration Tables Sup #1'!$B179)</f>
        <v>6.1771550429367494E-2</v>
      </c>
      <c r="D80" s="4">
        <f ca="1">$B80*('Updated Population'!D$70/'Updated Population'!$B$70)*('Total Duration Tables Sup #1'!D179/'Total Duration Tables Sup #1'!$B179)</f>
        <v>6.5747723600058303E-2</v>
      </c>
      <c r="E80" s="4">
        <f ca="1">$B80*('Updated Population'!E$70/'Updated Population'!$B$70)*('Total Duration Tables Sup #1'!E179/'Total Duration Tables Sup #1'!$B179)</f>
        <v>6.7998198725715955E-2</v>
      </c>
      <c r="F80" s="4">
        <f ca="1">$B80*('Updated Population'!F$70/'Updated Population'!$B$70)*('Total Duration Tables Sup #1'!F179/'Total Duration Tables Sup #1'!$B179)</f>
        <v>6.9677554038290568E-2</v>
      </c>
      <c r="G80" s="4">
        <f ca="1">$B80*('Updated Population'!G$70/'Updated Population'!$B$70)*('Total Duration Tables Sup #1'!G179/'Total Duration Tables Sup #1'!$B179)</f>
        <v>7.1489721681940996E-2</v>
      </c>
      <c r="H80" s="4">
        <f ca="1">$B80*('Updated Population'!H$70/'Updated Population'!$B$70)*('Total Duration Tables Sup #1'!H179/'Total Duration Tables Sup #1'!$B179)</f>
        <v>7.2795008676418124E-2</v>
      </c>
      <c r="I80" s="1">
        <f ca="1">$B80*('Updated Population'!I$70/'Updated Population'!$B$70)*('Total Duration Tables Sup #1'!I179/'Total Duration Tables Sup #1'!$B179)</f>
        <v>7.4324872129121811E-2</v>
      </c>
      <c r="J80" s="1">
        <f ca="1">$B80*('Updated Population'!J$70/'Updated Population'!$B$70)*('Total Duration Tables Sup #1'!J179/'Total Duration Tables Sup #1'!$B179)</f>
        <v>7.5677793402524882E-2</v>
      </c>
      <c r="K80" s="1">
        <f ca="1">$B80*('Updated Population'!K$70/'Updated Population'!$B$70)*('Total Duration Tables Sup #1'!K179/'Total Duration Tables Sup #1'!$B179)</f>
        <v>7.6922816881157832E-2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OFFSET(Manawatu_Reference,0,7)</f>
        <v>8.3408449691000008</v>
      </c>
      <c r="C82" s="4">
        <f ca="1">$B82*('Updated Population'!C$81/'Updated Population'!$B$81)*('Total Duration Tables Sup #1'!C170/'Total Duration Tables Sup #1'!$B170)</f>
        <v>8.6896578260838897</v>
      </c>
      <c r="D82" s="4">
        <f ca="1">$B82*('Updated Population'!D$81/'Updated Population'!$B$81)*('Total Duration Tables Sup #1'!D170/'Total Duration Tables Sup #1'!$B170)</f>
        <v>8.7944875755719227</v>
      </c>
      <c r="E82" s="4">
        <f ca="1">$B82*('Updated Population'!E$81/'Updated Population'!$B$81)*('Total Duration Tables Sup #1'!E170/'Total Duration Tables Sup #1'!$B170)</f>
        <v>8.7826336716724374</v>
      </c>
      <c r="F82" s="4">
        <f ca="1">$B82*('Updated Population'!F$81/'Updated Population'!$B$81)*('Total Duration Tables Sup #1'!F170/'Total Duration Tables Sup #1'!$B170)</f>
        <v>8.6835571184592251</v>
      </c>
      <c r="G82" s="4">
        <f ca="1">$B82*('Updated Population'!G$81/'Updated Population'!$B$81)*('Total Duration Tables Sup #1'!G170/'Total Duration Tables Sup #1'!$B170)</f>
        <v>8.5468560663792772</v>
      </c>
      <c r="H82" s="4">
        <f ca="1">$B82*('Updated Population'!H$81/'Updated Population'!$B$81)*('Total Duration Tables Sup #1'!H170/'Total Duration Tables Sup #1'!$B170)</f>
        <v>8.3767199101988794</v>
      </c>
      <c r="I82" s="1">
        <f ca="1">$B82*('Updated Population'!I$81/'Updated Population'!$B$81)*('Total Duration Tables Sup #1'!I170/'Total Duration Tables Sup #1'!$B170)</f>
        <v>8.3860132703832626</v>
      </c>
      <c r="J82" s="1">
        <f ca="1">$B82*('Updated Population'!J$81/'Updated Population'!$B$81)*('Total Duration Tables Sup #1'!J170/'Total Duration Tables Sup #1'!$B170)</f>
        <v>8.3732758780524001</v>
      </c>
      <c r="K82" s="1">
        <f ca="1">$B82*('Updated Population'!K$81/'Updated Population'!$B$81)*('Total Duration Tables Sup #1'!K170/'Total Duration Tables Sup #1'!$B170)</f>
        <v>8.3474215071348663</v>
      </c>
    </row>
    <row r="83" spans="1:11" x14ac:dyDescent="0.2">
      <c r="A83" t="str">
        <f ca="1">OFFSET(Manawatu_Reference,7,2)</f>
        <v>Cyclist</v>
      </c>
      <c r="B83" s="4">
        <f ca="1">OFFSET(Manawatu_Reference,7,7)</f>
        <v>1.7566260256999999</v>
      </c>
      <c r="C83" s="4">
        <f ca="1">$B83*('Updated Population'!C$81/'Updated Population'!$B$81)*('Total Duration Tables Sup #1'!C171/'Total Duration Tables Sup #1'!$B171)</f>
        <v>1.8803199316623005</v>
      </c>
      <c r="D83" s="4">
        <f ca="1">$B83*('Updated Population'!D$81/'Updated Population'!$B$81)*('Total Duration Tables Sup #1'!D171/'Total Duration Tables Sup #1'!$B171)</f>
        <v>1.9238528538636002</v>
      </c>
      <c r="E83" s="4">
        <f ca="1">$B83*('Updated Population'!E$81/'Updated Population'!$B$81)*('Total Duration Tables Sup #1'!E171/'Total Duration Tables Sup #1'!$B171)</f>
        <v>1.9301380994744584</v>
      </c>
      <c r="F83" s="4">
        <f ca="1">$B83*('Updated Population'!F$81/'Updated Population'!$B$81)*('Total Duration Tables Sup #1'!F171/'Total Duration Tables Sup #1'!$B171)</f>
        <v>1.9493498629544064</v>
      </c>
      <c r="G83" s="4">
        <f ca="1">$B83*('Updated Population'!G$81/'Updated Population'!$B$81)*('Total Duration Tables Sup #1'!G171/'Total Duration Tables Sup #1'!$B171)</f>
        <v>1.9856842835057351</v>
      </c>
      <c r="H83" s="4">
        <f ca="1">$B83*('Updated Population'!H$81/'Updated Population'!$B$81)*('Total Duration Tables Sup #1'!H171/'Total Duration Tables Sup #1'!$B171)</f>
        <v>2.0203715141432879</v>
      </c>
      <c r="I83" s="1">
        <f ca="1">$B83*('Updated Population'!I$81/'Updated Population'!$B$81)*('Total Duration Tables Sup #1'!I171/'Total Duration Tables Sup #1'!$B171)</f>
        <v>2.0226129690789287</v>
      </c>
      <c r="J83" s="1">
        <f ca="1">$B83*('Updated Population'!J$81/'Updated Population'!$B$81)*('Total Duration Tables Sup #1'!J171/'Total Duration Tables Sup #1'!$B171)</f>
        <v>2.0195408519608185</v>
      </c>
      <c r="K83" s="1">
        <f ca="1">$B83*('Updated Population'!K$81/'Updated Population'!$B$81)*('Total Duration Tables Sup #1'!K171/'Total Duration Tables Sup #1'!$B171)</f>
        <v>2.0133050657488099</v>
      </c>
    </row>
    <row r="84" spans="1:11" x14ac:dyDescent="0.2">
      <c r="A84" t="str">
        <f ca="1">OFFSET(Manawatu_Reference,14,2)</f>
        <v>Light Vehicle Driver</v>
      </c>
      <c r="B84" s="4">
        <f ca="1">OFFSET(Manawatu_Reference,14,7)</f>
        <v>42.09204356</v>
      </c>
      <c r="C84" s="4">
        <f ca="1">$B84*('Updated Population'!C$81/'Updated Population'!$B$81)*('Total Duration Tables Sup #1'!C172/'Total Duration Tables Sup #1'!$B172)</f>
        <v>45.353954176421709</v>
      </c>
      <c r="D84" s="4">
        <f ca="1">$B84*('Updated Population'!D$81/'Updated Population'!$B$81)*('Total Duration Tables Sup #1'!D172/'Total Duration Tables Sup #1'!$B172)</f>
        <v>46.838537548428398</v>
      </c>
      <c r="E84" s="4">
        <f ca="1">$B84*('Updated Population'!E$81/'Updated Population'!$B$81)*('Total Duration Tables Sup #1'!E172/'Total Duration Tables Sup #1'!$B172)</f>
        <v>48.099776850151009</v>
      </c>
      <c r="F84" s="4">
        <f ca="1">$B84*('Updated Population'!F$81/'Updated Population'!$B$81)*('Total Duration Tables Sup #1'!F172/'Total Duration Tables Sup #1'!$B172)</f>
        <v>49.084877578192632</v>
      </c>
      <c r="G84" s="4">
        <f ca="1">$B84*('Updated Population'!G$81/'Updated Population'!$B$81)*('Total Duration Tables Sup #1'!G172/'Total Duration Tables Sup #1'!$B172)</f>
        <v>49.534420958629887</v>
      </c>
      <c r="H84" s="4">
        <f ca="1">$B84*('Updated Population'!H$81/'Updated Population'!$B$81)*('Total Duration Tables Sup #1'!H172/'Total Duration Tables Sup #1'!$B172)</f>
        <v>49.710738676425969</v>
      </c>
      <c r="I84" s="1">
        <f ca="1">$B84*('Updated Population'!I$81/'Updated Population'!$B$81)*('Total Duration Tables Sup #1'!I172/'Total Duration Tables Sup #1'!$B172)</f>
        <v>49.765889117708994</v>
      </c>
      <c r="J84" s="1">
        <f ca="1">$B84*('Updated Population'!J$81/'Updated Population'!$B$81)*('Total Duration Tables Sup #1'!J172/'Total Duration Tables Sup #1'!$B172)</f>
        <v>49.690300439996655</v>
      </c>
      <c r="K84" s="1">
        <f ca="1">$B84*('Updated Population'!K$81/'Updated Population'!$B$81)*('Total Duration Tables Sup #1'!K172/'Total Duration Tables Sup #1'!$B172)</f>
        <v>49.536870470975003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OFFSET(Manawatu_Reference,21,7)</f>
        <v>20.286542670999999</v>
      </c>
      <c r="C85" s="4">
        <f ca="1">$B85*('Updated Population'!C$81/'Updated Population'!$B$81)*('Total Duration Tables Sup #1'!C173/'Total Duration Tables Sup #1'!$B173)</f>
        <v>20.94496468542998</v>
      </c>
      <c r="D85" s="4">
        <f ca="1">$B85*('Updated Population'!D$81/'Updated Population'!$B$81)*('Total Duration Tables Sup #1'!D173/'Total Duration Tables Sup #1'!$B173)</f>
        <v>21.12341212063496</v>
      </c>
      <c r="E85" s="4">
        <f ca="1">$B85*('Updated Population'!E$81/'Updated Population'!$B$81)*('Total Duration Tables Sup #1'!E173/'Total Duration Tables Sup #1'!$B173)</f>
        <v>21.189931548617416</v>
      </c>
      <c r="F85" s="4">
        <f ca="1">$B85*('Updated Population'!F$81/'Updated Population'!$B$81)*('Total Duration Tables Sup #1'!F173/'Total Duration Tables Sup #1'!$B173)</f>
        <v>21.110272611611414</v>
      </c>
      <c r="G85" s="4">
        <f ca="1">$B85*('Updated Population'!G$81/'Updated Population'!$B$81)*('Total Duration Tables Sup #1'!G173/'Total Duration Tables Sup #1'!$B173)</f>
        <v>20.891941975976057</v>
      </c>
      <c r="H85" s="4">
        <f ca="1">$B85*('Updated Population'!H$81/'Updated Population'!$B$81)*('Total Duration Tables Sup #1'!H173/'Total Duration Tables Sup #1'!$B173)</f>
        <v>20.562576299858108</v>
      </c>
      <c r="I85" s="1">
        <f ca="1">$B85*('Updated Population'!I$81/'Updated Population'!$B$81)*('Total Duration Tables Sup #1'!I173/'Total Duration Tables Sup #1'!$B173)</f>
        <v>20.585388979513393</v>
      </c>
      <c r="J85" s="1">
        <f ca="1">$B85*('Updated Population'!J$81/'Updated Population'!$B$81)*('Total Duration Tables Sup #1'!J173/'Total Duration Tables Sup #1'!$B173)</f>
        <v>20.554122134677662</v>
      </c>
      <c r="K85" s="1">
        <f ca="1">$B85*('Updated Population'!K$81/'Updated Population'!$B$81)*('Total Duration Tables Sup #1'!K173/'Total Duration Tables Sup #1'!$B173)</f>
        <v>20.490656663660861</v>
      </c>
    </row>
    <row r="86" spans="1:11" x14ac:dyDescent="0.2">
      <c r="A86" t="str">
        <f ca="1">OFFSET(Manawatu_Reference,28,2)</f>
        <v>Taxi/Vehicle Share</v>
      </c>
      <c r="B86" s="4">
        <f ca="1">OFFSET(Manawatu_Reference,28,7)</f>
        <v>0.26821620219999998</v>
      </c>
      <c r="C86" s="4">
        <f ca="1">$B86*('Updated Population'!C$81/'Updated Population'!$B$81)*('Total Duration Tables Sup #1'!C174/'Total Duration Tables Sup #1'!$B174)</f>
        <v>0.30129628405514641</v>
      </c>
      <c r="D86" s="4">
        <f ca="1">$B86*('Updated Population'!D$81/'Updated Population'!$B$81)*('Total Duration Tables Sup #1'!D174/'Total Duration Tables Sup #1'!$B174)</f>
        <v>0.32462559354058218</v>
      </c>
      <c r="E86" s="4">
        <f ca="1">$B86*('Updated Population'!E$81/'Updated Population'!$B$81)*('Total Duration Tables Sup #1'!E174/'Total Duration Tables Sup #1'!$B174)</f>
        <v>0.34319283256365374</v>
      </c>
      <c r="F86" s="4">
        <f ca="1">$B86*('Updated Population'!F$81/'Updated Population'!$B$81)*('Total Duration Tables Sup #1'!F174/'Total Duration Tables Sup #1'!$B174)</f>
        <v>0.35737121634880559</v>
      </c>
      <c r="G86" s="4">
        <f ca="1">$B86*('Updated Population'!G$81/'Updated Population'!$B$81)*('Total Duration Tables Sup #1'!G174/'Total Duration Tables Sup #1'!$B174)</f>
        <v>0.36443613989637702</v>
      </c>
      <c r="H86" s="4">
        <f ca="1">$B86*('Updated Population'!H$81/'Updated Population'!$B$81)*('Total Duration Tables Sup #1'!H174/'Total Duration Tables Sup #1'!$B174)</f>
        <v>0.36939141043643131</v>
      </c>
      <c r="I86" s="1">
        <f ca="1">$B86*('Updated Population'!I$81/'Updated Population'!$B$81)*('Total Duration Tables Sup #1'!I174/'Total Duration Tables Sup #1'!$B174)</f>
        <v>0.36980122328239062</v>
      </c>
      <c r="J86" s="1">
        <f ca="1">$B86*('Updated Population'!J$81/'Updated Population'!$B$81)*('Total Duration Tables Sup #1'!J174/'Total Duration Tables Sup #1'!$B174)</f>
        <v>0.36923953763826989</v>
      </c>
      <c r="K86" s="1">
        <f ca="1">$B86*('Updated Population'!K$81/'Updated Population'!$B$81)*('Total Duration Tables Sup #1'!K174/'Total Duration Tables Sup #1'!$B174)</f>
        <v>0.36809942759023706</v>
      </c>
    </row>
    <row r="87" spans="1:11" x14ac:dyDescent="0.2">
      <c r="A87" t="str">
        <f ca="1">OFFSET(Manawatu_Reference,35,2)</f>
        <v>Motorcyclist</v>
      </c>
      <c r="B87" s="4">
        <f ca="1">OFFSET(Manawatu_Reference,35,7)</f>
        <v>0.1643149203</v>
      </c>
      <c r="C87" s="4">
        <f ca="1">$B87*('Updated Population'!C$81/'Updated Population'!$B$81)*('Total Duration Tables Sup #1'!C175/'Total Duration Tables Sup #1'!$B175)</f>
        <v>0.17416313871453395</v>
      </c>
      <c r="D87" s="4">
        <f ca="1">$B87*('Updated Population'!D$81/'Updated Population'!$B$81)*('Total Duration Tables Sup #1'!D175/'Total Duration Tables Sup #1'!$B175)</f>
        <v>0.17724860321306835</v>
      </c>
      <c r="E87" s="4">
        <f ca="1">$B87*('Updated Population'!E$81/'Updated Population'!$B$81)*('Total Duration Tables Sup #1'!E175/'Total Duration Tables Sup #1'!$B175)</f>
        <v>0.17857783148129275</v>
      </c>
      <c r="F87" s="4">
        <f ca="1">$B87*('Updated Population'!F$81/'Updated Population'!$B$81)*('Total Duration Tables Sup #1'!F175/'Total Duration Tables Sup #1'!$B175)</f>
        <v>0.17882602002325143</v>
      </c>
      <c r="G87" s="4">
        <f ca="1">$B87*('Updated Population'!G$81/'Updated Population'!$B$81)*('Total Duration Tables Sup #1'!G175/'Total Duration Tables Sup #1'!$B175)</f>
        <v>0.17636221799656548</v>
      </c>
      <c r="H87" s="4">
        <f ca="1">$B87*('Updated Population'!H$81/'Updated Population'!$B$81)*('Total Duration Tables Sup #1'!H175/'Total Duration Tables Sup #1'!$B175)</f>
        <v>0.17282336346249505</v>
      </c>
      <c r="I87" s="1">
        <f ca="1">$B87*('Updated Population'!I$81/'Updated Population'!$B$81)*('Total Duration Tables Sup #1'!I175/'Total Duration Tables Sup #1'!$B175)</f>
        <v>0.17301509838763895</v>
      </c>
      <c r="J87" s="1">
        <f ca="1">$B87*('Updated Population'!J$81/'Updated Population'!$B$81)*('Total Duration Tables Sup #1'!J175/'Total Duration Tables Sup #1'!$B175)</f>
        <v>0.17275230829701163</v>
      </c>
      <c r="K87" s="1">
        <f ca="1">$B87*('Updated Population'!K$81/'Updated Population'!$B$81)*('Total Duration Tables Sup #1'!K175/'Total Duration Tables Sup #1'!$B175)</f>
        <v>0.17221889672421511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Duration Tables Sup #1'!C176/'Total Duration Tables Sup #1'!$B176)</f>
        <v>0</v>
      </c>
      <c r="D88" s="4">
        <f ca="1">$B88*('Updated Population'!D$81/'Updated Population'!$B$81)*('Total Duration Tables Sup #1'!D176/'Total Duration Tables Sup #1'!$B176)</f>
        <v>0</v>
      </c>
      <c r="E88" s="4">
        <f ca="1">$B88*('Updated Population'!E$81/'Updated Population'!$B$81)*('Total Duration Tables Sup #1'!E176/'Total Duration Tables Sup #1'!$B176)</f>
        <v>0</v>
      </c>
      <c r="F88" s="4">
        <f ca="1">$B88*('Updated Population'!F$81/'Updated Population'!$B$81)*('Total Duration Tables Sup #1'!F176/'Total Duration Tables Sup #1'!$B176)</f>
        <v>0</v>
      </c>
      <c r="G88" s="4">
        <f ca="1">$B88*('Updated Population'!G$81/'Updated Population'!$B$81)*('Total Duration Tables Sup #1'!G176/'Total Duration Tables Sup #1'!$B176)</f>
        <v>0</v>
      </c>
      <c r="H88" s="4">
        <f ca="1">$B88*('Updated Population'!H$81/'Updated Population'!$B$81)*('Total Duration Tables Sup #1'!H176/'Total Duration Tables Sup #1'!$B176)</f>
        <v>0</v>
      </c>
      <c r="I88" s="1">
        <f ca="1">$B88*('Updated Population'!I$81/'Updated Population'!$B$81)*('Total Duration Tables Sup #1'!I176/'Total Duration Tables Sup #1'!$B176)</f>
        <v>0</v>
      </c>
      <c r="J88" s="1">
        <f ca="1">$B88*('Updated Population'!J$81/'Updated Population'!$B$81)*('Total Duration Tables Sup #1'!J176/'Total Duration Tables Sup #1'!$B176)</f>
        <v>0</v>
      </c>
      <c r="K88" s="1">
        <f ca="1">$B88*('Updated Population'!K$81/'Updated Population'!$B$81)*('Total Duration Tables Sup #1'!K176/'Total Duration Tables Sup #1'!$B176)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OFFSET(Manawatu_Reference,42,7)</f>
        <v>1.7349616699999999</v>
      </c>
      <c r="C89" s="4">
        <f ca="1">$B89*('Updated Population'!C$81/'Updated Population'!$B$81)*('Total Duration Tables Sup #1'!C177/'Total Duration Tables Sup #1'!$B177)</f>
        <v>1.6894352210308188</v>
      </c>
      <c r="D89" s="4">
        <f ca="1">$B89*('Updated Population'!D$81/'Updated Population'!$B$81)*('Total Duration Tables Sup #1'!D177/'Total Duration Tables Sup #1'!$B177)</f>
        <v>1.6429607573149649</v>
      </c>
      <c r="E89" s="4">
        <f ca="1">$B89*('Updated Population'!E$81/'Updated Population'!$B$81)*('Total Duration Tables Sup #1'!E177/'Total Duration Tables Sup #1'!$B177)</f>
        <v>1.609525603094196</v>
      </c>
      <c r="F89" s="4">
        <f ca="1">$B89*('Updated Population'!F$81/'Updated Population'!$B$81)*('Total Duration Tables Sup #1'!F177/'Total Duration Tables Sup #1'!$B177)</f>
        <v>1.5543409916912525</v>
      </c>
      <c r="G89" s="4">
        <f ca="1">$B89*('Updated Population'!G$81/'Updated Population'!$B$81)*('Total Duration Tables Sup #1'!G177/'Total Duration Tables Sup #1'!$B177)</f>
        <v>1.5073013680630674</v>
      </c>
      <c r="H89" s="4">
        <f ca="1">$B89*('Updated Population'!H$81/'Updated Population'!$B$81)*('Total Duration Tables Sup #1'!H177/'Total Duration Tables Sup #1'!$B177)</f>
        <v>1.4543291146000561</v>
      </c>
      <c r="I89" s="1">
        <f ca="1">$B89*('Updated Population'!I$81/'Updated Population'!$B$81)*('Total Duration Tables Sup #1'!I177/'Total Duration Tables Sup #1'!$B177)</f>
        <v>1.4559425867506715</v>
      </c>
      <c r="J89" s="1">
        <f ca="1">$B89*('Updated Population'!J$81/'Updated Population'!$B$81)*('Total Duration Tables Sup #1'!J177/'Total Duration Tables Sup #1'!$B177)</f>
        <v>1.4537311769495271</v>
      </c>
      <c r="K89" s="1">
        <f ca="1">$B89*('Updated Population'!K$81/'Updated Population'!$B$81)*('Total Duration Tables Sup #1'!K177/'Total Duration Tables Sup #1'!$B177)</f>
        <v>1.4492424552579666</v>
      </c>
    </row>
    <row r="90" spans="1:11" x14ac:dyDescent="0.2">
      <c r="A90" t="str">
        <f ca="1">OFFSET(Manawatu_Reference,49,2)</f>
        <v>Local Ferry</v>
      </c>
      <c r="B90" s="4">
        <f ca="1">OFFSET(Manawatu_Reference,49,7)</f>
        <v>1.3357739E-2</v>
      </c>
      <c r="C90" s="4">
        <f ca="1">$B90*('Updated Population'!C$81/'Updated Population'!$B$81)*('Total Duration Tables Sup #1'!C178/'Total Duration Tables Sup #1'!$B178)</f>
        <v>1.4727985863941423E-2</v>
      </c>
      <c r="D90" s="4">
        <f ca="1">$B90*('Updated Population'!D$81/'Updated Population'!$B$81)*('Total Duration Tables Sup #1'!D178/'Total Duration Tables Sup #1'!$B178)</f>
        <v>1.5491607863516039E-2</v>
      </c>
      <c r="E90" s="4">
        <f ca="1">$B90*('Updated Population'!E$81/'Updated Population'!$B$81)*('Total Duration Tables Sup #1'!E178/'Total Duration Tables Sup #1'!$B178)</f>
        <v>1.5882853147279382E-2</v>
      </c>
      <c r="F90" s="4">
        <f ca="1">$B90*('Updated Population'!F$81/'Updated Population'!$B$81)*('Total Duration Tables Sup #1'!F178/'Total Duration Tables Sup #1'!$B178)</f>
        <v>1.604715098324442E-2</v>
      </c>
      <c r="G90" s="4">
        <f ca="1">$B90*('Updated Population'!G$81/'Updated Population'!$B$81)*('Total Duration Tables Sup #1'!G178/'Total Duration Tables Sup #1'!$B178)</f>
        <v>1.6448850308091924E-2</v>
      </c>
      <c r="H90" s="4">
        <f ca="1">$B90*('Updated Population'!H$81/'Updated Population'!$B$81)*('Total Duration Tables Sup #1'!H178/'Total Duration Tables Sup #1'!$B178)</f>
        <v>1.6696647900903815E-2</v>
      </c>
      <c r="I90" s="1">
        <f ca="1">$B90*('Updated Population'!I$81/'Updated Population'!$B$81)*('Total Duration Tables Sup #1'!I178/'Total Duration Tables Sup #1'!$B178)</f>
        <v>1.671517161477731E-2</v>
      </c>
      <c r="J90" s="1">
        <f ca="1">$B90*('Updated Population'!J$81/'Updated Population'!$B$81)*('Total Duration Tables Sup #1'!J178/'Total Duration Tables Sup #1'!$B178)</f>
        <v>1.6689783186227235E-2</v>
      </c>
      <c r="K90" s="1">
        <f ca="1">$B90*('Updated Population'!K$81/'Updated Population'!$B$81)*('Total Duration Tables Sup #1'!K178/'Total Duration Tables Sup #1'!$B178)</f>
        <v>1.663824973010871E-2</v>
      </c>
    </row>
    <row r="91" spans="1:11" x14ac:dyDescent="0.2">
      <c r="A91" t="str">
        <f ca="1">OFFSET(Manawatu_Reference,56,2)</f>
        <v>Other Household Travel</v>
      </c>
      <c r="B91" s="4">
        <f ca="1">OFFSET(Manawatu_Reference,56,7)</f>
        <v>3.9735238899999997E-2</v>
      </c>
      <c r="C91" s="4">
        <f ca="1">$B91*('Updated Population'!C$81/'Updated Population'!$B$81)*('Total Duration Tables Sup #1'!C179/'Total Duration Tables Sup #1'!$B179)</f>
        <v>4.2701587168908421E-2</v>
      </c>
      <c r="D91" s="4">
        <f ca="1">$B91*('Updated Population'!D$81/'Updated Population'!$B$81)*('Total Duration Tables Sup #1'!D179/'Total Duration Tables Sup #1'!$B179)</f>
        <v>4.4527240719541401E-2</v>
      </c>
      <c r="E91" s="4">
        <f ca="1">$B91*('Updated Population'!E$81/'Updated Population'!$B$81)*('Total Duration Tables Sup #1'!E179/'Total Duration Tables Sup #1'!$B179)</f>
        <v>4.5259991176010136E-2</v>
      </c>
      <c r="F91" s="4">
        <f ca="1">$B91*('Updated Population'!F$81/'Updated Population'!$B$81)*('Total Duration Tables Sup #1'!F179/'Total Duration Tables Sup #1'!$B179)</f>
        <v>4.5538924731350745E-2</v>
      </c>
      <c r="G91" s="4">
        <f ca="1">$B91*('Updated Population'!G$81/'Updated Population'!$B$81)*('Total Duration Tables Sup #1'!G179/'Total Duration Tables Sup #1'!$B179)</f>
        <v>4.5857707252031484E-2</v>
      </c>
      <c r="H91" s="4">
        <f ca="1">$B91*('Updated Population'!H$81/'Updated Population'!$B$81)*('Total Duration Tables Sup #1'!H179/'Total Duration Tables Sup #1'!$B179)</f>
        <v>4.5779461586346111E-2</v>
      </c>
      <c r="I91" s="1">
        <f ca="1">$B91*('Updated Population'!I$81/'Updated Population'!$B$81)*('Total Duration Tables Sup #1'!I179/'Total Duration Tables Sup #1'!$B179)</f>
        <v>4.5830250562237621E-2</v>
      </c>
      <c r="J91" s="1">
        <f ca="1">$B91*('Updated Population'!J$81/'Updated Population'!$B$81)*('Total Duration Tables Sup #1'!J179/'Total Duration Tables Sup #1'!$B179)</f>
        <v>4.576063966809623E-2</v>
      </c>
      <c r="K91" s="1">
        <f ca="1">$B91*('Updated Population'!K$81/'Updated Population'!$B$81)*('Total Duration Tables Sup #1'!K179/'Total Duration Tables Sup #1'!$B179)</f>
        <v>4.5619343409781896E-2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OFFSET(Wellington_Reference,0,7)</f>
        <v>32.985647405999998</v>
      </c>
      <c r="C93" s="4">
        <f ca="1">$B93*('Updated Population'!C$92/'Updated Population'!$B$92)*('Total Duration Tables Sup #1'!C170/'Total Duration Tables Sup #1'!$B170)</f>
        <v>35.246841781165422</v>
      </c>
      <c r="D93" s="4">
        <f ca="1">$B93*('Updated Population'!D$92/'Updated Population'!$B$92)*('Total Duration Tables Sup #1'!D170/'Total Duration Tables Sup #1'!$B170)</f>
        <v>36.549355538707594</v>
      </c>
      <c r="E93" s="4">
        <f ca="1">$B93*('Updated Population'!E$92/'Updated Population'!$B$92)*('Total Duration Tables Sup #1'!E170/'Total Duration Tables Sup #1'!$B170)</f>
        <v>37.271444939929289</v>
      </c>
      <c r="F93" s="4">
        <f ca="1">$B93*('Updated Population'!F$92/'Updated Population'!$B$92)*('Total Duration Tables Sup #1'!F170/'Total Duration Tables Sup #1'!$B170)</f>
        <v>37.632694267983702</v>
      </c>
      <c r="G93" s="4">
        <f ca="1">$B93*('Updated Population'!G$92/'Updated Population'!$B$92)*('Total Duration Tables Sup #1'!G170/'Total Duration Tables Sup #1'!$B170)</f>
        <v>37.818787819908778</v>
      </c>
      <c r="H93" s="4">
        <f ca="1">$B93*('Updated Population'!H$92/'Updated Population'!$B$92)*('Total Duration Tables Sup #1'!H170/'Total Duration Tables Sup #1'!$B170)</f>
        <v>37.853061823350522</v>
      </c>
      <c r="I93" s="1">
        <f ca="1">$B93*('Updated Population'!I$92/'Updated Population'!$B$92)*('Total Duration Tables Sup #1'!I170/'Total Duration Tables Sup #1'!$B170)</f>
        <v>38.687803359287834</v>
      </c>
      <c r="J93" s="1">
        <f ca="1">$B93*('Updated Population'!J$92/'Updated Population'!$B$92)*('Total Duration Tables Sup #1'!J170/'Total Duration Tables Sup #1'!$B170)</f>
        <v>39.424422320608109</v>
      </c>
      <c r="K93" s="1">
        <f ca="1">$B93*('Updated Population'!K$92/'Updated Population'!$B$92)*('Total Duration Tables Sup #1'!K170/'Total Duration Tables Sup #1'!$B170)</f>
        <v>40.098463549471319</v>
      </c>
    </row>
    <row r="94" spans="1:11" x14ac:dyDescent="0.2">
      <c r="A94" t="str">
        <f ca="1">OFFSET(Wellington_Reference,7,2)</f>
        <v>Cyclist</v>
      </c>
      <c r="B94" s="4">
        <f ca="1">OFFSET(Wellington_Reference,7,7)</f>
        <v>3.6978261002999999</v>
      </c>
      <c r="C94" s="4">
        <f ca="1">$B94*('Updated Population'!C$92/'Updated Population'!$B$92)*('Total Duration Tables Sup #1'!C171/'Total Duration Tables Sup #1'!$B171)</f>
        <v>4.0597705658634258</v>
      </c>
      <c r="D94" s="4">
        <f ca="1">$B94*('Updated Population'!D$92/'Updated Population'!$B$92)*('Total Duration Tables Sup #1'!D171/'Total Duration Tables Sup #1'!$B171)</f>
        <v>4.255917916466375</v>
      </c>
      <c r="E94" s="4">
        <f ca="1">$B94*('Updated Population'!E$92/'Updated Population'!$B$92)*('Total Duration Tables Sup #1'!E171/'Total Duration Tables Sup #1'!$B171)</f>
        <v>4.3600558476101288</v>
      </c>
      <c r="F94" s="4">
        <f ca="1">$B94*('Updated Population'!F$92/'Updated Population'!$B$92)*('Total Duration Tables Sup #1'!F171/'Total Duration Tables Sup #1'!$B171)</f>
        <v>4.4968628905956685</v>
      </c>
      <c r="G94" s="4">
        <f ca="1">$B94*('Updated Population'!G$92/'Updated Population'!$B$92)*('Total Duration Tables Sup #1'!G171/'Total Duration Tables Sup #1'!$B171)</f>
        <v>4.6769596176207369</v>
      </c>
      <c r="H94" s="4">
        <f ca="1">$B94*('Updated Population'!H$92/'Updated Population'!$B$92)*('Total Duration Tables Sup #1'!H171/'Total Duration Tables Sup #1'!$B171)</f>
        <v>4.8597112301051002</v>
      </c>
      <c r="I94" s="1">
        <f ca="1">$B94*('Updated Population'!I$92/'Updated Population'!$B$92)*('Total Duration Tables Sup #1'!I171/'Total Duration Tables Sup #1'!$B171)</f>
        <v>4.9668783289083827</v>
      </c>
      <c r="J94" s="1">
        <f ca="1">$B94*('Updated Population'!J$92/'Updated Population'!$B$92)*('Total Duration Tables Sup #1'!J171/'Total Duration Tables Sup #1'!$B171)</f>
        <v>5.0614481012386143</v>
      </c>
      <c r="K94" s="1">
        <f ca="1">$B94*('Updated Population'!K$92/'Updated Population'!$B$92)*('Total Duration Tables Sup #1'!K171/'Total Duration Tables Sup #1'!$B171)</f>
        <v>5.1479839208440907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OFFSET(Wellington_Reference,14,7)</f>
        <v>92.129697210000003</v>
      </c>
      <c r="C95" s="4">
        <f ca="1">$B95*('Updated Population'!C$92/'Updated Population'!$B$92)*('Total Duration Tables Sup #1'!C172/'Total Duration Tables Sup #1'!$B172)</f>
        <v>101.8163115056515</v>
      </c>
      <c r="D95" s="4">
        <f ca="1">$B95*('Updated Population'!D$92/'Updated Population'!$B$92)*('Total Duration Tables Sup #1'!D172/'Total Duration Tables Sup #1'!$B172)</f>
        <v>107.73509025053788</v>
      </c>
      <c r="E95" s="4">
        <f ca="1">$B95*('Updated Population'!E$92/'Updated Population'!$B$92)*('Total Duration Tables Sup #1'!E172/'Total Duration Tables Sup #1'!$B172)</f>
        <v>112.97417856398313</v>
      </c>
      <c r="F95" s="4">
        <f ca="1">$B95*('Updated Population'!F$92/'Updated Population'!$B$92)*('Total Duration Tables Sup #1'!F172/'Total Duration Tables Sup #1'!$B172)</f>
        <v>117.73349280358683</v>
      </c>
      <c r="G95" s="4">
        <f ca="1">$B95*('Updated Population'!G$92/'Updated Population'!$B$92)*('Total Duration Tables Sup #1'!G172/'Total Duration Tables Sup #1'!$B172)</f>
        <v>121.30898648121577</v>
      </c>
      <c r="H95" s="4">
        <f ca="1">$B95*('Updated Population'!H$92/'Updated Population'!$B$92)*('Total Duration Tables Sup #1'!H172/'Total Duration Tables Sup #1'!$B172)</f>
        <v>124.32598413815528</v>
      </c>
      <c r="I95" s="1">
        <f ca="1">$B95*('Updated Population'!I$92/'Updated Population'!$B$92)*('Total Duration Tables Sup #1'!I172/'Total Duration Tables Sup #1'!$B172)</f>
        <v>127.06763984465306</v>
      </c>
      <c r="J95" s="1">
        <f ca="1">$B95*('Updated Population'!J$92/'Updated Population'!$B$92)*('Total Duration Tables Sup #1'!J172/'Total Duration Tables Sup #1'!$B172)</f>
        <v>129.48701816940655</v>
      </c>
      <c r="K95" s="1">
        <f ca="1">$B95*('Updated Population'!K$92/'Updated Population'!$B$92)*('Total Duration Tables Sup #1'!K172/'Total Duration Tables Sup #1'!$B172)</f>
        <v>131.70086389526054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OFFSET(Wellington_Reference,21,7)</f>
        <v>48.966354531</v>
      </c>
      <c r="C96" s="4">
        <f ca="1">$B96*('Updated Population'!C$92/'Updated Population'!$B$92)*('Total Duration Tables Sup #1'!C173/'Total Duration Tables Sup #1'!$B173)</f>
        <v>51.852767011756399</v>
      </c>
      <c r="D96" s="4">
        <f ca="1">$B96*('Updated Population'!D$92/'Updated Population'!$B$92)*('Total Duration Tables Sup #1'!D173/'Total Duration Tables Sup #1'!$B173)</f>
        <v>53.580656034293398</v>
      </c>
      <c r="E96" s="4">
        <f ca="1">$B96*('Updated Population'!E$92/'Updated Population'!$B$92)*('Total Duration Tables Sup #1'!E173/'Total Duration Tables Sup #1'!$B173)</f>
        <v>54.885267559661749</v>
      </c>
      <c r="F96" s="4">
        <f ca="1">$B96*('Updated Population'!F$92/'Updated Population'!$B$92)*('Total Duration Tables Sup #1'!F173/'Total Duration Tables Sup #1'!$B173)</f>
        <v>55.838823480796485</v>
      </c>
      <c r="G96" s="4">
        <f ca="1">$B96*('Updated Population'!G$92/'Updated Population'!$B$92)*('Total Duration Tables Sup #1'!G173/'Total Duration Tables Sup #1'!$B173)</f>
        <v>56.422820982229915</v>
      </c>
      <c r="H96" s="4">
        <f ca="1">$B96*('Updated Population'!H$92/'Updated Population'!$B$92)*('Total Duration Tables Sup #1'!H173/'Total Duration Tables Sup #1'!$B173)</f>
        <v>56.712568536662197</v>
      </c>
      <c r="I96" s="1">
        <f ca="1">$B96*('Updated Population'!I$92/'Updated Population'!$B$92)*('Total Duration Tables Sup #1'!I173/'Total Duration Tables Sup #1'!$B173)</f>
        <v>57.96320281264672</v>
      </c>
      <c r="J96" s="1">
        <f ca="1">$B96*('Updated Population'!J$92/'Updated Population'!$B$92)*('Total Duration Tables Sup #1'!J173/'Total Duration Tables Sup #1'!$B173)</f>
        <v>59.066826966598541</v>
      </c>
      <c r="K96" s="1">
        <f ca="1">$B96*('Updated Population'!K$92/'Updated Population'!$B$92)*('Total Duration Tables Sup #1'!K173/'Total Duration Tables Sup #1'!$B173)</f>
        <v>60.076695324588542</v>
      </c>
    </row>
    <row r="97" spans="1:11" x14ac:dyDescent="0.2">
      <c r="A97" t="str">
        <f ca="1">OFFSET(Wellington_Reference,28,2)</f>
        <v>Taxi/Vehicle Share</v>
      </c>
      <c r="B97" s="4">
        <f ca="1">OFFSET(Wellington_Reference,28,7)</f>
        <v>0.76229285280000003</v>
      </c>
      <c r="C97" s="4">
        <f ca="1">$B97*('Updated Population'!C$92/'Updated Population'!$B$92)*('Total Duration Tables Sup #1'!C174/'Total Duration Tables Sup #1'!$B174)</f>
        <v>0.87828038733072822</v>
      </c>
      <c r="D97" s="4">
        <f ca="1">$B97*('Updated Population'!D$92/'Updated Population'!$B$92)*('Total Duration Tables Sup #1'!D174/'Total Duration Tables Sup #1'!$B174)</f>
        <v>0.96955804956400304</v>
      </c>
      <c r="E97" s="4">
        <f ca="1">$B97*('Updated Population'!E$92/'Updated Population'!$B$92)*('Total Duration Tables Sup #1'!E174/'Total Duration Tables Sup #1'!$B174)</f>
        <v>1.0466742654135783</v>
      </c>
      <c r="F97" s="4">
        <f ca="1">$B97*('Updated Population'!F$92/'Updated Population'!$B$92)*('Total Duration Tables Sup #1'!F174/'Total Duration Tables Sup #1'!$B174)</f>
        <v>1.1130356965572843</v>
      </c>
      <c r="G97" s="4">
        <f ca="1">$B97*('Updated Population'!G$92/'Updated Population'!$B$92)*('Total Duration Tables Sup #1'!G174/'Total Duration Tables Sup #1'!$B174)</f>
        <v>1.1588961711329193</v>
      </c>
      <c r="H97" s="4">
        <f ca="1">$B97*('Updated Population'!H$92/'Updated Population'!$B$92)*('Total Duration Tables Sup #1'!H174/'Total Duration Tables Sup #1'!$B174)</f>
        <v>1.1995978754853833</v>
      </c>
      <c r="I97" s="1">
        <f ca="1">$B97*('Updated Population'!I$92/'Updated Population'!$B$92)*('Total Duration Tables Sup #1'!I174/'Total Duration Tables Sup #1'!$B174)</f>
        <v>1.2260515921691972</v>
      </c>
      <c r="J97" s="1">
        <f ca="1">$B97*('Updated Population'!J$92/'Updated Population'!$B$92)*('Total Duration Tables Sup #1'!J174/'Total Duration Tables Sup #1'!$B174)</f>
        <v>1.2493957154310296</v>
      </c>
      <c r="K97" s="1">
        <f ca="1">$B97*('Updated Population'!K$92/'Updated Population'!$B$92)*('Total Duration Tables Sup #1'!K174/'Total Duration Tables Sup #1'!$B174)</f>
        <v>1.2707566935708503</v>
      </c>
    </row>
    <row r="98" spans="1:11" x14ac:dyDescent="0.2">
      <c r="A98" t="str">
        <f ca="1">OFFSET(Wellington_Reference,35,2)</f>
        <v>Motorcyclist</v>
      </c>
      <c r="B98" s="4">
        <f ca="1">OFFSET(Wellington_Reference,35,7)</f>
        <v>0.71073078609999996</v>
      </c>
      <c r="C98" s="4">
        <f ca="1">$B98*('Updated Population'!C$92/'Updated Population'!$B$92)*('Total Duration Tables Sup #1'!C175/'Total Duration Tables Sup #1'!$B175)</f>
        <v>0.7726573502072599</v>
      </c>
      <c r="D98" s="4">
        <f ca="1">$B98*('Updated Population'!D$92/'Updated Population'!$B$92)*('Total Duration Tables Sup #1'!D175/'Total Duration Tables Sup #1'!$B175)</f>
        <v>0.80568479821113326</v>
      </c>
      <c r="E98" s="4">
        <f ca="1">$B98*('Updated Population'!E$92/'Updated Population'!$B$92)*('Total Duration Tables Sup #1'!E175/'Total Duration Tables Sup #1'!$B175)</f>
        <v>0.82888097252241899</v>
      </c>
      <c r="F98" s="4">
        <f ca="1">$B98*('Updated Population'!F$92/'Updated Population'!$B$92)*('Total Duration Tables Sup #1'!F175/'Total Duration Tables Sup #1'!$B175)</f>
        <v>0.84764015426848349</v>
      </c>
      <c r="G98" s="4">
        <f ca="1">$B98*('Updated Population'!G$92/'Updated Population'!$B$92)*('Total Duration Tables Sup #1'!G175/'Total Duration Tables Sup #1'!$B175)</f>
        <v>0.85353224045576925</v>
      </c>
      <c r="H98" s="4">
        <f ca="1">$B98*('Updated Population'!H$92/'Updated Population'!$B$92)*('Total Duration Tables Sup #1'!H175/'Total Duration Tables Sup #1'!$B175)</f>
        <v>0.85416670102495851</v>
      </c>
      <c r="I98" s="1">
        <f ca="1">$B98*('Updated Population'!I$92/'Updated Population'!$B$92)*('Total Duration Tables Sup #1'!I175/'Total Duration Tables Sup #1'!$B175)</f>
        <v>0.87300291636963756</v>
      </c>
      <c r="J98" s="1">
        <f ca="1">$B98*('Updated Population'!J$92/'Updated Population'!$B$92)*('Total Duration Tables Sup #1'!J175/'Total Duration Tables Sup #1'!$B175)</f>
        <v>0.88962496377599132</v>
      </c>
      <c r="K98" s="1">
        <f ca="1">$B98*('Updated Population'!K$92/'Updated Population'!$B$92)*('Total Duration Tables Sup #1'!K175/'Total Duration Tables Sup #1'!$B175)</f>
        <v>0.90483492421458755</v>
      </c>
    </row>
    <row r="99" spans="1:11" x14ac:dyDescent="0.2">
      <c r="A99" t="str">
        <f ca="1">OFFSET(Wellington_Reference,42,2)</f>
        <v>Local Train</v>
      </c>
      <c r="B99" s="4">
        <f ca="1">OFFSET(Wellington_Reference,42,7)</f>
        <v>5.5268751299999996</v>
      </c>
      <c r="C99" s="4">
        <f ca="1">OFFSET(Wellington_Reference,43,7)</f>
        <v>5.9722013032000003</v>
      </c>
      <c r="D99" s="4">
        <f ca="1">OFFSET(Wellington_Reference,44,7)</f>
        <v>6.2906053629000001</v>
      </c>
      <c r="E99" s="4">
        <f ca="1">OFFSET(Wellington_Reference,45,7)</f>
        <v>6.5361995627000002</v>
      </c>
      <c r="F99" s="4">
        <f ca="1">OFFSET(Wellington_Reference,46,7)</f>
        <v>6.6633950145999998</v>
      </c>
      <c r="G99" s="4">
        <f ca="1">OFFSET(Wellington_Reference,47,7)</f>
        <v>6.8175096367999997</v>
      </c>
      <c r="H99" s="4">
        <f ca="1">OFFSET(Wellington_Reference,48,7)</f>
        <v>6.9350759681999996</v>
      </c>
      <c r="I99" s="1">
        <f ca="1">OFFSET(Wellington_Reference,48,7)*('Updated Population'!I92/'Updated Population'!H92)</f>
        <v>7.088009329114179</v>
      </c>
      <c r="J99" s="1">
        <f ca="1">OFFSET(Wellington_Reference,48,7)*('Updated Population'!J92/'Updated Population'!H92)</f>
        <v>7.2229656103316042</v>
      </c>
      <c r="K99" s="1">
        <f ca="1">OFFSET(Wellington_Reference,48,7)*('Updated Population'!K92/'Updated Population'!H92)</f>
        <v>7.3464569978891019</v>
      </c>
    </row>
    <row r="100" spans="1:11" x14ac:dyDescent="0.2">
      <c r="A100" t="str">
        <f ca="1">OFFSET(Wellington_Reference,49,2)</f>
        <v>Local Bus</v>
      </c>
      <c r="B100" s="4">
        <f ca="1">OFFSET(Wellington_Reference,49,7)</f>
        <v>9.3956469076999998</v>
      </c>
      <c r="C100" s="4">
        <f ca="1">OFFSET(Wellington_Reference,50,7)</f>
        <v>9.9524310807000003</v>
      </c>
      <c r="D100" s="4">
        <f ca="1">OFFSET(Wellington_Reference,51,7)</f>
        <v>10.221614831</v>
      </c>
      <c r="E100" s="4">
        <f ca="1">OFFSET(Wellington_Reference,52,7)</f>
        <v>10.277843769</v>
      </c>
      <c r="F100" s="4">
        <f ca="1">OFFSET(Wellington_Reference,53,7)</f>
        <v>10.191776047999999</v>
      </c>
      <c r="G100" s="4">
        <f ca="1">OFFSET(Wellington_Reference,54,7)</f>
        <v>10.057332625000001</v>
      </c>
      <c r="H100" s="4">
        <f ca="1">OFFSET(Wellington_Reference,55,7)</f>
        <v>9.8641072621999992</v>
      </c>
      <c r="I100" s="1">
        <f ca="1">OFFSET(Wellington_Reference,55,7)*('Updated Population'!I92/'Updated Population'!H92)</f>
        <v>10.081632071292718</v>
      </c>
      <c r="J100" s="1">
        <f ca="1">OFFSET(Wellington_Reference,55,7)*('Updated Population'!J92/'Updated Population'!H92)</f>
        <v>10.273587176001085</v>
      </c>
      <c r="K100" s="1">
        <f ca="1">OFFSET(Wellington_Reference,55,7)*('Updated Population'!K92/'Updated Population'!H92)</f>
        <v>10.449235185973963</v>
      </c>
    </row>
    <row r="101" spans="1:11" x14ac:dyDescent="0.2">
      <c r="A101" t="str">
        <f ca="1">OFFSET(Wellington_Reference,56,2)</f>
        <v>Local Ferry</v>
      </c>
      <c r="B101" s="4">
        <f ca="1">OFFSET(Wellington_Reference,56,7)</f>
        <v>5.6537513499999997E-2</v>
      </c>
      <c r="C101" s="4">
        <f ca="1">$B101*('Updated Population'!C$92/'Updated Population'!$B$92)*('Total Duration Tables Sup #1'!C178/'Total Duration Tables Sup #1'!$B178)</f>
        <v>6.3936620924334581E-2</v>
      </c>
      <c r="D101" s="4">
        <f ca="1">$B101*('Updated Population'!D$92/'Updated Population'!$B$92)*('Total Duration Tables Sup #1'!D178/'Total Duration Tables Sup #1'!$B178)</f>
        <v>6.8905591774447106E-2</v>
      </c>
      <c r="E101" s="4">
        <f ca="1">$B101*('Updated Population'!E$92/'Updated Population'!$B$92)*('Total Duration Tables Sup #1'!E178/'Total Duration Tables Sup #1'!$B178)</f>
        <v>7.2138776043427832E-2</v>
      </c>
      <c r="F101" s="4">
        <f ca="1">$B101*('Updated Population'!F$92/'Updated Population'!$B$92)*('Total Duration Tables Sup #1'!F178/'Total Duration Tables Sup #1'!$B178)</f>
        <v>7.4431089040248075E-2</v>
      </c>
      <c r="G101" s="4">
        <f ca="1">$B101*('Updated Population'!G$92/'Updated Population'!$B$92)*('Total Duration Tables Sup #1'!G178/'Total Duration Tables Sup #1'!$B178)</f>
        <v>7.7897864203599579E-2</v>
      </c>
      <c r="H101" s="4">
        <f ca="1">$B101*('Updated Population'!H$92/'Updated Population'!$B$92)*('Total Duration Tables Sup #1'!H178/'Total Duration Tables Sup #1'!$B178)</f>
        <v>8.0750476983489278E-2</v>
      </c>
      <c r="I101" s="1">
        <f ca="1">$B101*('Updated Population'!I$92/'Updated Population'!$B$92)*('Total Duration Tables Sup #1'!I178/'Total Duration Tables Sup #1'!$B178)</f>
        <v>8.2531198910276382E-2</v>
      </c>
      <c r="J101" s="1">
        <f ca="1">$B101*('Updated Population'!J$92/'Updated Population'!$B$92)*('Total Duration Tables Sup #1'!J178/'Total Duration Tables Sup #1'!$B178)</f>
        <v>8.4102599732732486E-2</v>
      </c>
      <c r="K101" s="1">
        <f ca="1">$B101*('Updated Population'!K$92/'Updated Population'!$B$92)*('Total Duration Tables Sup #1'!K178/'Total Duration Tables Sup #1'!$B178)</f>
        <v>8.5540505891849722E-2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OFFSET(Wellington_Reference,63,7)</f>
        <v>0.36538599710000003</v>
      </c>
      <c r="C102" s="4">
        <f ca="1">$B102*('Updated Population'!C$92/'Updated Population'!$B$92)*('Total Duration Tables Sup #1'!C179/'Total Duration Tables Sup #1'!$B179)</f>
        <v>0.40273804627433901</v>
      </c>
      <c r="D102" s="4">
        <f ca="1">$B102*('Updated Population'!D$92/'Updated Population'!$B$92)*('Total Duration Tables Sup #1'!D179/'Total Duration Tables Sup #1'!$B179)</f>
        <v>0.43028486985245967</v>
      </c>
      <c r="E102" s="4">
        <f ca="1">$B102*('Updated Population'!E$92/'Updated Population'!$B$92)*('Total Duration Tables Sup #1'!E179/'Total Duration Tables Sup #1'!$B179)</f>
        <v>0.4466085510983091</v>
      </c>
      <c r="F102" s="4">
        <f ca="1">$B102*('Updated Population'!F$92/'Updated Population'!$B$92)*('Total Duration Tables Sup #1'!F179/'Total Duration Tables Sup #1'!$B179)</f>
        <v>0.45889309889237045</v>
      </c>
      <c r="G102" s="4">
        <f ca="1">$B102*('Updated Population'!G$92/'Updated Population'!$B$92)*('Total Duration Tables Sup #1'!G179/'Total Duration Tables Sup #1'!$B179)</f>
        <v>0.47181816768404866</v>
      </c>
      <c r="H102" s="4">
        <f ca="1">$B102*('Updated Population'!H$92/'Updated Population'!$B$92)*('Total Duration Tables Sup #1'!H179/'Total Duration Tables Sup #1'!$B179)</f>
        <v>0.48101520885805332</v>
      </c>
      <c r="I102" s="1">
        <f ca="1">$B102*('Updated Population'!I$92/'Updated Population'!$B$92)*('Total Duration Tables Sup #1'!I179/'Total Duration Tables Sup #1'!$B179)</f>
        <v>0.49162263015795177</v>
      </c>
      <c r="J102" s="1">
        <f ca="1">$B102*('Updated Population'!J$92/'Updated Population'!$B$92)*('Total Duration Tables Sup #1'!J179/'Total Duration Tables Sup #1'!$B179)</f>
        <v>0.50098316551389754</v>
      </c>
      <c r="K102" s="1">
        <f ca="1">$B102*('Updated Population'!K$92/'Updated Population'!$B$92)*('Total Duration Tables Sup #1'!K179/'Total Duration Tables Sup #1'!$B179)</f>
        <v>0.5095484985903509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OFFSET(Nelson_Reference,0,7)</f>
        <v>7.2640217022</v>
      </c>
      <c r="C104" s="4">
        <f ca="1">$B104*('Updated Population'!C$103/'Updated Population'!$B$103)*('Total Duration Tables Sup #1'!C170/'Total Duration Tables Sup #1'!$B170)</f>
        <v>7.4886482542164501</v>
      </c>
      <c r="D104" s="4">
        <f ca="1">$B104*('Updated Population'!D$103/'Updated Population'!$B$103)*('Total Duration Tables Sup #1'!D170/'Total Duration Tables Sup #1'!$B170)</f>
        <v>7.5694226559689062</v>
      </c>
      <c r="E104" s="4">
        <f ca="1">$B104*('Updated Population'!E$103/'Updated Population'!$B$103)*('Total Duration Tables Sup #1'!E170/'Total Duration Tables Sup #1'!$B170)</f>
        <v>7.5592744746622103</v>
      </c>
      <c r="F104" s="4">
        <f ca="1">$B104*('Updated Population'!F$103/'Updated Population'!$B$103)*('Total Duration Tables Sup #1'!F170/'Total Duration Tables Sup #1'!$B170)</f>
        <v>7.4734164397694931</v>
      </c>
      <c r="G104" s="4">
        <f ca="1">$B104*('Updated Population'!G$103/'Updated Population'!$B$103)*('Total Duration Tables Sup #1'!G170/'Total Duration Tables Sup #1'!$B170)</f>
        <v>7.3504736543088276</v>
      </c>
      <c r="H104" s="4">
        <f ca="1">$B104*('Updated Population'!H$103/'Updated Population'!$B$103)*('Total Duration Tables Sup #1'!H170/'Total Duration Tables Sup #1'!$B170)</f>
        <v>7.188754646454246</v>
      </c>
      <c r="I104" s="1">
        <f ca="1">$B104*('Updated Population'!I$103/'Updated Population'!$B$103)*('Total Duration Tables Sup #1'!I170/'Total Duration Tables Sup #1'!$B170)</f>
        <v>7.1778105861326811</v>
      </c>
      <c r="J104" s="1">
        <f ca="1">$B104*('Updated Population'!J$103/'Updated Population'!$B$103)*('Total Duration Tables Sup #1'!J170/'Total Duration Tables Sup #1'!$B170)</f>
        <v>7.1444070483357232</v>
      </c>
      <c r="K104" s="1">
        <f ca="1">$B104*('Updated Population'!K$103/'Updated Population'!$B$103)*('Total Duration Tables Sup #1'!K170/'Total Duration Tables Sup #1'!$B170)</f>
        <v>7.0962119965075141</v>
      </c>
    </row>
    <row r="105" spans="1:11" x14ac:dyDescent="0.2">
      <c r="A105" t="str">
        <f ca="1">OFFSET(Nelson_Reference,7,2)</f>
        <v>Cyclist</v>
      </c>
      <c r="B105" s="4">
        <f ca="1">OFFSET(Nelson_Reference,7,7)</f>
        <v>1.0417220854</v>
      </c>
      <c r="C105" s="4">
        <f ca="1">$B105*('Updated Population'!C$103/'Updated Population'!$B$103)*('Total Duration Tables Sup #1'!C171/'Total Duration Tables Sup #1'!$B171)</f>
        <v>1.1034127069911561</v>
      </c>
      <c r="D105" s="4">
        <f ca="1">$B105*('Updated Population'!D$103/'Updated Population'!$B$103)*('Total Duration Tables Sup #1'!D171/'Total Duration Tables Sup #1'!$B171)</f>
        <v>1.1275337305264863</v>
      </c>
      <c r="E105" s="4">
        <f ca="1">$B105*('Updated Population'!E$103/'Updated Population'!$B$103)*('Total Duration Tables Sup #1'!E171/'Total Duration Tables Sup #1'!$B171)</f>
        <v>1.1312255472813457</v>
      </c>
      <c r="F105" s="4">
        <f ca="1">$B105*('Updated Population'!F$103/'Updated Population'!$B$103)*('Total Duration Tables Sup #1'!F171/'Total Duration Tables Sup #1'!$B171)</f>
        <v>1.1423962910600571</v>
      </c>
      <c r="G105" s="4">
        <f ca="1">$B105*('Updated Population'!G$103/'Updated Population'!$B$103)*('Total Duration Tables Sup #1'!G171/'Total Duration Tables Sup #1'!$B171)</f>
        <v>1.1628524395688009</v>
      </c>
      <c r="H105" s="4">
        <f ca="1">$B105*('Updated Population'!H$103/'Updated Population'!$B$103)*('Total Duration Tables Sup #1'!H171/'Total Duration Tables Sup #1'!$B171)</f>
        <v>1.1806369701480539</v>
      </c>
      <c r="I105" s="1">
        <f ca="1">$B105*('Updated Population'!I$103/'Updated Population'!$B$103)*('Total Duration Tables Sup #1'!I171/'Total Duration Tables Sup #1'!$B171)</f>
        <v>1.1788395848073896</v>
      </c>
      <c r="J105" s="1">
        <f ca="1">$B105*('Updated Population'!J$103/'Updated Population'!$B$103)*('Total Duration Tables Sup #1'!J171/'Total Duration Tables Sup #1'!$B171)</f>
        <v>1.1733535926437426</v>
      </c>
      <c r="K105" s="1">
        <f ca="1">$B105*('Updated Population'!K$103/'Updated Population'!$B$103)*('Total Duration Tables Sup #1'!K171/'Total Duration Tables Sup #1'!$B171)</f>
        <v>1.1654383329409164</v>
      </c>
    </row>
    <row r="106" spans="1:11" x14ac:dyDescent="0.2">
      <c r="A106" t="str">
        <f ca="1">OFFSET(Nelson_Reference,14,2)</f>
        <v>Light Vehicle Driver</v>
      </c>
      <c r="B106" s="4">
        <f ca="1">OFFSET(Nelson_Reference,14,7)</f>
        <v>23.635435057999999</v>
      </c>
      <c r="C106" s="4">
        <f ca="1">$B106*('Updated Population'!C$103/'Updated Population'!$B$103)*('Total Duration Tables Sup #1'!C172/'Total Duration Tables Sup #1'!$B172)</f>
        <v>25.200689250303196</v>
      </c>
      <c r="D106" s="4">
        <f ca="1">$B106*('Updated Population'!D$103/'Updated Population'!$B$103)*('Total Duration Tables Sup #1'!D172/'Total Duration Tables Sup #1'!$B172)</f>
        <v>25.992739135964133</v>
      </c>
      <c r="E106" s="4">
        <f ca="1">$B106*('Updated Population'!E$103/'Updated Population'!$B$103)*('Total Duration Tables Sup #1'!E172/'Total Duration Tables Sup #1'!$B172)</f>
        <v>26.692848001049946</v>
      </c>
      <c r="F106" s="4">
        <f ca="1">$B106*('Updated Population'!F$103/'Updated Population'!$B$103)*('Total Duration Tables Sup #1'!F172/'Total Duration Tables Sup #1'!$B172)</f>
        <v>27.237405440703359</v>
      </c>
      <c r="G106" s="4">
        <f ca="1">$B106*('Updated Population'!G$103/'Updated Population'!$B$103)*('Total Duration Tables Sup #1'!G172/'Total Duration Tables Sup #1'!$B172)</f>
        <v>27.467082457991072</v>
      </c>
      <c r="H106" s="4">
        <f ca="1">$B106*('Updated Population'!H$103/'Updated Population'!$B$103)*('Total Duration Tables Sup #1'!H172/'Total Duration Tables Sup #1'!$B172)</f>
        <v>27.505933534745076</v>
      </c>
      <c r="I106" s="1">
        <f ca="1">$B106*('Updated Population'!I$103/'Updated Population'!$B$103)*('Total Duration Tables Sup #1'!I172/'Total Duration Tables Sup #1'!$B172)</f>
        <v>27.464058883208082</v>
      </c>
      <c r="J106" s="1">
        <f ca="1">$B106*('Updated Population'!J$103/'Updated Population'!$B$103)*('Total Duration Tables Sup #1'!J172/'Total Duration Tables Sup #1'!$B172)</f>
        <v>27.336248777611885</v>
      </c>
      <c r="K106" s="1">
        <f ca="1">$B106*('Updated Population'!K$103/'Updated Population'!$B$103)*('Total Duration Tables Sup #1'!K172/'Total Duration Tables Sup #1'!$B172)</f>
        <v>27.151842721558186</v>
      </c>
    </row>
    <row r="107" spans="1:11" x14ac:dyDescent="0.2">
      <c r="A107" t="str">
        <f ca="1">OFFSET(Nelson_Reference,21,2)</f>
        <v>Light Vehicle Passenger</v>
      </c>
      <c r="B107" s="4">
        <f ca="1">OFFSET(Nelson_Reference,21,7)</f>
        <v>11.910351560000001</v>
      </c>
      <c r="C107" s="4">
        <f ca="1">$B107*('Updated Population'!C$103/'Updated Population'!$B$103)*('Total Duration Tables Sup #1'!C173/'Total Duration Tables Sup #1'!$B173)</f>
        <v>12.168298280684017</v>
      </c>
      <c r="D107" s="4">
        <f ca="1">$B107*('Updated Population'!D$103/'Updated Population'!$B$103)*('Total Duration Tables Sup #1'!D173/'Total Duration Tables Sup #1'!$B173)</f>
        <v>12.256479590121707</v>
      </c>
      <c r="E107" s="4">
        <f ca="1">$B107*('Updated Population'!E$103/'Updated Population'!$B$103)*('Total Duration Tables Sup #1'!E173/'Total Duration Tables Sup #1'!$B173)</f>
        <v>12.295164908056186</v>
      </c>
      <c r="F107" s="4">
        <f ca="1">$B107*('Updated Population'!F$103/'Updated Population'!$B$103)*('Total Duration Tables Sup #1'!F173/'Total Duration Tables Sup #1'!$B173)</f>
        <v>12.24798984051772</v>
      </c>
      <c r="G107" s="4">
        <f ca="1">$B107*('Updated Population'!G$103/'Updated Population'!$B$103)*('Total Duration Tables Sup #1'!G173/'Total Duration Tables Sup #1'!$B173)</f>
        <v>12.112595217515704</v>
      </c>
      <c r="H107" s="4">
        <f ca="1">$B107*('Updated Population'!H$103/'Updated Population'!$B$103)*('Total Duration Tables Sup #1'!H173/'Total Duration Tables Sup #1'!$B173)</f>
        <v>11.896156032206742</v>
      </c>
      <c r="I107" s="1">
        <f ca="1">$B107*('Updated Population'!I$103/'Updated Population'!$B$103)*('Total Duration Tables Sup #1'!I173/'Total Duration Tables Sup #1'!$B173)</f>
        <v>11.878045489336088</v>
      </c>
      <c r="J107" s="1">
        <f ca="1">$B107*('Updated Population'!J$103/'Updated Population'!$B$103)*('Total Duration Tables Sup #1'!J173/'Total Duration Tables Sup #1'!$B173)</f>
        <v>11.82276836315731</v>
      </c>
      <c r="K107" s="1">
        <f ca="1">$B107*('Updated Population'!K$103/'Updated Population'!$B$103)*('Total Duration Tables Sup #1'!K173/'Total Duration Tables Sup #1'!$B173)</f>
        <v>11.743013818076061</v>
      </c>
    </row>
    <row r="108" spans="1:11" x14ac:dyDescent="0.2">
      <c r="A108" t="str">
        <f ca="1">OFFSET(Nelson_Reference,28,2)</f>
        <v>Taxi/Vehicle Share</v>
      </c>
      <c r="B108" s="4">
        <f ca="1">OFFSET(Nelson_Reference,28,7)</f>
        <v>8.1526233300000001E-2</v>
      </c>
      <c r="C108" s="4">
        <f ca="1">$B108*('Updated Population'!C$103/'Updated Population'!$B$103)*('Total Duration Tables Sup #1'!C174/'Total Duration Tables Sup #1'!$B174)</f>
        <v>9.0623288277515507E-2</v>
      </c>
      <c r="D108" s="4">
        <f ca="1">$B108*('Updated Population'!D$103/'Updated Population'!$B$103)*('Total Duration Tables Sup #1'!D174/'Total Duration Tables Sup #1'!$B174)</f>
        <v>9.7516983177157165E-2</v>
      </c>
      <c r="E108" s="4">
        <f ca="1">$B108*('Updated Population'!E$103/'Updated Population'!$B$103)*('Total Duration Tables Sup #1'!E174/'Total Duration Tables Sup #1'!$B174)</f>
        <v>0.10309529366045087</v>
      </c>
      <c r="F108" s="4">
        <f ca="1">$B108*('Updated Population'!F$103/'Updated Population'!$B$103)*('Total Duration Tables Sup #1'!F174/'Total Duration Tables Sup #1'!$B174)</f>
        <v>0.1073461251970244</v>
      </c>
      <c r="G108" s="4">
        <f ca="1">$B108*('Updated Population'!G$103/'Updated Population'!$B$103)*('Total Duration Tables Sup #1'!G174/'Total Duration Tables Sup #1'!$B174)</f>
        <v>0.1093895051177616</v>
      </c>
      <c r="H108" s="4">
        <f ca="1">$B108*('Updated Population'!H$103/'Updated Population'!$B$103)*('Total Duration Tables Sup #1'!H174/'Total Duration Tables Sup #1'!$B174)</f>
        <v>0.11063989221718305</v>
      </c>
      <c r="I108" s="1">
        <f ca="1">$B108*('Updated Population'!I$103/'Updated Population'!$B$103)*('Total Duration Tables Sup #1'!I174/'Total Duration Tables Sup #1'!$B174)</f>
        <v>0.11047145558052671</v>
      </c>
      <c r="J108" s="1">
        <f ca="1">$B108*('Updated Population'!J$103/'Updated Population'!$B$103)*('Total Duration Tables Sup #1'!J174/'Total Duration Tables Sup #1'!$B174)</f>
        <v>0.10995735209483454</v>
      </c>
      <c r="K108" s="1">
        <f ca="1">$B108*('Updated Population'!K$103/'Updated Population'!$B$103)*('Total Duration Tables Sup #1'!K174/'Total Duration Tables Sup #1'!$B174)</f>
        <v>0.10921559700623865</v>
      </c>
    </row>
    <row r="109" spans="1:11" x14ac:dyDescent="0.2">
      <c r="A109" t="str">
        <f ca="1">OFFSET(Nelson_Reference,35,2)</f>
        <v>Motorcyclist</v>
      </c>
      <c r="B109" s="4">
        <f ca="1">OFFSET(Nelson_Reference,35,7)</f>
        <v>0.60769230029999999</v>
      </c>
      <c r="C109" s="4">
        <f ca="1">$B109*('Updated Population'!C$103/'Updated Population'!$B$103)*('Total Duration Tables Sup #1'!C175/'Total Duration Tables Sup #1'!$B175)</f>
        <v>0.63737738281315892</v>
      </c>
      <c r="D109" s="4">
        <f ca="1">$B109*('Updated Population'!D$103/'Updated Population'!$B$103)*('Total Duration Tables Sup #1'!D175/'Total Duration Tables Sup #1'!$B175)</f>
        <v>0.64785033360761557</v>
      </c>
      <c r="E109" s="4">
        <f ca="1">$B109*('Updated Population'!E$103/'Updated Population'!$B$103)*('Total Duration Tables Sup #1'!E175/'Total Duration Tables Sup #1'!$B175)</f>
        <v>0.65271341752240108</v>
      </c>
      <c r="F109" s="4">
        <f ca="1">$B109*('Updated Population'!F$103/'Updated Population'!$B$103)*('Total Duration Tables Sup #1'!F175/'Total Duration Tables Sup #1'!$B175)</f>
        <v>0.65356965203692408</v>
      </c>
      <c r="G109" s="4">
        <f ca="1">$B109*('Updated Population'!G$103/'Updated Population'!$B$103)*('Total Duration Tables Sup #1'!G175/'Total Duration Tables Sup #1'!$B175)</f>
        <v>0.64410124159448057</v>
      </c>
      <c r="H109" s="4">
        <f ca="1">$B109*('Updated Population'!H$103/'Updated Population'!$B$103)*('Total Duration Tables Sup #1'!H175/'Total Duration Tables Sup #1'!$B175)</f>
        <v>0.62982771765333168</v>
      </c>
      <c r="I109" s="1">
        <f ca="1">$B109*('Updated Population'!I$103/'Updated Population'!$B$103)*('Total Duration Tables Sup #1'!I175/'Total Duration Tables Sup #1'!$B175)</f>
        <v>0.62886887667555647</v>
      </c>
      <c r="J109" s="1">
        <f ca="1">$B109*('Updated Population'!J$103/'Updated Population'!$B$103)*('Total Duration Tables Sup #1'!J175/'Total Duration Tables Sup #1'!$B175)</f>
        <v>0.62594229550720604</v>
      </c>
      <c r="K109" s="1">
        <f ca="1">$B109*('Updated Population'!K$103/'Updated Population'!$B$103)*('Total Duration Tables Sup #1'!K175/'Total Duration Tables Sup #1'!$B175)</f>
        <v>0.62171978674344996</v>
      </c>
    </row>
    <row r="110" spans="1:11" x14ac:dyDescent="0.2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Duration Tables Sup #1'!C176/'Total Duration Tables Sup #1'!$B176)</f>
        <v>0</v>
      </c>
      <c r="D110" s="4">
        <f ca="1">$B110*('Updated Population'!D$103/'Updated Population'!$B$103)*('Total Duration Tables Sup #1'!D176/'Total Duration Tables Sup #1'!$B176)</f>
        <v>0</v>
      </c>
      <c r="E110" s="4">
        <f ca="1">$B110*('Updated Population'!E$103/'Updated Population'!$B$103)*('Total Duration Tables Sup #1'!E176/'Total Duration Tables Sup #1'!$B176)</f>
        <v>0</v>
      </c>
      <c r="F110" s="4">
        <f ca="1">$B110*('Updated Population'!F$103/'Updated Population'!$B$103)*('Total Duration Tables Sup #1'!F176/'Total Duration Tables Sup #1'!$B176)</f>
        <v>0</v>
      </c>
      <c r="G110" s="4">
        <f ca="1">$B110*('Updated Population'!G$103/'Updated Population'!$B$103)*('Total Duration Tables Sup #1'!G176/'Total Duration Tables Sup #1'!$B176)</f>
        <v>0</v>
      </c>
      <c r="H110" s="4">
        <f ca="1">$B110*('Updated Population'!H$103/'Updated Population'!$B$103)*('Total Duration Tables Sup #1'!H176/'Total Duration Tables Sup #1'!$B176)</f>
        <v>0</v>
      </c>
      <c r="I110" s="1">
        <f ca="1">$B110*('Updated Population'!I$103/'Updated Population'!$B$103)*('Total Duration Tables Sup #1'!I176/'Total Duration Tables Sup #1'!$B176)</f>
        <v>0</v>
      </c>
      <c r="J110" s="1">
        <f ca="1">$B110*('Updated Population'!J$103/'Updated Population'!$B$103)*('Total Duration Tables Sup #1'!J176/'Total Duration Tables Sup #1'!$B176)</f>
        <v>0</v>
      </c>
      <c r="K110" s="1">
        <f ca="1">$B110*('Updated Population'!K$103/'Updated Population'!$B$103)*('Total Duration Tables Sup #1'!K176/'Total Duration Tables Sup #1'!$B176)</f>
        <v>0</v>
      </c>
    </row>
    <row r="111" spans="1:11" x14ac:dyDescent="0.2">
      <c r="A111" t="str">
        <f ca="1">OFFSET(Nelson_Reference,49,2)</f>
        <v>Local Bus</v>
      </c>
      <c r="B111" s="4">
        <f ca="1">OFFSET(Nelson_Reference,49,7)</f>
        <v>0.94491203199999996</v>
      </c>
      <c r="C111" s="4">
        <f ca="1">$B111*('Updated Population'!C$103/'Updated Population'!$B$103)*('Total Duration Tables Sup #1'!C177/'Total Duration Tables Sup #1'!$B177)</f>
        <v>0.91049320955926205</v>
      </c>
      <c r="D111" s="4">
        <f ca="1">$B111*('Updated Population'!D$103/'Updated Population'!$B$103)*('Total Duration Tables Sup #1'!D177/'Total Duration Tables Sup #1'!$B177)</f>
        <v>0.88432889778677226</v>
      </c>
      <c r="E111" s="4">
        <f ca="1">$B111*('Updated Population'!E$103/'Updated Population'!$B$103)*('Total Duration Tables Sup #1'!E177/'Total Duration Tables Sup #1'!$B177)</f>
        <v>0.86633856291344502</v>
      </c>
      <c r="F111" s="4">
        <f ca="1">$B111*('Updated Population'!F$103/'Updated Population'!$B$103)*('Total Duration Tables Sup #1'!F177/'Total Duration Tables Sup #1'!$B177)</f>
        <v>0.83656988921011877</v>
      </c>
      <c r="G111" s="4">
        <f ca="1">$B111*('Updated Population'!G$103/'Updated Population'!$B$103)*('Total Duration Tables Sup #1'!G177/'Total Duration Tables Sup #1'!$B177)</f>
        <v>0.81066876313556846</v>
      </c>
      <c r="H111" s="4">
        <f ca="1">$B111*('Updated Population'!H$103/'Updated Population'!$B$103)*('Total Duration Tables Sup #1'!H177/'Total Duration Tables Sup #1'!$B177)</f>
        <v>0.78050695273240389</v>
      </c>
      <c r="I111" s="1">
        <f ca="1">$B111*('Updated Population'!I$103/'Updated Population'!$B$103)*('Total Duration Tables Sup #1'!I177/'Total Duration Tables Sup #1'!$B177)</f>
        <v>0.77931871977799128</v>
      </c>
      <c r="J111" s="1">
        <f ca="1">$B111*('Updated Population'!J$103/'Updated Population'!$B$103)*('Total Duration Tables Sup #1'!J177/'Total Duration Tables Sup #1'!$B177)</f>
        <v>0.77569198680703855</v>
      </c>
      <c r="K111" s="1">
        <f ca="1">$B111*('Updated Population'!K$103/'Updated Population'!$B$103)*('Total Duration Tables Sup #1'!K177/'Total Duration Tables Sup #1'!$B177)</f>
        <v>0.77045929006202296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Duration Tables Sup #1'!C178/'Total Duration Tables Sup #1'!$B178)</f>
        <v>0</v>
      </c>
      <c r="D112" s="4">
        <f ca="1">$B112*('Updated Population'!D$103/'Updated Population'!$B$103)*('Total Duration Tables Sup #1'!D178/'Total Duration Tables Sup #1'!$B178)</f>
        <v>0</v>
      </c>
      <c r="E112" s="4">
        <f ca="1">$B112*('Updated Population'!E$103/'Updated Population'!$B$103)*('Total Duration Tables Sup #1'!E178/'Total Duration Tables Sup #1'!$B178)</f>
        <v>0</v>
      </c>
      <c r="F112" s="4">
        <f ca="1">$B112*('Updated Population'!F$103/'Updated Population'!$B$103)*('Total Duration Tables Sup #1'!F178/'Total Duration Tables Sup #1'!$B178)</f>
        <v>0</v>
      </c>
      <c r="G112" s="4">
        <f ca="1">$B112*('Updated Population'!G$103/'Updated Population'!$B$103)*('Total Duration Tables Sup #1'!G178/'Total Duration Tables Sup #1'!$B178)</f>
        <v>0</v>
      </c>
      <c r="H112" s="4">
        <f ca="1">$B112*('Updated Population'!H$103/'Updated Population'!$B$103)*('Total Duration Tables Sup #1'!H178/'Total Duration Tables Sup #1'!$B178)</f>
        <v>0</v>
      </c>
      <c r="I112" s="1">
        <f ca="1">$B112*('Updated Population'!I$103/'Updated Population'!$B$103)*('Total Duration Tables Sup #1'!I178/'Total Duration Tables Sup #1'!$B178)</f>
        <v>0</v>
      </c>
      <c r="J112" s="1">
        <f ca="1">$B112*('Updated Population'!J$103/'Updated Population'!$B$103)*('Total Duration Tables Sup #1'!J178/'Total Duration Tables Sup #1'!$B178)</f>
        <v>0</v>
      </c>
      <c r="K112" s="1">
        <f ca="1">$B112*('Updated Population'!K$103/'Updated Population'!$B$103)*('Total Duration Tables Sup #1'!K178/'Total Duration Tables Sup #1'!$B178)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OFFSET(Nelson_Reference,56,7)</f>
        <v>0.51346004550000002</v>
      </c>
      <c r="C113" s="4">
        <f ca="1">$B113*('Updated Population'!C$103/'Updated Population'!$B$103)*('Total Duration Tables Sup #1'!C179/'Total Duration Tables Sup #1'!$B179)</f>
        <v>0.54601995719191609</v>
      </c>
      <c r="D113" s="4">
        <f ca="1">$B113*('Updated Population'!D$103/'Updated Population'!$B$103)*('Total Duration Tables Sup #1'!D179/'Total Duration Tables Sup #1'!$B179)</f>
        <v>0.56864567718659531</v>
      </c>
      <c r="E113" s="4">
        <f ca="1">$B113*('Updated Population'!E$103/'Updated Population'!$B$103)*('Total Duration Tables Sup #1'!E179/'Total Duration Tables Sup #1'!$B179)</f>
        <v>0.57800760648801808</v>
      </c>
      <c r="F113" s="4">
        <f ca="1">$B113*('Updated Population'!F$103/'Updated Population'!$B$103)*('Total Duration Tables Sup #1'!F179/'Total Duration Tables Sup #1'!$B179)</f>
        <v>0.58152452073965499</v>
      </c>
      <c r="G113" s="4">
        <f ca="1">$B113*('Updated Population'!G$103/'Updated Population'!$B$103)*('Total Duration Tables Sup #1'!G179/'Total Duration Tables Sup #1'!$B179)</f>
        <v>0.58517399116050406</v>
      </c>
      <c r="H113" s="4">
        <f ca="1">$B113*('Updated Population'!H$103/'Updated Population'!$B$103)*('Total Duration Tables Sup #1'!H179/'Total Duration Tables Sup #1'!$B179)</f>
        <v>0.58292689088815841</v>
      </c>
      <c r="I113" s="1">
        <f ca="1">$B113*('Updated Population'!I$103/'Updated Population'!$B$103)*('Total Duration Tables Sup #1'!I179/'Total Duration Tables Sup #1'!$B179)</f>
        <v>0.58203945107824806</v>
      </c>
      <c r="J113" s="1">
        <f ca="1">$B113*('Updated Population'!J$103/'Updated Population'!$B$103)*('Total Duration Tables Sup #1'!J179/'Total Duration Tables Sup #1'!$B179)</f>
        <v>0.57933080105605683</v>
      </c>
      <c r="K113" s="1">
        <f ca="1">$B113*('Updated Population'!K$103/'Updated Population'!$B$103)*('Total Duration Tables Sup #1'!K179/'Total Duration Tables Sup #1'!$B179)</f>
        <v>0.57542272613903767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OFFSET(West_Coast_Reference,0,7)</f>
        <v>1.1518220776999999</v>
      </c>
      <c r="C115" s="4">
        <f ca="1">$B115*('Updated Population'!C$114/'Updated Population'!$B$114)*('Total Duration Tables Sup #1'!C170/'Total Duration Tables Sup #1'!$B170)</f>
        <v>1.115329198112273</v>
      </c>
      <c r="D115" s="4">
        <f ca="1">$B115*('Updated Population'!D$114/'Updated Population'!$B$114)*('Total Duration Tables Sup #1'!D170/'Total Duration Tables Sup #1'!$B170)</f>
        <v>1.0943313053291885</v>
      </c>
      <c r="E115" s="4">
        <f ca="1">$B115*('Updated Population'!E$114/'Updated Population'!$B$114)*('Total Duration Tables Sup #1'!E170/'Total Duration Tables Sup #1'!$B170)</f>
        <v>1.0626173602065314</v>
      </c>
      <c r="F115" s="4">
        <f ca="1">$B115*('Updated Population'!F$114/'Updated Population'!$B$114)*('Total Duration Tables Sup #1'!F170/'Total Duration Tables Sup #1'!$B170)</f>
        <v>1.0219166407399536</v>
      </c>
      <c r="G115" s="4">
        <f ca="1">$B115*('Updated Population'!G$114/'Updated Population'!$B$114)*('Total Duration Tables Sup #1'!G170/'Total Duration Tables Sup #1'!$B170)</f>
        <v>0.97822263626588368</v>
      </c>
      <c r="H115" s="4">
        <f ca="1">$B115*('Updated Population'!H$114/'Updated Population'!$B$114)*('Total Duration Tables Sup #1'!H170/'Total Duration Tables Sup #1'!$B170)</f>
        <v>0.93356193160719858</v>
      </c>
      <c r="I115" s="1">
        <f ca="1">$B115*('Updated Population'!I$114/'Updated Population'!$B$114)*('Total Duration Tables Sup #1'!I170/'Total Duration Tables Sup #1'!$B170)</f>
        <v>0.9095531375775352</v>
      </c>
      <c r="J115" s="1">
        <f ca="1">$B115*('Updated Population'!J$114/'Updated Population'!$B$114)*('Total Duration Tables Sup #1'!J170/'Total Duration Tables Sup #1'!$B170)</f>
        <v>0.88334098186449861</v>
      </c>
      <c r="K115" s="1">
        <f ca="1">$B115*('Updated Population'!K$114/'Updated Population'!$B$114)*('Total Duration Tables Sup #1'!K170/'Total Duration Tables Sup #1'!$B170)</f>
        <v>0.85604057827580227</v>
      </c>
    </row>
    <row r="116" spans="1:11" x14ac:dyDescent="0.2">
      <c r="A116" t="str">
        <f ca="1">OFFSET(West_Coast_Reference,7,2)</f>
        <v>Cyclist</v>
      </c>
      <c r="B116" s="4">
        <f ca="1">OFFSET(West_Coast_Reference,7,7)</f>
        <v>0.17528853950000001</v>
      </c>
      <c r="C116" s="4">
        <f ca="1">$B116*('Updated Population'!C$114/'Updated Population'!$B$114)*('Total Duration Tables Sup #1'!C171/'Total Duration Tables Sup #1'!$B171)</f>
        <v>0.1743937859249246</v>
      </c>
      <c r="D116" s="4">
        <f ca="1">$B116*('Updated Population'!D$114/'Updated Population'!$B$114)*('Total Duration Tables Sup #1'!D171/'Total Duration Tables Sup #1'!$B171)</f>
        <v>0.17298521888652249</v>
      </c>
      <c r="E116" s="4">
        <f ca="1">$B116*('Updated Population'!E$114/'Updated Population'!$B$114)*('Total Duration Tables Sup #1'!E171/'Total Duration Tables Sup #1'!$B171)</f>
        <v>0.16874829046473577</v>
      </c>
      <c r="F116" s="4">
        <f ca="1">$B116*('Updated Population'!F$114/'Updated Population'!$B$114)*('Total Duration Tables Sup #1'!F171/'Total Duration Tables Sup #1'!$B171)</f>
        <v>0.16577019860599368</v>
      </c>
      <c r="G116" s="4">
        <f ca="1">$B116*('Updated Population'!G$114/'Updated Population'!$B$114)*('Total Duration Tables Sup #1'!G171/'Total Duration Tables Sup #1'!$B171)</f>
        <v>0.16422541819693404</v>
      </c>
      <c r="H116" s="4">
        <f ca="1">$B116*('Updated Population'!H$114/'Updated Population'!$B$114)*('Total Duration Tables Sup #1'!H171/'Total Duration Tables Sup #1'!$B171)</f>
        <v>0.16270437699807708</v>
      </c>
      <c r="I116" s="1">
        <f ca="1">$B116*('Updated Population'!I$114/'Updated Population'!$B$114)*('Total Duration Tables Sup #1'!I171/'Total Duration Tables Sup #1'!$B171)</f>
        <v>0.15852004198738695</v>
      </c>
      <c r="J116" s="1">
        <f ca="1">$B116*('Updated Population'!J$114/'Updated Population'!$B$114)*('Total Duration Tables Sup #1'!J171/'Total Duration Tables Sup #1'!$B171)</f>
        <v>0.15395169754158897</v>
      </c>
      <c r="K116" s="1">
        <f ca="1">$B116*('Updated Population'!K$114/'Updated Population'!$B$114)*('Total Duration Tables Sup #1'!K171/'Total Duration Tables Sup #1'!$B171)</f>
        <v>0.14919368952165196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OFFSET(West_Coast_Reference,14,7)</f>
        <v>5.0852916584000001</v>
      </c>
      <c r="C117" s="4">
        <f ca="1">$B117*('Updated Population'!C$114/'Updated Population'!$B$114)*('Total Duration Tables Sup #1'!C172/'Total Duration Tables Sup #1'!$B172)</f>
        <v>5.0927934012799403</v>
      </c>
      <c r="D117" s="4">
        <f ca="1">$B117*('Updated Population'!D$114/'Updated Population'!$B$114)*('Total Duration Tables Sup #1'!D172/'Total Duration Tables Sup #1'!$B172)</f>
        <v>5.0989659923627872</v>
      </c>
      <c r="E117" s="4">
        <f ca="1">$B117*('Updated Population'!E$114/'Updated Population'!$B$114)*('Total Duration Tables Sup #1'!E172/'Total Duration Tables Sup #1'!$B172)</f>
        <v>5.0913822633949204</v>
      </c>
      <c r="F117" s="4">
        <f ca="1">$B117*('Updated Population'!F$114/'Updated Population'!$B$114)*('Total Duration Tables Sup #1'!F172/'Total Duration Tables Sup #1'!$B172)</f>
        <v>5.0536600390284132</v>
      </c>
      <c r="G117" s="4">
        <f ca="1">$B117*('Updated Population'!G$114/'Updated Population'!$B$114)*('Total Duration Tables Sup #1'!G172/'Total Duration Tables Sup #1'!$B172)</f>
        <v>4.9599684503850598</v>
      </c>
      <c r="H117" s="4">
        <f ca="1">$B117*('Updated Population'!H$114/'Updated Population'!$B$114)*('Total Duration Tables Sup #1'!H172/'Total Duration Tables Sup #1'!$B172)</f>
        <v>4.8468531495014542</v>
      </c>
      <c r="I117" s="1">
        <f ca="1">$B117*('Updated Population'!I$114/'Updated Population'!$B$114)*('Total Duration Tables Sup #1'!I172/'Total Duration Tables Sup #1'!$B172)</f>
        <v>4.7222046446528578</v>
      </c>
      <c r="J117" s="1">
        <f ca="1">$B117*('Updated Population'!J$114/'Updated Population'!$B$114)*('Total Duration Tables Sup #1'!J172/'Total Duration Tables Sup #1'!$B172)</f>
        <v>4.5861167589201646</v>
      </c>
      <c r="K117" s="1">
        <f ca="1">$B117*('Updated Population'!K$114/'Updated Population'!$B$114)*('Total Duration Tables Sup #1'!K172/'Total Duration Tables Sup #1'!$B172)</f>
        <v>4.444378923821497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OFFSET(West_Coast_Reference,21,7)</f>
        <v>3.4140139011000001</v>
      </c>
      <c r="C118" s="4">
        <f ca="1">$B118*('Updated Population'!C$114/'Updated Population'!$B$114)*('Total Duration Tables Sup #1'!C173/'Total Duration Tables Sup #1'!$B173)</f>
        <v>3.2761360250974843</v>
      </c>
      <c r="D118" s="4">
        <f ca="1">$B118*('Updated Population'!D$114/'Updated Population'!$B$114)*('Total Duration Tables Sup #1'!D173/'Total Duration Tables Sup #1'!$B173)</f>
        <v>3.2032014505355022</v>
      </c>
      <c r="E118" s="4">
        <f ca="1">$B118*('Updated Population'!E$114/'Updated Population'!$B$114)*('Total Duration Tables Sup #1'!E173/'Total Duration Tables Sup #1'!$B173)</f>
        <v>3.124378127375198</v>
      </c>
      <c r="F118" s="4">
        <f ca="1">$B118*('Updated Population'!F$114/'Updated Population'!$B$114)*('Total Duration Tables Sup #1'!F173/'Total Duration Tables Sup #1'!$B173)</f>
        <v>3.0275654762668029</v>
      </c>
      <c r="G118" s="4">
        <f ca="1">$B118*('Updated Population'!G$114/'Updated Population'!$B$114)*('Total Duration Tables Sup #1'!G173/'Total Duration Tables Sup #1'!$B173)</f>
        <v>2.9140166284575391</v>
      </c>
      <c r="H118" s="4">
        <f ca="1">$B118*('Updated Population'!H$114/'Updated Population'!$B$114)*('Total Duration Tables Sup #1'!H173/'Total Duration Tables Sup #1'!$B173)</f>
        <v>2.7927275101069626</v>
      </c>
      <c r="I118" s="1">
        <f ca="1">$B118*('Updated Population'!I$114/'Updated Population'!$B$114)*('Total Duration Tables Sup #1'!I173/'Total Duration Tables Sup #1'!$B173)</f>
        <v>2.7209057944809829</v>
      </c>
      <c r="J118" s="1">
        <f ca="1">$B118*('Updated Population'!J$114/'Updated Population'!$B$114)*('Total Duration Tables Sup #1'!J173/'Total Duration Tables Sup #1'!$B173)</f>
        <v>2.6424927766826038</v>
      </c>
      <c r="K118" s="1">
        <f ca="1">$B118*('Updated Population'!K$114/'Updated Population'!$B$114)*('Total Duration Tables Sup #1'!K173/'Total Duration Tables Sup #1'!$B173)</f>
        <v>2.560824292184829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OFFSET(West_Coast_Reference,28,7)</f>
        <v>6.5507808299999998E-2</v>
      </c>
      <c r="C119" s="4">
        <f ca="1">$B119*('Updated Population'!C$114/'Updated Population'!$B$114)*('Total Duration Tables Sup #1'!C174/'Total Duration Tables Sup #1'!$B174)</f>
        <v>6.8395398247312986E-2</v>
      </c>
      <c r="D119" s="4">
        <f ca="1">$B119*('Updated Population'!D$114/'Updated Population'!$B$114)*('Total Duration Tables Sup #1'!D174/'Total Duration Tables Sup #1'!$B174)</f>
        <v>7.1442024210449942E-2</v>
      </c>
      <c r="E119" s="4">
        <f ca="1">$B119*('Updated Population'!E$114/'Updated Population'!$B$114)*('Total Duration Tables Sup #1'!E174/'Total Duration Tables Sup #1'!$B174)</f>
        <v>7.3438375006753404E-2</v>
      </c>
      <c r="F119" s="4">
        <f ca="1">$B119*('Updated Population'!F$114/'Updated Population'!$B$114)*('Total Duration Tables Sup #1'!F174/'Total Duration Tables Sup #1'!$B174)</f>
        <v>7.4382382894972815E-2</v>
      </c>
      <c r="G119" s="4">
        <f ca="1">$B119*('Updated Population'!G$114/'Updated Population'!$B$114)*('Total Duration Tables Sup #1'!G174/'Total Duration Tables Sup #1'!$B174)</f>
        <v>7.3770965412230716E-2</v>
      </c>
      <c r="H119" s="4">
        <f ca="1">$B119*('Updated Population'!H$114/'Updated Population'!$B$114)*('Total Duration Tables Sup #1'!H174/'Total Duration Tables Sup #1'!$B174)</f>
        <v>7.280959965076067E-2</v>
      </c>
      <c r="I119" s="1">
        <f ca="1">$B119*('Updated Population'!I$114/'Updated Population'!$B$114)*('Total Duration Tables Sup #1'!I174/'Total Duration Tables Sup #1'!$B174)</f>
        <v>7.0937125396815959E-2</v>
      </c>
      <c r="J119" s="1">
        <f ca="1">$B119*('Updated Population'!J$114/'Updated Population'!$B$114)*('Total Duration Tables Sup #1'!J174/'Total Duration Tables Sup #1'!$B174)</f>
        <v>6.8892808358133856E-2</v>
      </c>
      <c r="K119" s="1">
        <f ca="1">$B119*('Updated Population'!K$114/'Updated Population'!$B$114)*('Total Duration Tables Sup #1'!K174/'Total Duration Tables Sup #1'!$B174)</f>
        <v>6.6763617579997533E-2</v>
      </c>
    </row>
    <row r="120" spans="1:11" x14ac:dyDescent="0.2">
      <c r="A120" t="str">
        <f ca="1">OFFSET(West_Coast_Reference,35,2)</f>
        <v>Motorcyclist</v>
      </c>
      <c r="B120" s="4">
        <f ca="1">OFFSET(West_Coast_Reference,35,7)</f>
        <v>9.7989774000000005E-3</v>
      </c>
      <c r="C120" s="4">
        <f ca="1">$B120*('Updated Population'!C$114/'Updated Population'!$B$114)*('Total Duration Tables Sup #1'!C175/'Total Duration Tables Sup #1'!$B175)</f>
        <v>9.6535054241645001E-3</v>
      </c>
      <c r="D120" s="4">
        <f ca="1">$B120*('Updated Population'!D$114/'Updated Population'!$B$114)*('Total Duration Tables Sup #1'!D175/'Total Duration Tables Sup #1'!$B175)</f>
        <v>9.5246606397889639E-3</v>
      </c>
      <c r="E120" s="4">
        <f ca="1">$B120*('Updated Population'!E$114/'Updated Population'!$B$114)*('Total Duration Tables Sup #1'!E175/'Total Duration Tables Sup #1'!$B175)</f>
        <v>9.3305681468376766E-3</v>
      </c>
      <c r="F120" s="4">
        <f ca="1">$B120*('Updated Population'!F$114/'Updated Population'!$B$114)*('Total Duration Tables Sup #1'!F175/'Total Duration Tables Sup #1'!$B175)</f>
        <v>9.0881800557706949E-3</v>
      </c>
      <c r="G120" s="4">
        <f ca="1">$B120*('Updated Population'!G$114/'Updated Population'!$B$114)*('Total Duration Tables Sup #1'!G175/'Total Duration Tables Sup #1'!$B175)</f>
        <v>8.7169644724873173E-3</v>
      </c>
      <c r="H120" s="4">
        <f ca="1">$B120*('Updated Population'!H$114/'Updated Population'!$B$114)*('Total Duration Tables Sup #1'!H175/'Total Duration Tables Sup #1'!$B175)</f>
        <v>8.3176376838393438E-3</v>
      </c>
      <c r="I120" s="1">
        <f ca="1">$B120*('Updated Population'!I$114/'Updated Population'!$B$114)*('Total Duration Tables Sup #1'!I175/'Total Duration Tables Sup #1'!$B175)</f>
        <v>8.1037295935417111E-3</v>
      </c>
      <c r="J120" s="1">
        <f ca="1">$B120*('Updated Population'!J$114/'Updated Population'!$B$114)*('Total Duration Tables Sup #1'!J175/'Total Duration Tables Sup #1'!$B175)</f>
        <v>7.8701904926509192E-3</v>
      </c>
      <c r="K120" s="1">
        <f ca="1">$B120*('Updated Population'!K$114/'Updated Population'!$B$114)*('Total Duration Tables Sup #1'!K175/'Total Duration Tables Sup #1'!$B175)</f>
        <v>7.6269555684478326E-3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Duration Tables Sup #1'!C176/'Total Duration Tables Sup #1'!$B176)</f>
        <v>0</v>
      </c>
      <c r="D121" s="4">
        <f ca="1">$B121*('Updated Population'!D$114/'Updated Population'!$B$114)*('Total Duration Tables Sup #1'!D176/'Total Duration Tables Sup #1'!$B176)</f>
        <v>0</v>
      </c>
      <c r="E121" s="4">
        <f ca="1">$B121*('Updated Population'!E$114/'Updated Population'!$B$114)*('Total Duration Tables Sup #1'!E176/'Total Duration Tables Sup #1'!$B176)</f>
        <v>0</v>
      </c>
      <c r="F121" s="4">
        <f ca="1">$B121*('Updated Population'!F$114/'Updated Population'!$B$114)*('Total Duration Tables Sup #1'!F176/'Total Duration Tables Sup #1'!$B176)</f>
        <v>0</v>
      </c>
      <c r="G121" s="4">
        <f ca="1">$B121*('Updated Population'!G$114/'Updated Population'!$B$114)*('Total Duration Tables Sup #1'!G176/'Total Duration Tables Sup #1'!$B176)</f>
        <v>0</v>
      </c>
      <c r="H121" s="4">
        <f ca="1">$B121*('Updated Population'!H$114/'Updated Population'!$B$114)*('Total Duration Tables Sup #1'!H176/'Total Duration Tables Sup #1'!$B176)</f>
        <v>0</v>
      </c>
      <c r="I121" s="1">
        <f ca="1">$B121*('Updated Population'!I$114/'Updated Population'!$B$114)*('Total Duration Tables Sup #1'!I176/'Total Duration Tables Sup #1'!$B176)</f>
        <v>0</v>
      </c>
      <c r="J121" s="1">
        <f ca="1">$B121*('Updated Population'!J$114/'Updated Population'!$B$114)*('Total Duration Tables Sup #1'!J176/'Total Duration Tables Sup #1'!$B176)</f>
        <v>0</v>
      </c>
      <c r="K121" s="1">
        <f ca="1">$B121*('Updated Population'!K$114/'Updated Population'!$B$114)*('Total Duration Tables Sup #1'!K176/'Total Duration Tables Sup #1'!$B176)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OFFSET(West_Coast_Reference,42,7)</f>
        <v>0.18249519829999999</v>
      </c>
      <c r="C122" s="4">
        <f ca="1">$B122*('Updated Population'!C$114/'Updated Population'!$B$114)*('Total Duration Tables Sup #1'!C177/'Total Duration Tables Sup #1'!$B177)</f>
        <v>0.16516885121540367</v>
      </c>
      <c r="D122" s="4">
        <f ca="1">$B122*('Updated Population'!D$114/'Updated Population'!$B$114)*('Total Duration Tables Sup #1'!D177/'Total Duration Tables Sup #1'!$B177)</f>
        <v>0.1557226127240984</v>
      </c>
      <c r="E122" s="4">
        <f ca="1">$B122*('Updated Population'!E$114/'Updated Population'!$B$114)*('Total Duration Tables Sup #1'!E177/'Total Duration Tables Sup #1'!$B177)</f>
        <v>0.14833247246167078</v>
      </c>
      <c r="F122" s="4">
        <f ca="1">$B122*('Updated Population'!F$114/'Updated Population'!$B$114)*('Total Duration Tables Sup #1'!F177/'Total Duration Tables Sup #1'!$B177)</f>
        <v>0.13933182138574937</v>
      </c>
      <c r="G122" s="4">
        <f ca="1">$B122*('Updated Population'!G$114/'Updated Population'!$B$114)*('Total Duration Tables Sup #1'!G177/'Total Duration Tables Sup #1'!$B177)</f>
        <v>0.13140673334969707</v>
      </c>
      <c r="H122" s="4">
        <f ca="1">$B122*('Updated Population'!H$114/'Updated Population'!$B$114)*('Total Duration Tables Sup #1'!H177/'Total Duration Tables Sup #1'!$B177)</f>
        <v>0.12345766138568812</v>
      </c>
      <c r="I122" s="1">
        <f ca="1">$B122*('Updated Population'!I$114/'Updated Population'!$B$114)*('Total Duration Tables Sup #1'!I177/'Total Duration Tables Sup #1'!$B177)</f>
        <v>0.12028265021263179</v>
      </c>
      <c r="J122" s="1">
        <f ca="1">$B122*('Updated Population'!J$114/'Updated Population'!$B$114)*('Total Duration Tables Sup #1'!J177/'Total Duration Tables Sup #1'!$B177)</f>
        <v>0.11681625839153663</v>
      </c>
      <c r="K122" s="1">
        <f ca="1">$B122*('Updated Population'!K$114/'Updated Population'!$B$114)*('Total Duration Tables Sup #1'!K177/'Total Duration Tables Sup #1'!$B177)</f>
        <v>0.11320595267122578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Duration Tables Sup #1'!C178/'Total Duration Tables Sup #1'!$B178)</f>
        <v>0</v>
      </c>
      <c r="D123" s="4">
        <f ca="1">$B123*('Updated Population'!D$114/'Updated Population'!$B$114)*('Total Duration Tables Sup #1'!D178/'Total Duration Tables Sup #1'!$B178)</f>
        <v>0</v>
      </c>
      <c r="E123" s="4">
        <f ca="1">$B123*('Updated Population'!E$114/'Updated Population'!$B$114)*('Total Duration Tables Sup #1'!E178/'Total Duration Tables Sup #1'!$B178)</f>
        <v>0</v>
      </c>
      <c r="F123" s="4">
        <f ca="1">$B123*('Updated Population'!F$114/'Updated Population'!$B$114)*('Total Duration Tables Sup #1'!F178/'Total Duration Tables Sup #1'!$B178)</f>
        <v>0</v>
      </c>
      <c r="G123" s="4">
        <f ca="1">$B123*('Updated Population'!G$114/'Updated Population'!$B$114)*('Total Duration Tables Sup #1'!G178/'Total Duration Tables Sup #1'!$B178)</f>
        <v>0</v>
      </c>
      <c r="H123" s="4">
        <f ca="1">$B123*('Updated Population'!H$114/'Updated Population'!$B$114)*('Total Duration Tables Sup #1'!H178/'Total Duration Tables Sup #1'!$B178)</f>
        <v>0</v>
      </c>
      <c r="I123" s="1">
        <f ca="1">$B123*('Updated Population'!I$114/'Updated Population'!$B$114)*('Total Duration Tables Sup #1'!I178/'Total Duration Tables Sup #1'!$B178)</f>
        <v>0</v>
      </c>
      <c r="J123" s="1">
        <f ca="1">$B123*('Updated Population'!J$114/'Updated Population'!$B$114)*('Total Duration Tables Sup #1'!J178/'Total Duration Tables Sup #1'!$B178)</f>
        <v>0</v>
      </c>
      <c r="K123" s="1">
        <f ca="1">$B123*('Updated Population'!K$114/'Updated Population'!$B$114)*('Total Duration Tables Sup #1'!K178/'Total Duration Tables Sup #1'!$B178)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OFFSET(West_Coast_Reference,49,7)</f>
        <v>3.6766106000000001E-3</v>
      </c>
      <c r="C124" s="4">
        <f ca="1">$B124*('Updated Population'!C$114/'Updated Population'!$B$114)*('Total Duration Tables Sup #1'!C179/'Total Duration Tables Sup #1'!$B179)</f>
        <v>3.6723229828288764E-3</v>
      </c>
      <c r="D124" s="4">
        <f ca="1">$B124*('Updated Population'!D$114/'Updated Population'!$B$114)*('Total Duration Tables Sup #1'!D179/'Total Duration Tables Sup #1'!$B179)</f>
        <v>3.7124492360253994E-3</v>
      </c>
      <c r="E124" s="4">
        <f ca="1">$B124*('Updated Population'!E$114/'Updated Population'!$B$114)*('Total Duration Tables Sup #1'!E179/'Total Duration Tables Sup #1'!$B179)</f>
        <v>3.6691296684504947E-3</v>
      </c>
      <c r="F124" s="4">
        <f ca="1">$B124*('Updated Population'!F$114/'Updated Population'!$B$114)*('Total Duration Tables Sup #1'!F179/'Total Duration Tables Sup #1'!$B179)</f>
        <v>3.5908481047879919E-3</v>
      </c>
      <c r="G124" s="4">
        <f ca="1">$B124*('Updated Population'!G$114/'Updated Population'!$B$114)*('Total Duration Tables Sup #1'!G179/'Total Duration Tables Sup #1'!$B179)</f>
        <v>3.5167387951130116E-3</v>
      </c>
      <c r="H124" s="4">
        <f ca="1">$B124*('Updated Population'!H$114/'Updated Population'!$B$114)*('Total Duration Tables Sup #1'!H179/'Total Duration Tables Sup #1'!$B179)</f>
        <v>3.4185054539701324E-3</v>
      </c>
      <c r="I124" s="1">
        <f ca="1">$B124*('Updated Population'!I$114/'Updated Population'!$B$114)*('Total Duration Tables Sup #1'!I179/'Total Duration Tables Sup #1'!$B179)</f>
        <v>3.3305903510134887E-3</v>
      </c>
      <c r="J124" s="1">
        <f ca="1">$B124*('Updated Population'!J$114/'Updated Population'!$B$114)*('Total Duration Tables Sup #1'!J179/'Total Duration Tables Sup #1'!$B179)</f>
        <v>3.2346070056867731E-3</v>
      </c>
      <c r="K124" s="1">
        <f ca="1">$B124*('Updated Population'!K$114/'Updated Population'!$B$114)*('Total Duration Tables Sup #1'!K179/'Total Duration Tables Sup #1'!$B179)</f>
        <v>3.134638727842714E-3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OFFSET(Canterbury_Reference,0,7)</f>
        <v>27.07651954</v>
      </c>
      <c r="C126" s="4">
        <f ca="1">$B126*('Updated Population'!C$125/'Updated Population'!$B$125)*('Total Duration Tables Sup #1'!C170/'Total Duration Tables Sup #1'!$B170)</f>
        <v>29.88625883604325</v>
      </c>
      <c r="D126" s="4">
        <f ca="1">$B126*('Updated Population'!D$125/'Updated Population'!$B$125)*('Total Duration Tables Sup #1'!D170/'Total Duration Tables Sup #1'!$B170)</f>
        <v>31.574340546372731</v>
      </c>
      <c r="E126" s="4">
        <f ca="1">$B126*('Updated Population'!E$125/'Updated Population'!$B$125)*('Total Duration Tables Sup #1'!E170/'Total Duration Tables Sup #1'!$B170)</f>
        <v>32.597365416002205</v>
      </c>
      <c r="F126" s="4">
        <f ca="1">$B126*('Updated Population'!F$125/'Updated Population'!$B$125)*('Total Duration Tables Sup #1'!F170/'Total Duration Tables Sup #1'!$B170)</f>
        <v>33.302673381865596</v>
      </c>
      <c r="G126" s="4">
        <f ca="1">$B126*('Updated Population'!G$125/'Updated Population'!$B$125)*('Total Duration Tables Sup #1'!G170/'Total Duration Tables Sup #1'!$B170)</f>
        <v>33.861572475294928</v>
      </c>
      <c r="H126" s="4">
        <f ca="1">$B126*('Updated Population'!H$125/'Updated Population'!$B$125)*('Total Duration Tables Sup #1'!H170/'Total Duration Tables Sup #1'!$B170)</f>
        <v>34.285869973423388</v>
      </c>
      <c r="I126" s="1">
        <f ca="1">$B126*('Updated Population'!I$125/'Updated Population'!$B$125)*('Total Duration Tables Sup #1'!I170/'Total Duration Tables Sup #1'!$B170)</f>
        <v>35.44373376247443</v>
      </c>
      <c r="J126" s="1">
        <f ca="1">$B126*('Updated Population'!J$125/'Updated Population'!$B$125)*('Total Duration Tables Sup #1'!J170/'Total Duration Tables Sup #1'!$B170)</f>
        <v>36.527086007783126</v>
      </c>
      <c r="K126" s="1">
        <f ca="1">$B126*('Updated Population'!K$125/'Updated Population'!$B$125)*('Total Duration Tables Sup #1'!K170/'Total Duration Tables Sup #1'!$B170)</f>
        <v>37.565691495081367</v>
      </c>
    </row>
    <row r="127" spans="1:11" x14ac:dyDescent="0.2">
      <c r="A127" t="str">
        <f ca="1">OFFSET(Canterbury_Reference,7,2)</f>
        <v>Cyclist</v>
      </c>
      <c r="B127" s="4">
        <f ca="1">OFFSET(Canterbury_Reference,7,7)</f>
        <v>7.2445897615000003</v>
      </c>
      <c r="C127" s="4">
        <f ca="1">$B127*('Updated Population'!C$125/'Updated Population'!$B$125)*('Total Duration Tables Sup #1'!C171/'Total Duration Tables Sup #1'!$B171)</f>
        <v>8.2158466191239405</v>
      </c>
      <c r="D127" s="4">
        <f ca="1">$B127*('Updated Population'!D$125/'Updated Population'!$B$125)*('Total Duration Tables Sup #1'!D171/'Total Duration Tables Sup #1'!$B171)</f>
        <v>8.7750034574992437</v>
      </c>
      <c r="E127" s="4">
        <f ca="1">$B127*('Updated Population'!E$125/'Updated Population'!$B$125)*('Total Duration Tables Sup #1'!E171/'Total Duration Tables Sup #1'!$B171)</f>
        <v>9.1011822514327569</v>
      </c>
      <c r="F127" s="4">
        <f ca="1">$B127*('Updated Population'!F$125/'Updated Population'!$B$125)*('Total Duration Tables Sup #1'!F171/'Total Duration Tables Sup #1'!$B171)</f>
        <v>9.4977978059549049</v>
      </c>
      <c r="G127" s="4">
        <f ca="1">$B127*('Updated Population'!G$125/'Updated Population'!$B$125)*('Total Duration Tables Sup #1'!G171/'Total Duration Tables Sup #1'!$B171)</f>
        <v>9.9945357458680064</v>
      </c>
      <c r="H127" s="4">
        <f ca="1">$B127*('Updated Population'!H$125/'Updated Population'!$B$125)*('Total Duration Tables Sup #1'!H171/'Total Duration Tables Sup #1'!$B171)</f>
        <v>10.505678625880847</v>
      </c>
      <c r="I127" s="1">
        <f ca="1">$B127*('Updated Population'!I$125/'Updated Population'!$B$125)*('Total Duration Tables Sup #1'!I171/'Total Duration Tables Sup #1'!$B171)</f>
        <v>10.860464573262201</v>
      </c>
      <c r="J127" s="1">
        <f ca="1">$B127*('Updated Population'!J$125/'Updated Population'!$B$125)*('Total Duration Tables Sup #1'!J171/'Total Duration Tables Sup #1'!$B171)</f>
        <v>11.192419122954588</v>
      </c>
      <c r="K127" s="1">
        <f ca="1">$B127*('Updated Population'!K$125/'Updated Population'!$B$125)*('Total Duration Tables Sup #1'!K171/'Total Duration Tables Sup #1'!$B171)</f>
        <v>11.51066262901378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OFFSET(Canterbury_Reference,14,7)</f>
        <v>111.06814274</v>
      </c>
      <c r="C128" s="4">
        <f ca="1">$B128*('Updated Population'!C$125/'Updated Population'!$B$125)*('Total Duration Tables Sup #1'!C172/'Total Duration Tables Sup #1'!$B172)</f>
        <v>126.79167634740836</v>
      </c>
      <c r="D128" s="4">
        <f ca="1">$B128*('Updated Population'!D$125/'Updated Population'!$B$125)*('Total Duration Tables Sup #1'!D172/'Total Duration Tables Sup #1'!$B172)</f>
        <v>136.68906869751621</v>
      </c>
      <c r="E128" s="4">
        <f ca="1">$B128*('Updated Population'!E$125/'Updated Population'!$B$125)*('Total Duration Tables Sup #1'!E172/'Total Duration Tables Sup #1'!$B172)</f>
        <v>145.11339506896508</v>
      </c>
      <c r="F128" s="4">
        <f ca="1">$B128*('Updated Population'!F$125/'Updated Population'!$B$125)*('Total Duration Tables Sup #1'!F172/'Total Duration Tables Sup #1'!$B172)</f>
        <v>153.01565082428147</v>
      </c>
      <c r="G128" s="4">
        <f ca="1">$B128*('Updated Population'!G$125/'Updated Population'!$B$125)*('Total Duration Tables Sup #1'!G172/'Total Duration Tables Sup #1'!$B172)</f>
        <v>159.51977611391001</v>
      </c>
      <c r="H128" s="4">
        <f ca="1">$B128*('Updated Population'!H$125/'Updated Population'!$B$125)*('Total Duration Tables Sup #1'!H172/'Total Duration Tables Sup #1'!$B172)</f>
        <v>165.38575683070269</v>
      </c>
      <c r="I128" s="1">
        <f ca="1">$B128*('Updated Population'!I$125/'Updated Population'!$B$125)*('Total Duration Tables Sup #1'!I172/'Total Duration Tables Sup #1'!$B172)</f>
        <v>170.97097835804053</v>
      </c>
      <c r="J128" s="1">
        <f ca="1">$B128*('Updated Population'!J$125/'Updated Population'!$B$125)*('Total Duration Tables Sup #1'!J172/'Total Duration Tables Sup #1'!$B172)</f>
        <v>176.19677636589344</v>
      </c>
      <c r="K128" s="1">
        <f ca="1">$B128*('Updated Population'!K$125/'Updated Population'!$B$125)*('Total Duration Tables Sup #1'!K172/'Total Duration Tables Sup #1'!$B172)</f>
        <v>181.20672812440179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OFFSET(Canterbury_Reference,21,7)</f>
        <v>53.544276449999998</v>
      </c>
      <c r="C129" s="4">
        <f ca="1">$B129*('Updated Population'!C$125/'Updated Population'!$B$125)*('Total Duration Tables Sup #1'!C173/'Total Duration Tables Sup #1'!$B173)</f>
        <v>58.569394765003324</v>
      </c>
      <c r="D129" s="4">
        <f ca="1">$B129*('Updated Population'!D$125/'Updated Population'!$B$125)*('Total Duration Tables Sup #1'!D173/'Total Duration Tables Sup #1'!$B173)</f>
        <v>61.660926662442314</v>
      </c>
      <c r="E129" s="4">
        <f ca="1">$B129*('Updated Population'!E$125/'Updated Population'!$B$125)*('Total Duration Tables Sup #1'!E173/'Total Duration Tables Sup #1'!$B173)</f>
        <v>63.945429995048038</v>
      </c>
      <c r="F129" s="4">
        <f ca="1">$B129*('Updated Population'!F$125/'Updated Population'!$B$125)*('Total Duration Tables Sup #1'!F173/'Total Duration Tables Sup #1'!$B173)</f>
        <v>65.826005272980638</v>
      </c>
      <c r="G129" s="4">
        <f ca="1">$B129*('Updated Population'!G$125/'Updated Population'!$B$125)*('Total Duration Tables Sup #1'!G173/'Total Duration Tables Sup #1'!$B173)</f>
        <v>67.297939705869183</v>
      </c>
      <c r="H129" s="4">
        <f ca="1">$B129*('Updated Population'!H$125/'Updated Population'!$B$125)*('Total Duration Tables Sup #1'!H173/'Total Duration Tables Sup #1'!$B173)</f>
        <v>68.429116392500646</v>
      </c>
      <c r="I129" s="1">
        <f ca="1">$B129*('Updated Population'!I$125/'Updated Population'!$B$125)*('Total Duration Tables Sup #1'!I173/'Total Duration Tables Sup #1'!$B173)</f>
        <v>70.7400274485436</v>
      </c>
      <c r="J129" s="1">
        <f ca="1">$B129*('Updated Population'!J$125/'Updated Population'!$B$125)*('Total Duration Tables Sup #1'!J173/'Total Duration Tables Sup #1'!$B173)</f>
        <v>72.902225372812964</v>
      </c>
      <c r="K129" s="1">
        <f ca="1">$B129*('Updated Population'!K$125/'Updated Population'!$B$125)*('Total Duration Tables Sup #1'!K173/'Total Duration Tables Sup #1'!$B173)</f>
        <v>74.975115920181665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OFFSET(Canterbury_Reference,28,7)</f>
        <v>0.86554787379999998</v>
      </c>
      <c r="C130" s="4">
        <f ca="1">$B130*('Updated Population'!C$125/'Updated Population'!$B$125)*('Total Duration Tables Sup #1'!C174/'Total Duration Tables Sup #1'!$B174)</f>
        <v>1.0301155636161348</v>
      </c>
      <c r="D130" s="4">
        <f ca="1">$B130*('Updated Population'!D$125/'Updated Population'!$B$125)*('Total Duration Tables Sup #1'!D174/'Total Duration Tables Sup #1'!$B174)</f>
        <v>1.1585900679661909</v>
      </c>
      <c r="E130" s="4">
        <f ca="1">$B130*('Updated Population'!E$125/'Updated Population'!$B$125)*('Total Duration Tables Sup #1'!E174/'Total Duration Tables Sup #1'!$B174)</f>
        <v>1.2662493548593372</v>
      </c>
      <c r="F130" s="4">
        <f ca="1">$B130*('Updated Population'!F$125/'Updated Population'!$B$125)*('Total Duration Tables Sup #1'!F174/'Total Duration Tables Sup #1'!$B174)</f>
        <v>1.3624616865649362</v>
      </c>
      <c r="G130" s="4">
        <f ca="1">$B130*('Updated Population'!G$125/'Updated Population'!$B$125)*('Total Duration Tables Sup #1'!G174/'Total Duration Tables Sup #1'!$B174)</f>
        <v>1.4353091889795617</v>
      </c>
      <c r="H130" s="4">
        <f ca="1">$B130*('Updated Population'!H$125/'Updated Population'!$B$125)*('Total Duration Tables Sup #1'!H174/'Total Duration Tables Sup #1'!$B174)</f>
        <v>1.5029733063088762</v>
      </c>
      <c r="I130" s="1">
        <f ca="1">$B130*('Updated Population'!I$125/'Updated Population'!$B$125)*('Total Duration Tables Sup #1'!I174/'Total Duration Tables Sup #1'!$B174)</f>
        <v>1.5537300282072648</v>
      </c>
      <c r="J130" s="1">
        <f ca="1">$B130*('Updated Population'!J$125/'Updated Population'!$B$125)*('Total Duration Tables Sup #1'!J174/'Total Duration Tables Sup #1'!$B174)</f>
        <v>1.6012204231510385</v>
      </c>
      <c r="K130" s="1">
        <f ca="1">$B130*('Updated Population'!K$125/'Updated Population'!$B$125)*('Total Duration Tables Sup #1'!K174/'Total Duration Tables Sup #1'!$B174)</f>
        <v>1.6467492758359843</v>
      </c>
    </row>
    <row r="131" spans="1:11" x14ac:dyDescent="0.2">
      <c r="A131" t="str">
        <f ca="1">OFFSET(Canterbury_Reference,35,2)</f>
        <v>Motorcyclist</v>
      </c>
      <c r="B131" s="4">
        <f ca="1">OFFSET(Canterbury_Reference,35,7)</f>
        <v>0.39288238580000001</v>
      </c>
      <c r="C131" s="4">
        <f ca="1">$B131*('Updated Population'!C$125/'Updated Population'!$B$125)*('Total Duration Tables Sup #1'!C175/'Total Duration Tables Sup #1'!$B175)</f>
        <v>0.44119226425410918</v>
      </c>
      <c r="D131" s="4">
        <f ca="1">$B131*('Updated Population'!D$125/'Updated Population'!$B$125)*('Total Duration Tables Sup #1'!D175/'Total Duration Tables Sup #1'!$B175)</f>
        <v>0.46871552518086523</v>
      </c>
      <c r="E131" s="4">
        <f ca="1">$B131*('Updated Population'!E$125/'Updated Population'!$B$125)*('Total Duration Tables Sup #1'!E175/'Total Duration Tables Sup #1'!$B175)</f>
        <v>0.48818906306488563</v>
      </c>
      <c r="F131" s="4">
        <f ca="1">$B131*('Updated Population'!F$125/'Updated Population'!$B$125)*('Total Duration Tables Sup #1'!F175/'Total Duration Tables Sup #1'!$B175)</f>
        <v>0.50514366621992712</v>
      </c>
      <c r="G131" s="4">
        <f ca="1">$B131*('Updated Population'!G$125/'Updated Population'!$B$125)*('Total Duration Tables Sup #1'!G175/'Total Duration Tables Sup #1'!$B175)</f>
        <v>0.51464653393120208</v>
      </c>
      <c r="H131" s="4">
        <f ca="1">$B131*('Updated Population'!H$125/'Updated Population'!$B$125)*('Total Duration Tables Sup #1'!H175/'Total Duration Tables Sup #1'!$B175)</f>
        <v>0.52101041004759574</v>
      </c>
      <c r="I131" s="1">
        <f ca="1">$B131*('Updated Population'!I$125/'Updated Population'!$B$125)*('Total Duration Tables Sup #1'!I175/'Total Duration Tables Sup #1'!$B175)</f>
        <v>0.5386053868698365</v>
      </c>
      <c r="J131" s="1">
        <f ca="1">$B131*('Updated Population'!J$125/'Updated Population'!$B$125)*('Total Duration Tables Sup #1'!J175/'Total Duration Tables Sup #1'!$B175)</f>
        <v>0.55506808120986029</v>
      </c>
      <c r="K131" s="1">
        <f ca="1">$B131*('Updated Population'!K$125/'Updated Population'!$B$125)*('Total Duration Tables Sup #1'!K175/'Total Duration Tables Sup #1'!$B175)</f>
        <v>0.57085080077434536</v>
      </c>
    </row>
    <row r="132" spans="1:11" x14ac:dyDescent="0.2">
      <c r="A132" t="str">
        <f ca="1">OFFSET(Canterbury_Reference,42,2)</f>
        <v>Local Train</v>
      </c>
      <c r="B132" s="4">
        <f ca="1">OFFSET(Canterbury_Reference,42,7)</f>
        <v>7.3004144E-3</v>
      </c>
      <c r="C132" s="4">
        <f ca="1">OFFSET(Canterbury_Reference,43,7)</f>
        <v>7.5150425999999998E-3</v>
      </c>
      <c r="D132" s="4">
        <f ca="1">OFFSET(Canterbury_Reference,44,7)</f>
        <v>6.4263986E-3</v>
      </c>
      <c r="E132" s="4">
        <f ca="1">OFFSET(Canterbury_Reference,45,7)</f>
        <v>5.9951950999999996E-3</v>
      </c>
      <c r="F132" s="4">
        <f ca="1">OFFSET(Canterbury_Reference,46,7)</f>
        <v>5.7128958999999998E-3</v>
      </c>
      <c r="G132" s="4">
        <f ca="1">OFFSET(Canterbury_Reference,47,7)</f>
        <v>4.8402996000000004E-3</v>
      </c>
      <c r="H132" s="4">
        <f ca="1">OFFSET(Canterbury_Reference,48,7)</f>
        <v>4.0230370999999997E-3</v>
      </c>
      <c r="I132" s="1">
        <f ca="1">OFFSET(Canterbury_Reference,48,7)</f>
        <v>4.0230370999999997E-3</v>
      </c>
      <c r="J132" s="1">
        <f ca="1">OFFSET(Canterbury_Reference,48,7)</f>
        <v>4.0230370999999997E-3</v>
      </c>
      <c r="K132" s="1">
        <f ca="1">OFFSET(Canterbury_Reference,48,7)</f>
        <v>4.0230370999999997E-3</v>
      </c>
    </row>
    <row r="133" spans="1:11" x14ac:dyDescent="0.2">
      <c r="A133" t="str">
        <f ca="1">OFFSET(Canterbury_Reference,49,2)</f>
        <v>Local Bus</v>
      </c>
      <c r="B133" s="4">
        <f ca="1">OFFSET(Canterbury_Reference,49,7)</f>
        <v>7.9805750329</v>
      </c>
      <c r="C133" s="4">
        <f ca="1">OFFSET(Canterbury_Reference,50,7)</f>
        <v>8.1563774540999994</v>
      </c>
      <c r="D133" s="4">
        <f ca="1">OFFSET(Canterbury_Reference,51,7)</f>
        <v>8.1004967627000006</v>
      </c>
      <c r="E133" s="4">
        <f ca="1">OFFSET(Canterbury_Reference,52,7)</f>
        <v>8.0592093902999995</v>
      </c>
      <c r="F133" s="4">
        <f ca="1">OFFSET(Canterbury_Reference,53,7)</f>
        <v>7.8463710917</v>
      </c>
      <c r="G133" s="4">
        <f ca="1">OFFSET(Canterbury_Reference,54,7)</f>
        <v>7.6404426641000001</v>
      </c>
      <c r="H133" s="4">
        <f ca="1">OFFSET(Canterbury_Reference,55,7)</f>
        <v>7.4053767446999998</v>
      </c>
      <c r="I133" s="1">
        <f ca="1">OFFSET(Canterbury_Reference,55,7)</f>
        <v>7.4053767446999998</v>
      </c>
      <c r="J133" s="1">
        <f ca="1">OFFSET(Canterbury_Reference,55,7)</f>
        <v>7.4053767446999998</v>
      </c>
      <c r="K133" s="1">
        <f ca="1">OFFSET(Canterbury_Reference,55,7)</f>
        <v>7.4053767446999998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Duration Tables Sup #1'!C178/'Total Duration Tables Sup #1'!$B178)</f>
        <v>0</v>
      </c>
      <c r="D134" s="4">
        <f ca="1">$B134*('Updated Population'!D$125/'Updated Population'!$B$125)*('Total Duration Tables Sup #1'!D178/'Total Duration Tables Sup #1'!$B178)</f>
        <v>0</v>
      </c>
      <c r="E134" s="4">
        <f ca="1">$B134*('Updated Population'!E$125/'Updated Population'!$B$125)*('Total Duration Tables Sup #1'!E178/'Total Duration Tables Sup #1'!$B178)</f>
        <v>0</v>
      </c>
      <c r="F134" s="4">
        <f ca="1">$B134*('Updated Population'!F$125/'Updated Population'!$B$125)*('Total Duration Tables Sup #1'!F178/'Total Duration Tables Sup #1'!$B178)</f>
        <v>0</v>
      </c>
      <c r="G134" s="4">
        <f ca="1">$B134*('Updated Population'!G$125/'Updated Population'!$B$125)*('Total Duration Tables Sup #1'!G178/'Total Duration Tables Sup #1'!$B178)</f>
        <v>0</v>
      </c>
      <c r="H134" s="4">
        <f ca="1">$B134*('Updated Population'!H$125/'Updated Population'!$B$125)*('Total Duration Tables Sup #1'!H178/'Total Duration Tables Sup #1'!$B178)</f>
        <v>0</v>
      </c>
      <c r="I134" s="1">
        <f ca="1">$B134*('Updated Population'!I$125/'Updated Population'!$B$125)*('Total Duration Tables Sup #1'!I178/'Total Duration Tables Sup #1'!$B178)</f>
        <v>0</v>
      </c>
      <c r="J134" s="1">
        <f ca="1">$B134*('Updated Population'!J$125/'Updated Population'!$B$125)*('Total Duration Tables Sup #1'!J178/'Total Duration Tables Sup #1'!$B178)</f>
        <v>0</v>
      </c>
      <c r="K134" s="1">
        <f ca="1">$B134*('Updated Population'!K$125/'Updated Population'!$B$125)*('Total Duration Tables Sup #1'!K178/'Total Duration Tables Sup #1'!$B178)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OFFSET(Canterbury_Reference,56,7)</f>
        <v>0.91635513570000005</v>
      </c>
      <c r="C135" s="4">
        <f ca="1">$B135*('Updated Population'!C$125/'Updated Population'!$B$125)*('Total Duration Tables Sup #1'!C179/'Total Duration Tables Sup #1'!$B179)</f>
        <v>1.043321352209156</v>
      </c>
      <c r="D135" s="4">
        <f ca="1">$B135*('Updated Population'!D$125/'Updated Population'!$B$125)*('Total Duration Tables Sup #1'!D179/'Total Duration Tables Sup #1'!$B179)</f>
        <v>1.1356767441948488</v>
      </c>
      <c r="E135" s="4">
        <f ca="1">$B135*('Updated Population'!E$125/'Updated Population'!$B$125)*('Total Duration Tables Sup #1'!E179/'Total Duration Tables Sup #1'!$B179)</f>
        <v>1.1933762693519554</v>
      </c>
      <c r="F135" s="4">
        <f ca="1">$B135*('Updated Population'!F$125/'Updated Population'!$B$125)*('Total Duration Tables Sup #1'!F179/'Total Duration Tables Sup #1'!$B179)</f>
        <v>1.2407074916867216</v>
      </c>
      <c r="G135" s="4">
        <f ca="1">$B135*('Updated Population'!G$125/'Updated Population'!$B$125)*('Total Duration Tables Sup #1'!G179/'Total Duration Tables Sup #1'!$B179)</f>
        <v>1.2906790760305138</v>
      </c>
      <c r="H135" s="4">
        <f ca="1">$B135*('Updated Population'!H$125/'Updated Population'!$B$125)*('Total Duration Tables Sup #1'!H179/'Total Duration Tables Sup #1'!$B179)</f>
        <v>1.3311195446905646</v>
      </c>
      <c r="I135" s="1">
        <f ca="1">$B135*('Updated Population'!I$125/'Updated Population'!$B$125)*('Total Duration Tables Sup #1'!I179/'Total Duration Tables Sup #1'!$B179)</f>
        <v>1.3760726148879958</v>
      </c>
      <c r="J135" s="1">
        <f ca="1">$B135*('Updated Population'!J$125/'Updated Population'!$B$125)*('Total Duration Tables Sup #1'!J179/'Total Duration Tables Sup #1'!$B179)</f>
        <v>1.4181328381996001</v>
      </c>
      <c r="K135" s="1">
        <f ca="1">$B135*('Updated Population'!K$125/'Updated Population'!$B$125)*('Total Duration Tables Sup #1'!K179/'Total Duration Tables Sup #1'!$B179)</f>
        <v>1.4584558069455358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OFFSET(Otago_Reference,0,7)</f>
        <v>11.651603939999999</v>
      </c>
      <c r="C137" s="4">
        <f ca="1">$B137*('Updated Population'!C$136/'Updated Population'!$B$136)*('Total Duration Tables Sup #1'!C170/'Total Duration Tables Sup #1'!$B170)</f>
        <v>12.832005799631714</v>
      </c>
      <c r="D137" s="4">
        <f ca="1">$B137*('Updated Population'!D$136/'Updated Population'!$B$136)*('Total Duration Tables Sup #1'!D170/'Total Duration Tables Sup #1'!$B170)</f>
        <v>13.520461507493536</v>
      </c>
      <c r="E137" s="4">
        <f ca="1">$B137*('Updated Population'!E$136/'Updated Population'!$B$136)*('Total Duration Tables Sup #1'!E170/'Total Duration Tables Sup #1'!$B170)</f>
        <v>13.889599121308509</v>
      </c>
      <c r="F137" s="4">
        <f ca="1">$B137*('Updated Population'!F$136/'Updated Population'!$B$136)*('Total Duration Tables Sup #1'!F170/'Total Duration Tables Sup #1'!$B170)</f>
        <v>14.124159574254803</v>
      </c>
      <c r="G137" s="4">
        <f ca="1">$B137*('Updated Population'!G$136/'Updated Population'!$B$136)*('Total Duration Tables Sup #1'!G170/'Total Duration Tables Sup #1'!$B170)</f>
        <v>14.289028256959808</v>
      </c>
      <c r="H137" s="4">
        <f ca="1">$B137*('Updated Population'!H$136/'Updated Population'!$B$136)*('Total Duration Tables Sup #1'!H170/'Total Duration Tables Sup #1'!$B170)</f>
        <v>14.400052573571237</v>
      </c>
      <c r="I137" s="1">
        <f ca="1">$B137*('Updated Population'!I$136/'Updated Population'!$B$136)*('Total Duration Tables Sup #1'!I170/'Total Duration Tables Sup #1'!$B170)</f>
        <v>14.815614803546158</v>
      </c>
      <c r="J137" s="1">
        <f ca="1">$B137*('Updated Population'!J$136/'Updated Population'!$B$136)*('Total Duration Tables Sup #1'!J170/'Total Duration Tables Sup #1'!$B170)</f>
        <v>15.19524473844487</v>
      </c>
      <c r="K137" s="1">
        <f ca="1">$B137*('Updated Population'!K$136/'Updated Population'!$B$136)*('Total Duration Tables Sup #1'!K170/'Total Duration Tables Sup #1'!$B170)</f>
        <v>15.551802545012785</v>
      </c>
    </row>
    <row r="138" spans="1:11" x14ac:dyDescent="0.2">
      <c r="A138" t="str">
        <f ca="1">OFFSET(Otago_Reference,7,2)</f>
        <v>Cyclist</v>
      </c>
      <c r="B138" s="4">
        <f ca="1">OFFSET(Otago_Reference,7,7)</f>
        <v>1.6089304994</v>
      </c>
      <c r="C138" s="4">
        <f ca="1">$B138*('Updated Population'!C$136/'Updated Population'!$B$136)*('Total Duration Tables Sup #1'!C171/'Total Duration Tables Sup #1'!$B171)</f>
        <v>1.8205639058608776</v>
      </c>
      <c r="D138" s="4">
        <f ca="1">$B138*('Updated Population'!D$136/'Updated Population'!$B$136)*('Total Duration Tables Sup #1'!D171/'Total Duration Tables Sup #1'!$B171)</f>
        <v>1.939255961327504</v>
      </c>
      <c r="E138" s="4">
        <f ca="1">$B138*('Updated Population'!E$136/'Updated Population'!$B$136)*('Total Duration Tables Sup #1'!E171/'Total Duration Tables Sup #1'!$B171)</f>
        <v>2.0014080085310542</v>
      </c>
      <c r="F138" s="4">
        <f ca="1">$B138*('Updated Population'!F$136/'Updated Population'!$B$136)*('Total Duration Tables Sup #1'!F171/'Total Duration Tables Sup #1'!$B171)</f>
        <v>2.0789165134283443</v>
      </c>
      <c r="G138" s="4">
        <f ca="1">$B138*('Updated Population'!G$136/'Updated Population'!$B$136)*('Total Duration Tables Sup #1'!G171/'Total Duration Tables Sup #1'!$B171)</f>
        <v>2.1766510471108971</v>
      </c>
      <c r="H138" s="4">
        <f ca="1">$B138*('Updated Population'!H$136/'Updated Population'!$B$136)*('Total Duration Tables Sup #1'!H171/'Total Duration Tables Sup #1'!$B171)</f>
        <v>2.2772128555143274</v>
      </c>
      <c r="I138" s="1">
        <f ca="1">$B138*('Updated Population'!I$136/'Updated Population'!$B$136)*('Total Duration Tables Sup #1'!I171/'Total Duration Tables Sup #1'!$B171)</f>
        <v>2.3429295358896409</v>
      </c>
      <c r="J138" s="1">
        <f ca="1">$B138*('Updated Population'!J$136/'Updated Population'!$B$136)*('Total Duration Tables Sup #1'!J171/'Total Duration Tables Sup #1'!$B171)</f>
        <v>2.4029639117137993</v>
      </c>
      <c r="K138" s="1">
        <f ca="1">$B138*('Updated Population'!K$136/'Updated Population'!$B$136)*('Total Duration Tables Sup #1'!K171/'Total Duration Tables Sup #1'!$B171)</f>
        <v>2.4593496795227758</v>
      </c>
    </row>
    <row r="139" spans="1:11" x14ac:dyDescent="0.2">
      <c r="A139" t="str">
        <f ca="1">OFFSET(Otago_Reference,14,2)</f>
        <v>Light Vehicle Driver</v>
      </c>
      <c r="B139" s="4">
        <f ca="1">OFFSET(Otago_Reference,14,7)</f>
        <v>32.522387277</v>
      </c>
      <c r="C139" s="4">
        <f ca="1">$B139*('Updated Population'!C$136/'Updated Population'!$B$136)*('Total Duration Tables Sup #1'!C172/'Total Duration Tables Sup #1'!$B172)</f>
        <v>37.043649805533093</v>
      </c>
      <c r="D139" s="4">
        <f ca="1">$B139*('Updated Population'!D$136/'Updated Population'!$B$136)*('Total Duration Tables Sup #1'!D172/'Total Duration Tables Sup #1'!$B172)</f>
        <v>39.82823346136415</v>
      </c>
      <c r="E139" s="4">
        <f ca="1">$B139*('Updated Population'!E$136/'Updated Population'!$B$136)*('Total Duration Tables Sup #1'!E172/'Total Duration Tables Sup #1'!$B172)</f>
        <v>42.074091369802716</v>
      </c>
      <c r="F139" s="4">
        <f ca="1">$B139*('Updated Population'!F$136/'Updated Population'!$B$136)*('Total Duration Tables Sup #1'!F172/'Total Duration Tables Sup #1'!$B172)</f>
        <v>44.159017654673747</v>
      </c>
      <c r="G139" s="4">
        <f ca="1">$B139*('Updated Population'!G$136/'Updated Population'!$B$136)*('Total Duration Tables Sup #1'!G172/'Total Duration Tables Sup #1'!$B172)</f>
        <v>45.804709871967141</v>
      </c>
      <c r="H139" s="4">
        <f ca="1">$B139*('Updated Population'!H$136/'Updated Population'!$B$136)*('Total Duration Tables Sup #1'!H172/'Total Duration Tables Sup #1'!$B172)</f>
        <v>47.265803073945172</v>
      </c>
      <c r="I139" s="1">
        <f ca="1">$B139*('Updated Population'!I$136/'Updated Population'!$B$136)*('Total Duration Tables Sup #1'!I172/'Total Duration Tables Sup #1'!$B172)</f>
        <v>48.629817713934287</v>
      </c>
      <c r="J139" s="1">
        <f ca="1">$B139*('Updated Population'!J$136/'Updated Population'!$B$136)*('Total Duration Tables Sup #1'!J172/'Total Duration Tables Sup #1'!$B172)</f>
        <v>49.875890507920417</v>
      </c>
      <c r="K139" s="1">
        <f ca="1">$B139*('Updated Population'!K$136/'Updated Population'!$B$136)*('Total Duration Tables Sup #1'!K172/'Total Duration Tables Sup #1'!$B172)</f>
        <v>51.046232837131605</v>
      </c>
    </row>
    <row r="140" spans="1:11" x14ac:dyDescent="0.2">
      <c r="A140" t="str">
        <f ca="1">OFFSET(Otago_Reference,21,2)</f>
        <v>Light Vehicle Passenger</v>
      </c>
      <c r="B140" s="4">
        <f ca="1">OFFSET(Otago_Reference,21,7)</f>
        <v>19.901766343999999</v>
      </c>
      <c r="C140" s="4">
        <f ca="1">$B140*('Updated Population'!C$136/'Updated Population'!$B$136)*('Total Duration Tables Sup #1'!C173/'Total Duration Tables Sup #1'!$B173)</f>
        <v>21.720980404990371</v>
      </c>
      <c r="D140" s="4">
        <f ca="1">$B140*('Updated Population'!D$136/'Updated Population'!$B$136)*('Total Duration Tables Sup #1'!D173/'Total Duration Tables Sup #1'!$B173)</f>
        <v>22.80620208573529</v>
      </c>
      <c r="E140" s="4">
        <f ca="1">$B140*('Updated Population'!E$136/'Updated Population'!$B$136)*('Total Duration Tables Sup #1'!E173/'Total Duration Tables Sup #1'!$B173)</f>
        <v>23.534361293712081</v>
      </c>
      <c r="F140" s="4">
        <f ca="1">$B140*('Updated Population'!F$136/'Updated Population'!$B$136)*('Total Duration Tables Sup #1'!F173/'Total Duration Tables Sup #1'!$B173)</f>
        <v>24.113858690417924</v>
      </c>
      <c r="G140" s="4">
        <f ca="1">$B140*('Updated Population'!G$136/'Updated Population'!$B$136)*('Total Duration Tables Sup #1'!G173/'Total Duration Tables Sup #1'!$B173)</f>
        <v>24.529180296483172</v>
      </c>
      <c r="H140" s="4">
        <f ca="1">$B140*('Updated Population'!H$136/'Updated Population'!$B$136)*('Total Duration Tables Sup #1'!H173/'Total Duration Tables Sup #1'!$B173)</f>
        <v>24.824215333316847</v>
      </c>
      <c r="I140" s="1">
        <f ca="1">$B140*('Updated Population'!I$136/'Updated Population'!$B$136)*('Total Duration Tables Sup #1'!I173/'Total Duration Tables Sup #1'!$B173)</f>
        <v>25.540602042919836</v>
      </c>
      <c r="J140" s="1">
        <f ca="1">$B140*('Updated Population'!J$136/'Updated Population'!$B$136)*('Total Duration Tables Sup #1'!J173/'Total Duration Tables Sup #1'!$B173)</f>
        <v>26.195045157120322</v>
      </c>
      <c r="K140" s="1">
        <f ca="1">$B140*('Updated Population'!K$136/'Updated Population'!$B$136)*('Total Duration Tables Sup #1'!K173/'Total Duration Tables Sup #1'!$B173)</f>
        <v>26.809714285847114</v>
      </c>
    </row>
    <row r="141" spans="1:11" x14ac:dyDescent="0.2">
      <c r="A141" t="str">
        <f ca="1">OFFSET(Otago_Reference,28,2)</f>
        <v>Taxi/Vehicle Share</v>
      </c>
      <c r="B141" s="4">
        <f ca="1">OFFSET(Otago_Reference,28,7)</f>
        <v>0.23496676969999999</v>
      </c>
      <c r="C141" s="4">
        <f ca="1">$B141*('Updated Population'!C$136/'Updated Population'!$B$136)*('Total Duration Tables Sup #1'!C174/'Total Duration Tables Sup #1'!$B174)</f>
        <v>0.27901748513619568</v>
      </c>
      <c r="D141" s="4">
        <f ca="1">$B141*('Updated Population'!D$136/'Updated Population'!$B$136)*('Total Duration Tables Sup #1'!D174/'Total Duration Tables Sup #1'!$B174)</f>
        <v>0.31297489749434781</v>
      </c>
      <c r="E141" s="4">
        <f ca="1">$B141*('Updated Population'!E$136/'Updated Population'!$B$136)*('Total Duration Tables Sup #1'!E174/'Total Duration Tables Sup #1'!$B174)</f>
        <v>0.34036815845541962</v>
      </c>
      <c r="F141" s="4">
        <f ca="1">$B141*('Updated Population'!F$136/'Updated Population'!$B$136)*('Total Duration Tables Sup #1'!F174/'Total Duration Tables Sup #1'!$B174)</f>
        <v>0.36452749683410263</v>
      </c>
      <c r="G141" s="4">
        <f ca="1">$B141*('Updated Population'!G$136/'Updated Population'!$B$136)*('Total Duration Tables Sup #1'!G174/'Total Duration Tables Sup #1'!$B174)</f>
        <v>0.38208810314970948</v>
      </c>
      <c r="H141" s="4">
        <f ca="1">$B141*('Updated Population'!H$136/'Updated Population'!$B$136)*('Total Duration Tables Sup #1'!H174/'Total Duration Tables Sup #1'!$B174)</f>
        <v>0.39821961541412981</v>
      </c>
      <c r="I141" s="1">
        <f ca="1">$B141*('Updated Population'!I$136/'Updated Population'!$B$136)*('Total Duration Tables Sup #1'!I174/'Total Duration Tables Sup #1'!$B174)</f>
        <v>0.40971158952712494</v>
      </c>
      <c r="J141" s="1">
        <f ca="1">$B141*('Updated Population'!J$136/'Updated Population'!$B$136)*('Total Duration Tables Sup #1'!J174/'Total Duration Tables Sup #1'!$B174)</f>
        <v>0.4202098905508666</v>
      </c>
      <c r="K141" s="1">
        <f ca="1">$B141*('Updated Population'!K$136/'Updated Population'!$B$136)*('Total Duration Tables Sup #1'!K174/'Total Duration Tables Sup #1'!$B174)</f>
        <v>0.4300701540380274</v>
      </c>
    </row>
    <row r="142" spans="1:11" x14ac:dyDescent="0.2">
      <c r="A142" t="str">
        <f ca="1">OFFSET(Otago_Reference,35,2)</f>
        <v>Motorcyclist</v>
      </c>
      <c r="B142" s="4">
        <f ca="1">OFFSET(Otago_Reference,35,7)</f>
        <v>0.42545310469999997</v>
      </c>
      <c r="C142" s="4">
        <f ca="1">$B142*('Updated Population'!C$136/'Updated Population'!$B$136)*('Total Duration Tables Sup #1'!C175/'Total Duration Tables Sup #1'!$B175)</f>
        <v>0.47670218945055232</v>
      </c>
      <c r="D142" s="4">
        <f ca="1">$B142*('Updated Population'!D$136/'Updated Population'!$B$136)*('Total Duration Tables Sup #1'!D175/'Total Duration Tables Sup #1'!$B175)</f>
        <v>0.5050830913616452</v>
      </c>
      <c r="E142" s="4">
        <f ca="1">$B142*('Updated Population'!E$136/'Updated Population'!$B$136)*('Total Duration Tables Sup #1'!E175/'Total Duration Tables Sup #1'!$B175)</f>
        <v>0.52346966555706953</v>
      </c>
      <c r="F142" s="4">
        <f ca="1">$B142*('Updated Population'!F$136/'Updated Population'!$B$136)*('Total Duration Tables Sup #1'!F175/'Total Duration Tables Sup #1'!$B175)</f>
        <v>0.5391314826421193</v>
      </c>
      <c r="G142" s="4">
        <f ca="1">$B142*('Updated Population'!G$136/'Updated Population'!$B$136)*('Total Duration Tables Sup #1'!G175/'Total Duration Tables Sup #1'!$B175)</f>
        <v>0.5465134930964326</v>
      </c>
      <c r="H142" s="4">
        <f ca="1">$B142*('Updated Population'!H$136/'Updated Population'!$B$136)*('Total Duration Tables Sup #1'!H175/'Total Duration Tables Sup #1'!$B175)</f>
        <v>0.55067019187372512</v>
      </c>
      <c r="I142" s="1">
        <f ca="1">$B142*('Updated Population'!I$136/'Updated Population'!$B$136)*('Total Duration Tables Sup #1'!I175/'Total Duration Tables Sup #1'!$B175)</f>
        <v>0.56656164308521262</v>
      </c>
      <c r="J142" s="1">
        <f ca="1">$B142*('Updated Population'!J$136/'Updated Population'!$B$136)*('Total Duration Tables Sup #1'!J175/'Total Duration Tables Sup #1'!$B175)</f>
        <v>0.58107901293671993</v>
      </c>
      <c r="K142" s="1">
        <f ca="1">$B142*('Updated Population'!K$136/'Updated Population'!$B$136)*('Total Duration Tables Sup #1'!K175/'Total Duration Tables Sup #1'!$B175)</f>
        <v>0.59471408508341372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Duration Tables Sup #1'!C176/'Total Duration Tables Sup #1'!$B176)</f>
        <v>0</v>
      </c>
      <c r="D143" s="4">
        <f ca="1">$B143*('Updated Population'!D$136/'Updated Population'!$B$136)*('Total Duration Tables Sup #1'!D176/'Total Duration Tables Sup #1'!$B176)</f>
        <v>0</v>
      </c>
      <c r="E143" s="4">
        <f ca="1">$B143*('Updated Population'!E$136/'Updated Population'!$B$136)*('Total Duration Tables Sup #1'!E176/'Total Duration Tables Sup #1'!$B176)</f>
        <v>0</v>
      </c>
      <c r="F143" s="4">
        <f ca="1">$B143*('Updated Population'!F$136/'Updated Population'!$B$136)*('Total Duration Tables Sup #1'!F176/'Total Duration Tables Sup #1'!$B176)</f>
        <v>0</v>
      </c>
      <c r="G143" s="4">
        <f ca="1">$B143*('Updated Population'!G$136/'Updated Population'!$B$136)*('Total Duration Tables Sup #1'!G176/'Total Duration Tables Sup #1'!$B176)</f>
        <v>0</v>
      </c>
      <c r="H143" s="4">
        <f ca="1">$B143*('Updated Population'!H$136/'Updated Population'!$B$136)*('Total Duration Tables Sup #1'!H176/'Total Duration Tables Sup #1'!$B176)</f>
        <v>0</v>
      </c>
      <c r="I143" s="1">
        <f ca="1">$B143*('Updated Population'!I$136/'Updated Population'!$B$136)*('Total Duration Tables Sup #1'!I176/'Total Duration Tables Sup #1'!$B176)</f>
        <v>0</v>
      </c>
      <c r="J143" s="1">
        <f ca="1">$B143*('Updated Population'!J$136/'Updated Population'!$B$136)*('Total Duration Tables Sup #1'!J176/'Total Duration Tables Sup #1'!$B176)</f>
        <v>0</v>
      </c>
      <c r="K143" s="1">
        <f ca="1">$B143*('Updated Population'!K$136/'Updated Population'!$B$136)*('Total Duration Tables Sup #1'!K176/'Total Duration Tables Sup #1'!$B176)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OFFSET(Otago_Reference,42,7)</f>
        <v>1.347401772</v>
      </c>
      <c r="C144" s="4">
        <f ca="1">$B144*('Updated Population'!C$136/'Updated Population'!$B$136)*('Total Duration Tables Sup #1'!C177/'Total Duration Tables Sup #1'!$B177)</f>
        <v>1.3869633359936802</v>
      </c>
      <c r="D144" s="4">
        <f ca="1">$B144*('Updated Population'!D$136/'Updated Population'!$B$136)*('Total Duration Tables Sup #1'!D177/'Total Duration Tables Sup #1'!$B177)</f>
        <v>1.4042348002702276</v>
      </c>
      <c r="E144" s="4">
        <f ca="1">$B144*('Updated Population'!E$136/'Updated Population'!$B$136)*('Total Duration Tables Sup #1'!E177/'Total Duration Tables Sup #1'!$B177)</f>
        <v>1.4151236772000289</v>
      </c>
      <c r="F144" s="4">
        <f ca="1">$B144*('Updated Population'!F$136/'Updated Population'!$B$136)*('Total Duration Tables Sup #1'!F177/'Total Duration Tables Sup #1'!$B177)</f>
        <v>1.405538725434607</v>
      </c>
      <c r="G144" s="4">
        <f ca="1">$B144*('Updated Population'!G$136/'Updated Population'!$B$136)*('Total Duration Tables Sup #1'!G177/'Total Duration Tables Sup #1'!$B177)</f>
        <v>1.4009671858162047</v>
      </c>
      <c r="H144" s="4">
        <f ca="1">$B144*('Updated Population'!H$136/'Updated Population'!$B$136)*('Total Duration Tables Sup #1'!H177/'Total Duration Tables Sup #1'!$B177)</f>
        <v>1.3899025344301259</v>
      </c>
      <c r="I144" s="1">
        <f ca="1">$B144*('Updated Population'!I$136/'Updated Population'!$B$136)*('Total Duration Tables Sup #1'!I177/'Total Duration Tables Sup #1'!$B177)</f>
        <v>1.4300128738684446</v>
      </c>
      <c r="J144" s="1">
        <f ca="1">$B144*('Updated Population'!J$136/'Updated Population'!$B$136)*('Total Duration Tables Sup #1'!J177/'Total Duration Tables Sup #1'!$B177)</f>
        <v>1.4666550045804998</v>
      </c>
      <c r="K144" s="1">
        <f ca="1">$B144*('Updated Population'!K$136/'Updated Population'!$B$136)*('Total Duration Tables Sup #1'!K177/'Total Duration Tables Sup #1'!$B177)</f>
        <v>1.5010701983089687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Duration Tables Sup #1'!C178/'Total Duration Tables Sup #1'!$B178)</f>
        <v>0</v>
      </c>
      <c r="D145" s="4">
        <f ca="1">$B145*('Updated Population'!D$136/'Updated Population'!$B$136)*('Total Duration Tables Sup #1'!D178/'Total Duration Tables Sup #1'!$B178)</f>
        <v>0</v>
      </c>
      <c r="E145" s="4">
        <f ca="1">$B145*('Updated Population'!E$136/'Updated Population'!$B$136)*('Total Duration Tables Sup #1'!E178/'Total Duration Tables Sup #1'!$B178)</f>
        <v>0</v>
      </c>
      <c r="F145" s="4">
        <f ca="1">$B145*('Updated Population'!F$136/'Updated Population'!$B$136)*('Total Duration Tables Sup #1'!F178/'Total Duration Tables Sup #1'!$B178)</f>
        <v>0</v>
      </c>
      <c r="G145" s="4">
        <f ca="1">$B145*('Updated Population'!G$136/'Updated Population'!$B$136)*('Total Duration Tables Sup #1'!G178/'Total Duration Tables Sup #1'!$B178)</f>
        <v>0</v>
      </c>
      <c r="H145" s="4">
        <f ca="1">$B145*('Updated Population'!H$136/'Updated Population'!$B$136)*('Total Duration Tables Sup #1'!H178/'Total Duration Tables Sup #1'!$B178)</f>
        <v>0</v>
      </c>
      <c r="I145" s="1">
        <f ca="1">$B145*('Updated Population'!I$136/'Updated Population'!$B$136)*('Total Duration Tables Sup #1'!I178/'Total Duration Tables Sup #1'!$B178)</f>
        <v>0</v>
      </c>
      <c r="J145" s="1">
        <f ca="1">$B145*('Updated Population'!J$136/'Updated Population'!$B$136)*('Total Duration Tables Sup #1'!J178/'Total Duration Tables Sup #1'!$B178)</f>
        <v>0</v>
      </c>
      <c r="K145" s="1">
        <f ca="1">$B145*('Updated Population'!K$136/'Updated Population'!$B$136)*('Total Duration Tables Sup #1'!K178/'Total Duration Tables Sup #1'!$B178)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OFFSET(Otago_Reference,49,7)</f>
        <v>0.25154479130000001</v>
      </c>
      <c r="C146" s="4">
        <f ca="1">$B146*('Updated Population'!C$136/'Updated Population'!$B$136)*('Total Duration Tables Sup #1'!C179/'Total Duration Tables Sup #1'!$B179)</f>
        <v>0.28575887340988448</v>
      </c>
      <c r="D146" s="4">
        <f ca="1">$B146*('Updated Population'!D$136/'Updated Population'!$B$136)*('Total Duration Tables Sup #1'!D179/'Total Duration Tables Sup #1'!$B179)</f>
        <v>0.31022057292663341</v>
      </c>
      <c r="E146" s="4">
        <f ca="1">$B146*('Updated Population'!E$136/'Updated Population'!$B$136)*('Total Duration Tables Sup #1'!E179/'Total Duration Tables Sup #1'!$B179)</f>
        <v>0.3243719141479437</v>
      </c>
      <c r="F146" s="4">
        <f ca="1">$B146*('Updated Population'!F$136/'Updated Population'!$B$136)*('Total Duration Tables Sup #1'!F179/'Total Duration Tables Sup #1'!$B179)</f>
        <v>0.33566924968824313</v>
      </c>
      <c r="G146" s="4">
        <f ca="1">$B146*('Updated Population'!G$136/'Updated Population'!$B$136)*('Total Duration Tables Sup #1'!G179/'Total Duration Tables Sup #1'!$B179)</f>
        <v>0.3474341293426576</v>
      </c>
      <c r="H146" s="4">
        <f ca="1">$B146*('Updated Population'!H$136/'Updated Population'!$B$136)*('Total Duration Tables Sup #1'!H179/'Total Duration Tables Sup #1'!$B179)</f>
        <v>0.35663552337268645</v>
      </c>
      <c r="I146" s="1">
        <f ca="1">$B146*('Updated Population'!I$136/'Updated Population'!$B$136)*('Total Duration Tables Sup #1'!I179/'Total Duration Tables Sup #1'!$B179)</f>
        <v>0.36692744783781156</v>
      </c>
      <c r="J146" s="1">
        <f ca="1">$B146*('Updated Population'!J$136/'Updated Population'!$B$136)*('Total Duration Tables Sup #1'!J179/'Total Duration Tables Sup #1'!$B179)</f>
        <v>0.37632946354774205</v>
      </c>
      <c r="K146" s="1">
        <f ca="1">$B146*('Updated Population'!K$136/'Updated Population'!$B$136)*('Total Duration Tables Sup #1'!K179/'Total Duration Tables Sup #1'!$B179)</f>
        <v>0.38516006880479142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OFFSET(Southland_Reference,0,7)</f>
        <v>2.2528617661000001</v>
      </c>
      <c r="C148" s="4">
        <f ca="1">$B148*('Updated Population'!C$147/'Updated Population'!$B$147)*('Total Duration Tables Sup #1'!C170/'Total Duration Tables Sup #1'!$B170)</f>
        <v>2.2888811134449862</v>
      </c>
      <c r="D148" s="4">
        <f ca="1">$B148*('Updated Population'!D$147/'Updated Population'!$B$147)*('Total Duration Tables Sup #1'!D170/'Total Duration Tables Sup #1'!$B170)</f>
        <v>2.2661642937261894</v>
      </c>
      <c r="E148" s="4">
        <f ca="1">$B148*('Updated Population'!E$147/'Updated Population'!$B$147)*('Total Duration Tables Sup #1'!E170/'Total Duration Tables Sup #1'!$B170)</f>
        <v>2.225175235396891</v>
      </c>
      <c r="F148" s="4">
        <f ca="1">$B148*('Updated Population'!F$147/'Updated Population'!$B$147)*('Total Duration Tables Sup #1'!F170/'Total Duration Tables Sup #1'!$B170)</f>
        <v>2.16677901870557</v>
      </c>
      <c r="G148" s="4">
        <f ca="1">$B148*('Updated Population'!G$147/'Updated Population'!$B$147)*('Total Duration Tables Sup #1'!G170/'Total Duration Tables Sup #1'!$B170)</f>
        <v>2.1012862730797535</v>
      </c>
      <c r="H148" s="4">
        <f ca="1">$B148*('Updated Population'!H$147/'Updated Population'!$B$147)*('Total Duration Tables Sup #1'!H170/'Total Duration Tables Sup #1'!$B170)</f>
        <v>2.0307139619254446</v>
      </c>
      <c r="I148" s="1">
        <f ca="1">$B148*('Updated Population'!I$147/'Updated Population'!$B$147)*('Total Duration Tables Sup #1'!I170/'Total Duration Tables Sup #1'!$B170)</f>
        <v>2.0035113304457148</v>
      </c>
      <c r="J148" s="1">
        <f ca="1">$B148*('Updated Population'!J$147/'Updated Population'!$B$147)*('Total Duration Tables Sup #1'!J170/'Total Duration Tables Sup #1'!$B170)</f>
        <v>1.970381003480673</v>
      </c>
      <c r="K148" s="1">
        <f ca="1">$B148*('Updated Population'!K$147/'Updated Population'!$B$147)*('Total Duration Tables Sup #1'!K170/'Total Duration Tables Sup #1'!$B170)</f>
        <v>1.9336340697829737</v>
      </c>
    </row>
    <row r="149" spans="1:11" x14ac:dyDescent="0.2">
      <c r="A149" t="str">
        <f ca="1">OFFSET(Southland_Reference,7,2)</f>
        <v>Cyclist</v>
      </c>
      <c r="B149" s="4">
        <f ca="1">OFFSET(Southland_Reference,7,7)</f>
        <v>0.50294231479999996</v>
      </c>
      <c r="C149" s="4">
        <f ca="1">$B149*('Updated Population'!C$147/'Updated Population'!$B$147)*('Total Duration Tables Sup #1'!C171/'Total Duration Tables Sup #1'!$B171)</f>
        <v>0.52500891455586274</v>
      </c>
      <c r="D149" s="4">
        <f ca="1">$B149*('Updated Population'!D$147/'Updated Population'!$B$147)*('Total Duration Tables Sup #1'!D171/'Total Duration Tables Sup #1'!$B171)</f>
        <v>0.5254931661675144</v>
      </c>
      <c r="E149" s="4">
        <f ca="1">$B149*('Updated Population'!E$147/'Updated Population'!$B$147)*('Total Duration Tables Sup #1'!E171/'Total Duration Tables Sup #1'!$B171)</f>
        <v>0.5183727947936615</v>
      </c>
      <c r="F149" s="4">
        <f ca="1">$B149*('Updated Population'!F$147/'Updated Population'!$B$147)*('Total Duration Tables Sup #1'!F171/'Total Duration Tables Sup #1'!$B171)</f>
        <v>0.51560974403007542</v>
      </c>
      <c r="G149" s="4">
        <f ca="1">$B149*('Updated Population'!G$147/'Updated Population'!$B$147)*('Total Duration Tables Sup #1'!G171/'Total Duration Tables Sup #1'!$B171)</f>
        <v>0.51749171307414232</v>
      </c>
      <c r="H149" s="4">
        <f ca="1">$B149*('Updated Population'!H$147/'Updated Population'!$B$147)*('Total Duration Tables Sup #1'!H171/'Total Duration Tables Sup #1'!$B171)</f>
        <v>0.51918288217246777</v>
      </c>
      <c r="I149" s="1">
        <f ca="1">$B149*('Updated Population'!I$147/'Updated Population'!$B$147)*('Total Duration Tables Sup #1'!I171/'Total Duration Tables Sup #1'!$B171)</f>
        <v>0.51222811607585284</v>
      </c>
      <c r="J149" s="1">
        <f ca="1">$B149*('Updated Population'!J$147/'Updated Population'!$B$147)*('Total Duration Tables Sup #1'!J171/'Total Duration Tables Sup #1'!$B171)</f>
        <v>0.50375784455385209</v>
      </c>
      <c r="K149" s="1">
        <f ca="1">$B149*('Updated Population'!K$147/'Updated Population'!$B$147)*('Total Duration Tables Sup #1'!K171/'Total Duration Tables Sup #1'!$B171)</f>
        <v>0.49436293256433539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OFFSET(Southland_Reference,14,7)</f>
        <v>14.603785903</v>
      </c>
      <c r="C150" s="4">
        <f ca="1">$B150*('Updated Population'!C$147/'Updated Population'!$B$147)*('Total Duration Tables Sup #1'!C172/'Total Duration Tables Sup #1'!$B172)</f>
        <v>15.345345385804281</v>
      </c>
      <c r="D150" s="4">
        <f ca="1">$B150*('Updated Population'!D$147/'Updated Population'!$B$147)*('Total Duration Tables Sup #1'!D172/'Total Duration Tables Sup #1'!$B172)</f>
        <v>15.503334946396985</v>
      </c>
      <c r="E150" s="4">
        <f ca="1">$B150*('Updated Population'!E$147/'Updated Population'!$B$147)*('Total Duration Tables Sup #1'!E172/'Total Duration Tables Sup #1'!$B172)</f>
        <v>15.653932677257556</v>
      </c>
      <c r="F150" s="4">
        <f ca="1">$B150*('Updated Population'!F$147/'Updated Population'!$B$147)*('Total Duration Tables Sup #1'!F172/'Total Duration Tables Sup #1'!$B172)</f>
        <v>15.732785413497473</v>
      </c>
      <c r="G150" s="4">
        <f ca="1">$B150*('Updated Population'!G$147/'Updated Population'!$B$147)*('Total Duration Tables Sup #1'!G172/'Total Duration Tables Sup #1'!$B172)</f>
        <v>15.643245985281855</v>
      </c>
      <c r="H150" s="4">
        <f ca="1">$B150*('Updated Population'!H$147/'Updated Population'!$B$147)*('Total Duration Tables Sup #1'!H172/'Total Duration Tables Sup #1'!$B172)</f>
        <v>15.479820762372796</v>
      </c>
      <c r="I150" s="1">
        <f ca="1">$B150*('Updated Population'!I$147/'Updated Population'!$B$147)*('Total Duration Tables Sup #1'!I172/'Total Duration Tables Sup #1'!$B172)</f>
        <v>15.272459278940714</v>
      </c>
      <c r="J150" s="1">
        <f ca="1">$B150*('Updated Population'!J$147/'Updated Population'!$B$147)*('Total Duration Tables Sup #1'!J172/'Total Duration Tables Sup #1'!$B172)</f>
        <v>15.019911882885296</v>
      </c>
      <c r="K150" s="1">
        <f ca="1">$B150*('Updated Population'!K$147/'Updated Population'!$B$147)*('Total Duration Tables Sup #1'!K172/'Total Duration Tables Sup #1'!$B172)</f>
        <v>14.739795648953546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OFFSET(Southland_Reference,21,7)</f>
        <v>7.5859087797999996</v>
      </c>
      <c r="C151" s="4">
        <f ca="1">$B151*('Updated Population'!C$147/'Updated Population'!$B$147)*('Total Duration Tables Sup #1'!C173/'Total Duration Tables Sup #1'!$B173)</f>
        <v>7.6379229727683171</v>
      </c>
      <c r="D151" s="4">
        <f ca="1">$B151*('Updated Population'!D$147/'Updated Population'!$B$147)*('Total Duration Tables Sup #1'!D173/'Total Duration Tables Sup #1'!$B173)</f>
        <v>7.5356376395281881</v>
      </c>
      <c r="E151" s="4">
        <f ca="1">$B151*('Updated Population'!E$147/'Updated Population'!$B$147)*('Total Duration Tables Sup #1'!E173/'Total Duration Tables Sup #1'!$B173)</f>
        <v>7.4326568862710225</v>
      </c>
      <c r="F151" s="4">
        <f ca="1">$B151*('Updated Population'!F$147/'Updated Population'!$B$147)*('Total Duration Tables Sup #1'!F173/'Total Duration Tables Sup #1'!$B173)</f>
        <v>7.2926585459761375</v>
      </c>
      <c r="G151" s="4">
        <f ca="1">$B151*('Updated Population'!G$147/'Updated Population'!$B$147)*('Total Duration Tables Sup #1'!G173/'Total Duration Tables Sup #1'!$B173)</f>
        <v>7.1110335208187072</v>
      </c>
      <c r="H151" s="4">
        <f ca="1">$B151*('Updated Population'!H$147/'Updated Population'!$B$147)*('Total Duration Tables Sup #1'!H173/'Total Duration Tables Sup #1'!$B173)</f>
        <v>6.9012437838266996</v>
      </c>
      <c r="I151" s="1">
        <f ca="1">$B151*('Updated Population'!I$147/'Updated Population'!$B$147)*('Total Duration Tables Sup #1'!I173/'Total Duration Tables Sup #1'!$B173)</f>
        <v>6.8087974841887071</v>
      </c>
      <c r="J151" s="1">
        <f ca="1">$B151*('Updated Population'!J$147/'Updated Population'!$B$147)*('Total Duration Tables Sup #1'!J173/'Total Duration Tables Sup #1'!$B173)</f>
        <v>6.696206313147143</v>
      </c>
      <c r="K151" s="1">
        <f ca="1">$B151*('Updated Population'!K$147/'Updated Population'!$B$147)*('Total Duration Tables Sup #1'!K173/'Total Duration Tables Sup #1'!$B173)</f>
        <v>6.5713243492119142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OFFSET(Southland_Reference,28,7)</f>
        <v>6.6688903300000005E-2</v>
      </c>
      <c r="C152" s="4">
        <f ca="1">$B152*('Updated Population'!C$147/'Updated Population'!$B$147)*('Total Duration Tables Sup #1'!C174/'Total Duration Tables Sup #1'!$B174)</f>
        <v>7.305642339194808E-2</v>
      </c>
      <c r="D152" s="4">
        <f ca="1">$B152*('Updated Population'!D$147/'Updated Population'!$B$147)*('Total Duration Tables Sup #1'!D174/'Total Duration Tables Sup #1'!$B174)</f>
        <v>7.7003006235050825E-2</v>
      </c>
      <c r="E152" s="4">
        <f ca="1">$B152*('Updated Population'!E$147/'Updated Population'!$B$147)*('Total Duration Tables Sup #1'!E174/'Total Duration Tables Sup #1'!$B174)</f>
        <v>8.0042699996012934E-2</v>
      </c>
      <c r="F152" s="4">
        <f ca="1">$B152*('Updated Population'!F$147/'Updated Population'!$B$147)*('Total Duration Tables Sup #1'!F174/'Total Duration Tables Sup #1'!$B174)</f>
        <v>8.2088174487182336E-2</v>
      </c>
      <c r="G152" s="4">
        <f ca="1">$B152*('Updated Population'!G$147/'Updated Population'!$B$147)*('Total Duration Tables Sup #1'!G174/'Total Duration Tables Sup #1'!$B174)</f>
        <v>8.2479181461846893E-2</v>
      </c>
      <c r="H152" s="4">
        <f ca="1">$B152*('Updated Population'!H$147/'Updated Population'!$B$147)*('Total Duration Tables Sup #1'!H174/'Total Duration Tables Sup #1'!$B174)</f>
        <v>8.2433857668799612E-2</v>
      </c>
      <c r="I152" s="1">
        <f ca="1">$B152*('Updated Population'!I$147/'Updated Population'!$B$147)*('Total Duration Tables Sup #1'!I174/'Total Duration Tables Sup #1'!$B174)</f>
        <v>8.1329606704035121E-2</v>
      </c>
      <c r="J152" s="1">
        <f ca="1">$B152*('Updated Population'!J$147/'Updated Population'!$B$147)*('Total Duration Tables Sup #1'!J174/'Total Duration Tables Sup #1'!$B174)</f>
        <v>7.9984729626926945E-2</v>
      </c>
      <c r="K152" s="1">
        <f ca="1">$B152*('Updated Population'!K$147/'Updated Population'!$B$147)*('Total Duration Tables Sup #1'!K174/'Total Duration Tables Sup #1'!$B174)</f>
        <v>7.849304169893892E-2</v>
      </c>
    </row>
    <row r="153" spans="1:11" x14ac:dyDescent="0.2">
      <c r="A153" t="str">
        <f ca="1">OFFSET(Southland_Reference,35,2)</f>
        <v>Motorcyclist</v>
      </c>
      <c r="B153" s="4">
        <f ca="1">OFFSET(Southland_Reference,35,7)</f>
        <v>0.2609239458</v>
      </c>
      <c r="C153" s="4">
        <f ca="1">$B153*('Updated Population'!C$147/'Updated Population'!$B$147)*('Total Duration Tables Sup #1'!C175/'Total Duration Tables Sup #1'!$B175)</f>
        <v>0.26970515313990401</v>
      </c>
      <c r="D153" s="4">
        <f ca="1">$B153*('Updated Population'!D$147/'Updated Population'!$B$147)*('Total Duration Tables Sup #1'!D175/'Total Duration Tables Sup #1'!$B175)</f>
        <v>0.2685196767252872</v>
      </c>
      <c r="E153" s="4">
        <f ca="1">$B153*('Updated Population'!E$147/'Updated Population'!$B$147)*('Total Duration Tables Sup #1'!E175/'Total Duration Tables Sup #1'!$B175)</f>
        <v>0.26599865203406287</v>
      </c>
      <c r="F153" s="4">
        <f ca="1">$B153*('Updated Population'!F$147/'Updated Population'!$B$147)*('Total Duration Tables Sup #1'!F175/'Total Duration Tables Sup #1'!$B175)</f>
        <v>0.26233733881215543</v>
      </c>
      <c r="G153" s="4">
        <f ca="1">$B153*('Updated Population'!G$147/'Updated Population'!$B$147)*('Total Duration Tables Sup #1'!G175/'Total Duration Tables Sup #1'!$B175)</f>
        <v>0.25491584242144733</v>
      </c>
      <c r="H153" s="4">
        <f ca="1">$B153*('Updated Population'!H$147/'Updated Population'!$B$147)*('Total Duration Tables Sup #1'!H175/'Total Duration Tables Sup #1'!$B175)</f>
        <v>0.24631431647981486</v>
      </c>
      <c r="I153" s="1">
        <f ca="1">$B153*('Updated Population'!I$147/'Updated Population'!$B$147)*('Total Duration Tables Sup #1'!I175/'Total Duration Tables Sup #1'!$B175)</f>
        <v>0.24301478847882108</v>
      </c>
      <c r="J153" s="1">
        <f ca="1">$B153*('Updated Population'!J$147/'Updated Population'!$B$147)*('Total Duration Tables Sup #1'!J175/'Total Duration Tables Sup #1'!$B175)</f>
        <v>0.23899626396273929</v>
      </c>
      <c r="K153" s="1">
        <f ca="1">$B153*('Updated Population'!K$147/'Updated Population'!$B$147)*('Total Duration Tables Sup #1'!K175/'Total Duration Tables Sup #1'!$B175)</f>
        <v>0.23453906515178721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Duration Tables Sup #1'!C176/'Total Duration Tables Sup #1'!$B176)</f>
        <v>0</v>
      </c>
      <c r="D154" s="4">
        <f ca="1">$B154*('Updated Population'!D$147/'Updated Population'!$B$147)*('Total Duration Tables Sup #1'!D176/'Total Duration Tables Sup #1'!$B176)</f>
        <v>0</v>
      </c>
      <c r="E154" s="4">
        <f ca="1">$B154*('Updated Population'!E$147/'Updated Population'!$B$147)*('Total Duration Tables Sup #1'!E176/'Total Duration Tables Sup #1'!$B176)</f>
        <v>0</v>
      </c>
      <c r="F154" s="4">
        <f ca="1">$B154*('Updated Population'!F$147/'Updated Population'!$B$147)*('Total Duration Tables Sup #1'!F176/'Total Duration Tables Sup #1'!$B176)</f>
        <v>0</v>
      </c>
      <c r="G154" s="4">
        <f ca="1">$B154*('Updated Population'!G$147/'Updated Population'!$B$147)*('Total Duration Tables Sup #1'!G176/'Total Duration Tables Sup #1'!$B176)</f>
        <v>0</v>
      </c>
      <c r="H154" s="4">
        <f ca="1">$B154*('Updated Population'!H$147/'Updated Population'!$B$147)*('Total Duration Tables Sup #1'!H176/'Total Duration Tables Sup #1'!$B176)</f>
        <v>0</v>
      </c>
      <c r="I154" s="1">
        <f ca="1">$B154*('Updated Population'!I$147/'Updated Population'!$B$147)*('Total Duration Tables Sup #1'!I176/'Total Duration Tables Sup #1'!$B176)</f>
        <v>0</v>
      </c>
      <c r="J154" s="1">
        <f ca="1">$B154*('Updated Population'!J$147/'Updated Population'!$B$147)*('Total Duration Tables Sup #1'!J176/'Total Duration Tables Sup #1'!$B176)</f>
        <v>0</v>
      </c>
      <c r="K154" s="1">
        <f ca="1">$B154*('Updated Population'!K$147/'Updated Population'!$B$147)*('Total Duration Tables Sup #1'!K176/'Total Duration Tables Sup #1'!$B176)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OFFSET(Southland_Reference,42,7)</f>
        <v>1.2152660816</v>
      </c>
      <c r="C155" s="4">
        <f ca="1">$B155*('Updated Population'!C$147/'Updated Population'!$B$147)*('Total Duration Tables Sup #1'!C177/'Total Duration Tables Sup #1'!$B177)</f>
        <v>1.154035320139172</v>
      </c>
      <c r="D155" s="4">
        <f ca="1">$B155*('Updated Population'!D$147/'Updated Population'!$B$147)*('Total Duration Tables Sup #1'!D177/'Total Duration Tables Sup #1'!$B177)</f>
        <v>1.0979056999819483</v>
      </c>
      <c r="E155" s="4">
        <f ca="1">$B155*('Updated Population'!E$147/'Updated Population'!$B$147)*('Total Duration Tables Sup #1'!E177/'Total Duration Tables Sup #1'!$B177)</f>
        <v>1.0575339921661835</v>
      </c>
      <c r="F155" s="4">
        <f ca="1">$B155*('Updated Population'!F$147/'Updated Population'!$B$147)*('Total Duration Tables Sup #1'!F177/'Total Duration Tables Sup #1'!$B177)</f>
        <v>1.0058199689927261</v>
      </c>
      <c r="G155" s="4">
        <f ca="1">$B155*('Updated Population'!G$147/'Updated Population'!$B$147)*('Total Duration Tables Sup #1'!G177/'Total Duration Tables Sup #1'!$B177)</f>
        <v>0.96102773905487282</v>
      </c>
      <c r="H155" s="4">
        <f ca="1">$B155*('Updated Population'!H$147/'Updated Population'!$B$147)*('Total Duration Tables Sup #1'!H177/'Total Duration Tables Sup #1'!$B177)</f>
        <v>0.91431207571149509</v>
      </c>
      <c r="I155" s="1">
        <f ca="1">$B155*('Updated Population'!I$147/'Updated Population'!$B$147)*('Total Duration Tables Sup #1'!I177/'Total Duration Tables Sup #1'!$B177)</f>
        <v>0.9020643170810948</v>
      </c>
      <c r="J155" s="1">
        <f ca="1">$B155*('Updated Population'!J$147/'Updated Population'!$B$147)*('Total Duration Tables Sup #1'!J177/'Total Duration Tables Sup #1'!$B177)</f>
        <v>0.88714766284797641</v>
      </c>
      <c r="K155" s="1">
        <f ca="1">$B155*('Updated Population'!K$147/'Updated Population'!$B$147)*('Total Duration Tables Sup #1'!K177/'Total Duration Tables Sup #1'!$B177)</f>
        <v>0.87060266150602494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Duration Tables Sup #1'!C178/'Total Duration Tables Sup #1'!$B178)</f>
        <v>0</v>
      </c>
      <c r="D156" s="4">
        <f ca="1">$B156*('Updated Population'!D$147/'Updated Population'!$B$147)*('Total Duration Tables Sup #1'!D178/'Total Duration Tables Sup #1'!$B178)</f>
        <v>0</v>
      </c>
      <c r="E156" s="4">
        <f ca="1">$B156*('Updated Population'!E$147/'Updated Population'!$B$147)*('Total Duration Tables Sup #1'!E178/'Total Duration Tables Sup #1'!$B178)</f>
        <v>0</v>
      </c>
      <c r="F156" s="4">
        <f ca="1">$B156*('Updated Population'!F$147/'Updated Population'!$B$147)*('Total Duration Tables Sup #1'!F178/'Total Duration Tables Sup #1'!$B178)</f>
        <v>0</v>
      </c>
      <c r="G156" s="4">
        <f ca="1">$B156*('Updated Population'!G$147/'Updated Population'!$B$147)*('Total Duration Tables Sup #1'!G178/'Total Duration Tables Sup #1'!$B178)</f>
        <v>0</v>
      </c>
      <c r="H156" s="4">
        <f ca="1">$B156*('Updated Population'!H$147/'Updated Population'!$B$147)*('Total Duration Tables Sup #1'!H178/'Total Duration Tables Sup #1'!$B178)</f>
        <v>0</v>
      </c>
      <c r="I156" s="1">
        <f ca="1">$B156*('Updated Population'!I$147/'Updated Population'!$B$147)*('Total Duration Tables Sup #1'!I178/'Total Duration Tables Sup #1'!$B178)</f>
        <v>0</v>
      </c>
      <c r="J156" s="1">
        <f ca="1">$B156*('Updated Population'!J$147/'Updated Population'!$B$147)*('Total Duration Tables Sup #1'!J178/'Total Duration Tables Sup #1'!$B178)</f>
        <v>0</v>
      </c>
      <c r="K156" s="1">
        <f ca="1">$B156*('Updated Population'!K$147/'Updated Population'!$B$147)*('Total Duration Tables Sup #1'!K178/'Total Duration Tables Sup #1'!$B178)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OFFSET(Southland_Reference,49,7)</f>
        <v>8.5162673699999997E-2</v>
      </c>
      <c r="C157" s="4">
        <f ca="1">$B157*('Updated Population'!C$147/'Updated Population'!$B$147)*('Total Duration Tables Sup #1'!C179/'Total Duration Tables Sup #1'!$B179)</f>
        <v>8.925109260855571E-2</v>
      </c>
      <c r="D157" s="4">
        <f ca="1">$B157*('Updated Population'!D$147/'Updated Population'!$B$147)*('Total Duration Tables Sup #1'!D179/'Total Duration Tables Sup #1'!$B179)</f>
        <v>9.1044895116640254E-2</v>
      </c>
      <c r="E157" s="4">
        <f ca="1">$B157*('Updated Population'!E$147/'Updated Population'!$B$147)*('Total Duration Tables Sup #1'!E179/'Total Duration Tables Sup #1'!$B179)</f>
        <v>9.0991930283724903E-2</v>
      </c>
      <c r="F157" s="4">
        <f ca="1">$B157*('Updated Population'!F$147/'Updated Population'!$B$147)*('Total Duration Tables Sup #1'!F179/'Total Duration Tables Sup #1'!$B179)</f>
        <v>9.016722248362985E-2</v>
      </c>
      <c r="G157" s="4">
        <f ca="1">$B157*('Updated Population'!G$147/'Updated Population'!$B$147)*('Total Duration Tables Sup #1'!G179/'Total Duration Tables Sup #1'!$B179)</f>
        <v>8.9462315478868057E-2</v>
      </c>
      <c r="H157" s="4">
        <f ca="1">$B157*('Updated Population'!H$147/'Updated Population'!$B$147)*('Total Duration Tables Sup #1'!H179/'Total Duration Tables Sup #1'!$B179)</f>
        <v>8.8063188288721714E-2</v>
      </c>
      <c r="I157" s="1">
        <f ca="1">$B157*('Updated Population'!I$147/'Updated Population'!$B$147)*('Total Duration Tables Sup #1'!I179/'Total Duration Tables Sup #1'!$B179)</f>
        <v>8.6883529064004095E-2</v>
      </c>
      <c r="J157" s="1">
        <f ca="1">$B157*('Updated Population'!J$147/'Updated Population'!$B$147)*('Total Duration Tables Sup #1'!J179/'Total Duration Tables Sup #1'!$B179)</f>
        <v>8.5446811596014152E-2</v>
      </c>
      <c r="K157" s="1">
        <f ca="1">$B157*('Updated Population'!K$147/'Updated Population'!$B$147)*('Total Duration Tables Sup #1'!K179/'Total Duration Tables Sup #1'!$B179)</f>
        <v>8.3853257702197731E-2</v>
      </c>
    </row>
    <row r="158" spans="1:11" x14ac:dyDescent="0.2">
      <c r="A158" t="s">
        <v>19</v>
      </c>
      <c r="I158" s="1"/>
      <c r="J158" s="1"/>
      <c r="K158" s="1"/>
    </row>
    <row r="159" spans="1:11" x14ac:dyDescent="0.2">
      <c r="A159" t="str">
        <f t="shared" ref="A159:A165" ca="1" si="0">A5</f>
        <v>Pedestrian</v>
      </c>
      <c r="B159" s="4">
        <f t="shared" ref="B159:H164" ca="1" si="1">B5+B16+B27+B38+B49+B60+B71+B82+B93+B104+B115+B126+B137+B148</f>
        <v>205.0143830817</v>
      </c>
      <c r="C159" s="4">
        <f t="shared" ca="1" si="1"/>
        <v>221.1354318584323</v>
      </c>
      <c r="D159" s="4">
        <f t="shared" ca="1" si="1"/>
        <v>230.46043187822747</v>
      </c>
      <c r="E159" s="4">
        <f t="shared" ca="1" si="1"/>
        <v>235.61499547678392</v>
      </c>
      <c r="F159" s="4">
        <f t="shared" ca="1" si="1"/>
        <v>238.50173839460882</v>
      </c>
      <c r="G159" s="4">
        <f t="shared" ca="1" si="1"/>
        <v>240.27887414701533</v>
      </c>
      <c r="H159" s="4">
        <f t="shared" ca="1" si="1"/>
        <v>241.112028190686</v>
      </c>
      <c r="I159" s="1">
        <f t="shared" ref="I159:K159" ca="1" si="2">I5+I16+I27+I38+I49+I60+I71+I82+I93+I104+I115+I126+I137+I148</f>
        <v>247.07924568453106</v>
      </c>
      <c r="J159" s="1">
        <f t="shared" ca="1" si="2"/>
        <v>252.46584702277116</v>
      </c>
      <c r="K159" s="1">
        <f t="shared" ca="1" si="2"/>
        <v>257.49409783355514</v>
      </c>
    </row>
    <row r="160" spans="1:11" x14ac:dyDescent="0.2">
      <c r="A160" t="str">
        <f t="shared" ca="1" si="0"/>
        <v>Cyclist</v>
      </c>
      <c r="B160" s="4">
        <f t="shared" ca="1" si="1"/>
        <v>24.928098629399997</v>
      </c>
      <c r="C160" s="4">
        <f t="shared" ca="1" si="1"/>
        <v>27.628483978504931</v>
      </c>
      <c r="D160" s="4">
        <f t="shared" ca="1" si="1"/>
        <v>29.081971214392972</v>
      </c>
      <c r="E160" s="4">
        <f t="shared" ca="1" si="1"/>
        <v>29.842691664909804</v>
      </c>
      <c r="F160" s="4">
        <f t="shared" ca="1" si="1"/>
        <v>30.828194970067479</v>
      </c>
      <c r="G160" s="4">
        <f t="shared" ca="1" si="1"/>
        <v>32.115146764582832</v>
      </c>
      <c r="H160" s="4">
        <f t="shared" ca="1" si="1"/>
        <v>33.427302830633039</v>
      </c>
      <c r="I160" s="1">
        <f t="shared" ref="I160:K160" ca="1" si="3">I6+I17+I28+I39+I50+I61+I72+I83+I94+I105+I116+I127+I138+I149</f>
        <v>34.226053113558756</v>
      </c>
      <c r="J160" s="1">
        <f t="shared" ca="1" si="3"/>
        <v>34.943335208963568</v>
      </c>
      <c r="K160" s="1">
        <f t="shared" ca="1" si="3"/>
        <v>35.61007775516935</v>
      </c>
    </row>
    <row r="161" spans="1:20" x14ac:dyDescent="0.2">
      <c r="A161" t="str">
        <f t="shared" ca="1" si="0"/>
        <v>Light Vehicle Driver</v>
      </c>
      <c r="B161" s="4">
        <f t="shared" ca="1" si="1"/>
        <v>820.39837236829999</v>
      </c>
      <c r="C161" s="4">
        <f t="shared" ca="1" si="1"/>
        <v>914.79075426366398</v>
      </c>
      <c r="D161" s="4">
        <f t="shared" ca="1" si="1"/>
        <v>972.1354248729283</v>
      </c>
      <c r="E161" s="4">
        <f t="shared" ca="1" si="1"/>
        <v>1021.4317516050584</v>
      </c>
      <c r="F161" s="4">
        <f t="shared" ca="1" si="1"/>
        <v>1066.5460170675435</v>
      </c>
      <c r="G161" s="4">
        <f t="shared" ca="1" si="1"/>
        <v>1101.0544942096135</v>
      </c>
      <c r="H161" s="4">
        <f t="shared" ca="1" si="1"/>
        <v>1130.6948050368501</v>
      </c>
      <c r="I161" s="1">
        <f t="shared" ref="I161:K161" ca="1" si="4">I7+I18+I29+I40+I51+I62+I73+I84+I95+I106+I117+I128+I139+I150</f>
        <v>1158.0386552957498</v>
      </c>
      <c r="J161" s="1">
        <f t="shared" ca="1" si="4"/>
        <v>1182.63858383405</v>
      </c>
      <c r="K161" s="1">
        <f t="shared" ca="1" si="4"/>
        <v>1205.5396868102282</v>
      </c>
    </row>
    <row r="162" spans="1:20" x14ac:dyDescent="0.2">
      <c r="A162" t="str">
        <f t="shared" ca="1" si="0"/>
        <v>Light Vehicle Passenger</v>
      </c>
      <c r="B162" s="4">
        <f t="shared" ca="1" si="1"/>
        <v>430.09037615619997</v>
      </c>
      <c r="C162" s="4">
        <f t="shared" ca="1" si="1"/>
        <v>459.06609432729664</v>
      </c>
      <c r="D162" s="4">
        <f t="shared" ca="1" si="1"/>
        <v>476.05133736478177</v>
      </c>
      <c r="E162" s="4">
        <f t="shared" ca="1" si="1"/>
        <v>488.31655176932873</v>
      </c>
      <c r="F162" s="4">
        <f t="shared" ca="1" si="1"/>
        <v>497.47501664579858</v>
      </c>
      <c r="G162" s="4">
        <f t="shared" ca="1" si="1"/>
        <v>503.34447251338065</v>
      </c>
      <c r="H162" s="4">
        <f t="shared" ca="1" si="1"/>
        <v>506.64405787233306</v>
      </c>
      <c r="I162" s="1">
        <f t="shared" ref="I162:K162" ca="1" si="5">I8+I19+I30+I41+I52+I63+I74+I85+I96+I107+I118+I129+I140+I151</f>
        <v>518.59396143072706</v>
      </c>
      <c r="J162" s="1">
        <f t="shared" ca="1" si="5"/>
        <v>529.30350596760616</v>
      </c>
      <c r="K162" s="1">
        <f t="shared" ca="1" si="5"/>
        <v>539.24256924702877</v>
      </c>
    </row>
    <row r="163" spans="1:20" x14ac:dyDescent="0.2">
      <c r="A163" t="str">
        <f t="shared" ca="1" si="0"/>
        <v>Taxi/Vehicle Share</v>
      </c>
      <c r="B163" s="4">
        <f t="shared" ca="1" si="1"/>
        <v>4.6704390591000005</v>
      </c>
      <c r="C163" s="4">
        <f t="shared" ca="1" si="1"/>
        <v>5.4464769202278047</v>
      </c>
      <c r="D163" s="4">
        <f t="shared" ca="1" si="1"/>
        <v>6.0566642359447247</v>
      </c>
      <c r="E163" s="4">
        <f t="shared" ca="1" si="1"/>
        <v>6.5667125730004772</v>
      </c>
      <c r="F163" s="4">
        <f t="shared" ca="1" si="1"/>
        <v>7.0133787339547498</v>
      </c>
      <c r="G163" s="4">
        <f t="shared" ca="1" si="1"/>
        <v>7.334104178091434</v>
      </c>
      <c r="H163" s="4">
        <f t="shared" ca="1" si="1"/>
        <v>7.6253640970893848</v>
      </c>
      <c r="I163" s="1">
        <f t="shared" ref="I163:K163" ca="1" si="6">I9+I20+I31+I42+I53+I64+I75+I86+I97+I108+I119+I130+I141+I152</f>
        <v>7.8287647127936291</v>
      </c>
      <c r="J163" s="1">
        <f t="shared" ca="1" si="6"/>
        <v>8.0145088405250728</v>
      </c>
      <c r="K163" s="1">
        <f t="shared" ca="1" si="6"/>
        <v>8.1895522237305975</v>
      </c>
    </row>
    <row r="164" spans="1:20" x14ac:dyDescent="0.2">
      <c r="A164" t="str">
        <f t="shared" ca="1" si="0"/>
        <v>Motorcyclist</v>
      </c>
      <c r="B164" s="4">
        <f t="shared" ca="1" si="1"/>
        <v>6.0136150244</v>
      </c>
      <c r="C164" s="4">
        <f t="shared" ca="1" si="1"/>
        <v>6.5525905932160144</v>
      </c>
      <c r="D164" s="4">
        <f t="shared" ca="1" si="1"/>
        <v>6.8270764384490716</v>
      </c>
      <c r="E164" s="4">
        <f t="shared" ca="1" si="1"/>
        <v>7.0095751713195069</v>
      </c>
      <c r="F164" s="4">
        <f t="shared" ca="1" si="1"/>
        <v>7.1540889979435516</v>
      </c>
      <c r="G164" s="4">
        <f t="shared" ca="1" si="1"/>
        <v>7.1893271342294343</v>
      </c>
      <c r="H164" s="4">
        <f t="shared" ca="1" si="1"/>
        <v>7.1802698397411548</v>
      </c>
      <c r="I164" s="1">
        <f t="shared" ref="I164:K164" ca="1" si="7">I10+I21+I32+I43+I54+I65+I76+I87+I98+I109+I120+I131+I142+I153</f>
        <v>7.3245471477285014</v>
      </c>
      <c r="J164" s="1">
        <f t="shared" ca="1" si="7"/>
        <v>7.4502927897481337</v>
      </c>
      <c r="K164" s="1">
        <f t="shared" ca="1" si="7"/>
        <v>7.5642978584992839</v>
      </c>
    </row>
    <row r="165" spans="1:20" x14ac:dyDescent="0.2">
      <c r="A165" t="str">
        <f t="shared" ca="1" si="0"/>
        <v>Local Train</v>
      </c>
      <c r="B165" s="4">
        <f t="shared" ref="B165:H165" ca="1" si="8">B22+B99</f>
        <v>9.8112189659999984</v>
      </c>
      <c r="C165" s="4">
        <f t="shared" ca="1" si="8"/>
        <v>10.6575695543</v>
      </c>
      <c r="D165" s="4">
        <f t="shared" ca="1" si="8"/>
        <v>11.194991007700001</v>
      </c>
      <c r="E165" s="4">
        <f t="shared" ca="1" si="8"/>
        <v>11.578362117800001</v>
      </c>
      <c r="F165" s="4">
        <f t="shared" ca="1" si="8"/>
        <v>11.794404673900001</v>
      </c>
      <c r="G165" s="4">
        <f t="shared" ca="1" si="8"/>
        <v>11.980152047499999</v>
      </c>
      <c r="H165" s="4">
        <f t="shared" ca="1" si="8"/>
        <v>12.0906406322</v>
      </c>
      <c r="I165" s="1">
        <f t="shared" ref="I165:K165" ca="1" si="9">I22+I99</f>
        <v>12.413707442441495</v>
      </c>
      <c r="J165" s="1">
        <f t="shared" ca="1" si="9"/>
        <v>12.708116588166764</v>
      </c>
      <c r="K165" s="1">
        <f t="shared" ca="1" si="9"/>
        <v>12.984920042230769</v>
      </c>
    </row>
    <row r="166" spans="1:20" x14ac:dyDescent="0.2">
      <c r="A166" t="s">
        <v>16</v>
      </c>
      <c r="B166" s="4">
        <f t="shared" ref="B166:H166" ca="1" si="10">B12+B34+B45+B56+B67+B78+B89+B111+B122+B144+B155</f>
        <v>14.151701071899998</v>
      </c>
      <c r="C166" s="4">
        <f t="shared" ca="1" si="10"/>
        <v>13.983025295077548</v>
      </c>
      <c r="D166" s="4">
        <f t="shared" ca="1" si="10"/>
        <v>13.759097058744358</v>
      </c>
      <c r="E166" s="4">
        <f t="shared" ca="1" si="10"/>
        <v>13.604791589741504</v>
      </c>
      <c r="F166" s="4">
        <f t="shared" ca="1" si="10"/>
        <v>13.260590881361741</v>
      </c>
      <c r="G166" s="4">
        <f t="shared" ca="1" si="10"/>
        <v>12.975317544703001</v>
      </c>
      <c r="H166" s="4">
        <f t="shared" ca="1" si="10"/>
        <v>12.635268413235039</v>
      </c>
      <c r="I166" s="1">
        <f t="shared" ref="I166:K166" ca="1" si="11">I12+I34+I45+I56+I67+I78+I89+I111+I122+I144+I155</f>
        <v>12.763072607473337</v>
      </c>
      <c r="J166" s="1">
        <f t="shared" ca="1" si="11"/>
        <v>12.854694747302108</v>
      </c>
      <c r="K166" s="1">
        <f t="shared" ca="1" si="11"/>
        <v>12.922750962011341</v>
      </c>
    </row>
    <row r="167" spans="1:20" x14ac:dyDescent="0.2">
      <c r="A167" t="str">
        <f ca="1">A13</f>
        <v>Local Ferry</v>
      </c>
      <c r="B167" s="4">
        <f t="shared" ref="B167:H168" ca="1" si="12">B13+B24+B35+B46+B57+B68+B79+B90+B101+B112+B123+B134+B145+B156</f>
        <v>1.3964695746999998</v>
      </c>
      <c r="C167" s="4">
        <f t="shared" ca="1" si="12"/>
        <v>1.608498351646144</v>
      </c>
      <c r="D167" s="4">
        <f t="shared" ca="1" si="12"/>
        <v>1.7562413767694043</v>
      </c>
      <c r="E167" s="4">
        <f t="shared" ca="1" si="12"/>
        <v>1.8551755613760372</v>
      </c>
      <c r="F167" s="4">
        <f t="shared" ca="1" si="12"/>
        <v>1.9312834217241026</v>
      </c>
      <c r="G167" s="4">
        <f t="shared" ca="1" si="12"/>
        <v>2.0389513955737812</v>
      </c>
      <c r="H167" s="4">
        <f t="shared" ca="1" si="12"/>
        <v>2.1321058288137897</v>
      </c>
      <c r="I167" s="1">
        <f t="shared" ref="I167:K167" ca="1" si="13">I13+I24+I35+I46+I57+I68+I79+I90+I101+I112+I123+I134+I145+I156</f>
        <v>2.1982149052606568</v>
      </c>
      <c r="J167" s="1">
        <f t="shared" ca="1" si="13"/>
        <v>2.2597030932417366</v>
      </c>
      <c r="K167" s="1">
        <f t="shared" ca="1" si="13"/>
        <v>2.3184680281799137</v>
      </c>
    </row>
    <row r="168" spans="1:20" x14ac:dyDescent="0.2">
      <c r="A168" t="str">
        <f ca="1">A14</f>
        <v>Other Household Travel</v>
      </c>
      <c r="B168" s="4">
        <f t="shared" ca="1" si="12"/>
        <v>5.6740244923000009</v>
      </c>
      <c r="C168" s="4">
        <f t="shared" ca="1" si="12"/>
        <v>6.3278856968870869</v>
      </c>
      <c r="D168" s="4">
        <f t="shared" ca="1" si="12"/>
        <v>6.8048550349909256</v>
      </c>
      <c r="E168" s="4">
        <f t="shared" ca="1" si="12"/>
        <v>7.088958867990339</v>
      </c>
      <c r="F168" s="4">
        <f t="shared" ca="1" si="12"/>
        <v>7.3103952694268033</v>
      </c>
      <c r="G168" s="4">
        <f t="shared" ca="1" si="12"/>
        <v>7.5429562197912423</v>
      </c>
      <c r="H168" s="4">
        <f t="shared" ca="1" si="12"/>
        <v>7.7171078553024399</v>
      </c>
      <c r="I168" s="1">
        <f t="shared" ref="I168:K168" ca="1" si="14">I14+I25+I36+I47+I58+I69+I80+I91+I102+I113+I124+I135+I146+I157</f>
        <v>7.9154890558352546</v>
      </c>
      <c r="J168" s="1">
        <f t="shared" ca="1" si="14"/>
        <v>8.0953670813107124</v>
      </c>
      <c r="K168" s="1">
        <f t="shared" ca="1" si="14"/>
        <v>8.2638050621357575</v>
      </c>
    </row>
    <row r="169" spans="1:20" x14ac:dyDescent="0.2">
      <c r="A169" s="59" t="s">
        <v>114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115</v>
      </c>
      <c r="N169" s="59"/>
      <c r="O169" s="59"/>
      <c r="P169" s="59"/>
      <c r="Q169" s="59"/>
      <c r="R169" s="59"/>
      <c r="S169" s="59"/>
      <c r="T169" s="59"/>
    </row>
    <row r="170" spans="1:20" x14ac:dyDescent="0.2">
      <c r="A170" s="59" t="str">
        <f t="shared" ref="A170:A179" ca="1" si="15">A16</f>
        <v>Pedestrian</v>
      </c>
      <c r="B170" s="60">
        <f ca="1">B181*1000000/'Original Population'!B$158</f>
        <v>46.157777170771794</v>
      </c>
      <c r="C170" s="60">
        <f ca="1">(C181*1000000/'Original Population'!C$158)</f>
        <v>45.382993423204368</v>
      </c>
      <c r="D170" s="60">
        <f ca="1">(D181*1000000/'Original Population'!D$158)</f>
        <v>44.52858449022856</v>
      </c>
      <c r="E170" s="60">
        <f ca="1">(E181*1000000/'Original Population'!E$158)</f>
        <v>43.505865403881607</v>
      </c>
      <c r="F170" s="60">
        <f ca="1">(F181*1000000/'Original Population'!F$158)</f>
        <v>42.364122541092932</v>
      </c>
      <c r="G170" s="60">
        <f ca="1">(G181*1000000/'Original Population'!G$158)</f>
        <v>41.330132555541397</v>
      </c>
      <c r="H170" s="60">
        <f ca="1">(H181*1000000/'Original Population'!H$158)</f>
        <v>40.345503053220533</v>
      </c>
      <c r="I170" s="60">
        <f ca="1">H170</f>
        <v>40.345503053220533</v>
      </c>
      <c r="J170" s="60">
        <f t="shared" ref="J170:K170" ca="1" si="16">I170</f>
        <v>40.345503053220533</v>
      </c>
      <c r="K170" s="60">
        <f t="shared" ca="1" si="16"/>
        <v>40.345503053220533</v>
      </c>
      <c r="L170" s="60"/>
      <c r="M170" s="60">
        <f ca="1">B159*'Total Duration Tables Sup #2'!B159*1000000/'Updated Population'!B$158</f>
        <v>46.157777170771794</v>
      </c>
      <c r="N170" s="60">
        <f ca="1">C159*'Total Duration Tables Sup #2'!C159*1000000/'Updated Population'!C$158</f>
        <v>45.382993423204368</v>
      </c>
      <c r="O170" s="60">
        <f ca="1">D159*'Total Duration Tables Sup #2'!D159*1000000/'Updated Population'!D$158</f>
        <v>44.528584490228553</v>
      </c>
      <c r="P170" s="60">
        <f ca="1">E159*'Total Duration Tables Sup #2'!E159*1000000/'Updated Population'!E$158</f>
        <v>43.505865403881607</v>
      </c>
      <c r="Q170" s="60">
        <f ca="1">F159*'Total Duration Tables Sup #2'!F159*1000000/'Updated Population'!F$158</f>
        <v>42.364122541092925</v>
      </c>
      <c r="R170" s="60">
        <f ca="1">G159*'Total Duration Tables Sup #2'!G159*1000000/'Updated Population'!G$158</f>
        <v>41.330132555541397</v>
      </c>
      <c r="S170" s="60">
        <f ca="1">H159*'Total Duration Tables Sup #2'!H159*1000000/'Updated Population'!H$158</f>
        <v>40.345503053220533</v>
      </c>
      <c r="T170" s="59"/>
    </row>
    <row r="171" spans="1:20" x14ac:dyDescent="0.2">
      <c r="A171" s="59" t="str">
        <f t="shared" ca="1" si="15"/>
        <v>Cyclist</v>
      </c>
      <c r="B171" s="60">
        <f ca="1">B182*1000000/'Original Population'!B$158</f>
        <v>5.6124141366624629</v>
      </c>
      <c r="C171" s="60">
        <f ca="1">(C182*1000000/'Original Population'!C$158)</f>
        <v>5.6696698746279992</v>
      </c>
      <c r="D171" s="60">
        <f ca="1">(D182*1000000/'Original Population'!D$158)</f>
        <v>5.6238763272165073</v>
      </c>
      <c r="E171" s="60">
        <f ca="1">(E182*1000000/'Original Population'!E$158)</f>
        <v>5.5201005264046579</v>
      </c>
      <c r="F171" s="60">
        <f ca="1">(F182*1000000/'Original Population'!F$158)</f>
        <v>5.4906770726128249</v>
      </c>
      <c r="G171" s="60">
        <f ca="1">(G182*1000000/'Original Population'!G$158)</f>
        <v>5.5437822823264096</v>
      </c>
      <c r="H171" s="60">
        <f ca="1">(H182*1000000/'Original Population'!H$158)</f>
        <v>5.6180802313435487</v>
      </c>
      <c r="I171" s="60">
        <f t="shared" ref="I171:K179" ca="1" si="17">H171</f>
        <v>5.6180802313435487</v>
      </c>
      <c r="J171" s="60">
        <f t="shared" ca="1" si="17"/>
        <v>5.6180802313435487</v>
      </c>
      <c r="K171" s="60">
        <f t="shared" ca="1" si="17"/>
        <v>5.6180802313435487</v>
      </c>
      <c r="L171" s="60"/>
      <c r="M171" s="60">
        <f ca="1">B160*'Total Duration Tables Sup #2'!B160*1000000/'Updated Population'!B$158</f>
        <v>5.6124141366624629</v>
      </c>
      <c r="N171" s="60">
        <f ca="1">C160*'Total Duration Tables Sup #2'!C160*1000000/'Updated Population'!C$158</f>
        <v>5.6696698746279992</v>
      </c>
      <c r="O171" s="60">
        <f ca="1">D160*'Total Duration Tables Sup #2'!D160*1000000/'Updated Population'!D$158</f>
        <v>5.6238763272165064</v>
      </c>
      <c r="P171" s="60">
        <f ca="1">E160*'Total Duration Tables Sup #2'!E160*1000000/'Updated Population'!E$158</f>
        <v>5.5201005264046579</v>
      </c>
      <c r="Q171" s="60">
        <f ca="1">F160*'Total Duration Tables Sup #2'!F160*1000000/'Updated Population'!F$158</f>
        <v>5.4906770726128249</v>
      </c>
      <c r="R171" s="60">
        <f ca="1">G160*'Total Duration Tables Sup #2'!G160*1000000/'Updated Population'!G$158</f>
        <v>5.5437822823264105</v>
      </c>
      <c r="S171" s="60">
        <f ca="1">H160*'Total Duration Tables Sup #2'!H160*1000000/'Updated Population'!H$158</f>
        <v>5.6180802313435487</v>
      </c>
      <c r="T171" s="59"/>
    </row>
    <row r="172" spans="1:20" x14ac:dyDescent="0.2">
      <c r="A172" s="59" t="str">
        <f t="shared" ca="1" si="15"/>
        <v>Light Vehicle Driver</v>
      </c>
      <c r="B172" s="60">
        <f ca="1">B183*1000000/'Original Population'!B$158</f>
        <v>184.70784680482257</v>
      </c>
      <c r="C172" s="60">
        <f ca="1">C183*1000000/'Original Population'!C$158</f>
        <v>187.82617609027204</v>
      </c>
      <c r="D172" s="60">
        <f ca="1">D183*1000000/'Original Population'!D$158</f>
        <v>188.05382604351161</v>
      </c>
      <c r="E172" s="60">
        <f ca="1">E183*1000000/'Original Population'!E$158</f>
        <v>188.93682035433287</v>
      </c>
      <c r="F172" s="60">
        <f ca="1">F183*1000000/'Original Population'!F$158</f>
        <v>189.888541916484</v>
      </c>
      <c r="G172" s="60">
        <f ca="1">G183*1000000/'Original Population'!G$158</f>
        <v>189.94068319575888</v>
      </c>
      <c r="H172" s="60">
        <f ca="1">H183*1000000/'Original Population'!H$158</f>
        <v>189.85491925276654</v>
      </c>
      <c r="I172" s="60">
        <f t="shared" ca="1" si="17"/>
        <v>189.85491925276654</v>
      </c>
      <c r="J172" s="60">
        <f t="shared" ca="1" si="17"/>
        <v>189.85491925276654</v>
      </c>
      <c r="K172" s="60">
        <f t="shared" ca="1" si="17"/>
        <v>189.85491925276654</v>
      </c>
      <c r="L172" s="60"/>
      <c r="M172" s="60">
        <f ca="1">B161*'Total Duration Tables Sup #2'!B161*1000000/'Updated Population'!B$158</f>
        <v>184.70784680482257</v>
      </c>
      <c r="N172" s="60">
        <f ca="1">C161*'Total Duration Tables Sup #2'!C161*1000000/'Updated Population'!C$158</f>
        <v>187.82617609027204</v>
      </c>
      <c r="O172" s="60">
        <f ca="1">D161*'Total Duration Tables Sup #2'!D161*1000000/'Updated Population'!D$158</f>
        <v>188.05382604351163</v>
      </c>
      <c r="P172" s="60">
        <f ca="1">E161*'Total Duration Tables Sup #2'!E161*1000000/'Updated Population'!E$158</f>
        <v>188.93682035433287</v>
      </c>
      <c r="Q172" s="60">
        <f ca="1">F161*'Total Duration Tables Sup #2'!F161*1000000/'Updated Population'!F$158</f>
        <v>189.888541916484</v>
      </c>
      <c r="R172" s="60">
        <f ca="1">G161*'Total Duration Tables Sup #2'!G161*1000000/'Updated Population'!G$158</f>
        <v>189.94068319575888</v>
      </c>
      <c r="S172" s="60">
        <f ca="1">H161*'Total Duration Tables Sup #2'!H161*1000000/'Updated Population'!H$158</f>
        <v>189.85491925276659</v>
      </c>
      <c r="T172" s="59"/>
    </row>
    <row r="173" spans="1:20" x14ac:dyDescent="0.2">
      <c r="A173" s="59" t="str">
        <f t="shared" ca="1" si="15"/>
        <v>Light Vehicle Passenger</v>
      </c>
      <c r="B173" s="60">
        <f ca="1">B184*1000000/'Original Population'!B$158</f>
        <v>96.832307311824565</v>
      </c>
      <c r="C173" s="60">
        <f ca="1">C184*1000000/'Original Population'!C$158</f>
        <v>94.351215501108086</v>
      </c>
      <c r="D173" s="60">
        <f ca="1">D184*1000000/'Original Population'!D$158</f>
        <v>92.250733192296011</v>
      </c>
      <c r="E173" s="60">
        <f ca="1">E184*1000000/'Original Population'!E$158</f>
        <v>90.537813398447369</v>
      </c>
      <c r="F173" s="60">
        <f ca="1">F184*1000000/'Original Population'!F$158</f>
        <v>88.832481939770318</v>
      </c>
      <c r="G173" s="60">
        <f ca="1">G184*1000000/'Original Population'!G$158</f>
        <v>87.139812915378442</v>
      </c>
      <c r="H173" s="60">
        <f ca="1">H184*1000000/'Original Population'!H$158</f>
        <v>85.423246298379098</v>
      </c>
      <c r="I173" s="60">
        <f t="shared" ca="1" si="17"/>
        <v>85.423246298379098</v>
      </c>
      <c r="J173" s="60">
        <f t="shared" ca="1" si="17"/>
        <v>85.423246298379098</v>
      </c>
      <c r="K173" s="60">
        <f t="shared" ca="1" si="17"/>
        <v>85.423246298379098</v>
      </c>
      <c r="L173" s="60"/>
      <c r="M173" s="60">
        <f ca="1">B162*'Total Duration Tables Sup #2'!B162*1000000/'Updated Population'!B$158</f>
        <v>96.832307311824565</v>
      </c>
      <c r="N173" s="60">
        <f ca="1">C162*'Total Duration Tables Sup #2'!C162*1000000/'Updated Population'!C$158</f>
        <v>94.351215501108086</v>
      </c>
      <c r="O173" s="60">
        <f ca="1">D162*'Total Duration Tables Sup #2'!D162*1000000/'Updated Population'!D$158</f>
        <v>92.250733192296011</v>
      </c>
      <c r="P173" s="60">
        <f ca="1">E162*'Total Duration Tables Sup #2'!E162*1000000/'Updated Population'!E$158</f>
        <v>90.537813398447369</v>
      </c>
      <c r="Q173" s="60">
        <f ca="1">F162*'Total Duration Tables Sup #2'!F162*1000000/'Updated Population'!F$158</f>
        <v>88.832481939770318</v>
      </c>
      <c r="R173" s="60">
        <f ca="1">G162*'Total Duration Tables Sup #2'!G162*1000000/'Updated Population'!G$158</f>
        <v>87.139812915378442</v>
      </c>
      <c r="S173" s="60">
        <f ca="1">H162*'Total Duration Tables Sup #2'!H162*1000000/'Updated Population'!H$158</f>
        <v>85.423246298379098</v>
      </c>
      <c r="T173" s="59"/>
    </row>
    <row r="174" spans="1:20" x14ac:dyDescent="0.2">
      <c r="A174" s="59" t="str">
        <f t="shared" ca="1" si="15"/>
        <v>Taxi/Vehicle Share</v>
      </c>
      <c r="B174" s="60">
        <f ca="1">B185*1000000/'Original Population'!B$158</f>
        <v>1.0515217622253243</v>
      </c>
      <c r="C174" s="60">
        <f ca="1">C185*1000000/'Original Population'!C$158</f>
        <v>1.1147632867515145</v>
      </c>
      <c r="D174" s="60">
        <f ca="1">D185*1000000/'Original Population'!D$158</f>
        <v>1.164419650471898</v>
      </c>
      <c r="E174" s="60">
        <f ca="1">E185*1000000/'Original Population'!E$158</f>
        <v>1.2043692869286755</v>
      </c>
      <c r="F174" s="60">
        <f ca="1">F185*1000000/'Original Population'!F$158</f>
        <v>1.2351466926694017</v>
      </c>
      <c r="G174" s="60">
        <f ca="1">G185*1000000/'Original Population'!G$158</f>
        <v>1.2484761924126138</v>
      </c>
      <c r="H174" s="60">
        <f ca="1">H185*1000000/'Original Population'!H$158</f>
        <v>1.2603940730297229</v>
      </c>
      <c r="I174" s="60">
        <f t="shared" ca="1" si="17"/>
        <v>1.2603940730297229</v>
      </c>
      <c r="J174" s="60">
        <f t="shared" ca="1" si="17"/>
        <v>1.2603940730297229</v>
      </c>
      <c r="K174" s="60">
        <f t="shared" ca="1" si="17"/>
        <v>1.2603940730297229</v>
      </c>
      <c r="L174" s="60"/>
      <c r="M174" s="60">
        <f ca="1">B163*'Total Duration Tables Sup #2'!B163*1000000/'Updated Population'!B$158</f>
        <v>1.0515217622253243</v>
      </c>
      <c r="N174" s="60">
        <f ca="1">C163*'Total Duration Tables Sup #2'!C163*1000000/'Updated Population'!C$158</f>
        <v>1.1147632867515143</v>
      </c>
      <c r="O174" s="60">
        <f ca="1">D163*'Total Duration Tables Sup #2'!D163*1000000/'Updated Population'!D$158</f>
        <v>1.164419650471898</v>
      </c>
      <c r="P174" s="60">
        <f ca="1">E163*'Total Duration Tables Sup #2'!E163*1000000/'Updated Population'!E$158</f>
        <v>1.2043692869286755</v>
      </c>
      <c r="Q174" s="60">
        <f ca="1">F163*'Total Duration Tables Sup #2'!F163*1000000/'Updated Population'!F$158</f>
        <v>1.2351466926694017</v>
      </c>
      <c r="R174" s="60">
        <f ca="1">G163*'Total Duration Tables Sup #2'!G163*1000000/'Updated Population'!G$158</f>
        <v>1.248476192412614</v>
      </c>
      <c r="S174" s="60">
        <f ca="1">H163*'Total Duration Tables Sup #2'!H163*1000000/'Updated Population'!H$158</f>
        <v>1.2603940730297229</v>
      </c>
      <c r="T174" s="59"/>
    </row>
    <row r="175" spans="1:20" x14ac:dyDescent="0.2">
      <c r="A175" s="59" t="str">
        <f t="shared" ca="1" si="15"/>
        <v>Motorcyclist</v>
      </c>
      <c r="B175" s="60">
        <f ca="1">B186*1000000/'Original Population'!B$158</f>
        <v>1.3539298956231987</v>
      </c>
      <c r="C175" s="60">
        <f ca="1">C186*1000000/'Original Population'!C$158</f>
        <v>1.354350416555858</v>
      </c>
      <c r="D175" s="60">
        <f ca="1">D186*1000000/'Original Population'!D$158</f>
        <v>1.3362739790626703</v>
      </c>
      <c r="E175" s="60">
        <f ca="1">E186*1000000/'Original Population'!E$158</f>
        <v>1.3171490667637067</v>
      </c>
      <c r="F175" s="60">
        <f ca="1">F186*1000000/'Original Population'!F$158</f>
        <v>1.2990192933363307</v>
      </c>
      <c r="G175" s="60">
        <f ca="1">G186*1000000/'Original Population'!G$158</f>
        <v>1.2698437918742953</v>
      </c>
      <c r="H175" s="60">
        <f ca="1">H186*1000000/'Original Population'!H$158</f>
        <v>1.2393898460665391</v>
      </c>
      <c r="I175" s="60">
        <f t="shared" ca="1" si="17"/>
        <v>1.2393898460665391</v>
      </c>
      <c r="J175" s="60">
        <f t="shared" ca="1" si="17"/>
        <v>1.2393898460665391</v>
      </c>
      <c r="K175" s="60">
        <f t="shared" ca="1" si="17"/>
        <v>1.2393898460665391</v>
      </c>
      <c r="L175" s="60"/>
      <c r="M175" s="60">
        <f ca="1">B164*'Total Duration Tables Sup #2'!B164*1000000/'Updated Population'!B$158</f>
        <v>1.3539298956231987</v>
      </c>
      <c r="N175" s="60">
        <f ca="1">C164*'Total Duration Tables Sup #2'!C164*1000000/'Updated Population'!C$158</f>
        <v>1.3543504165558582</v>
      </c>
      <c r="O175" s="60">
        <f ca="1">D164*'Total Duration Tables Sup #2'!D164*1000000/'Updated Population'!D$158</f>
        <v>1.3362739790626701</v>
      </c>
      <c r="P175" s="60">
        <f ca="1">E164*'Total Duration Tables Sup #2'!E164*1000000/'Updated Population'!E$158</f>
        <v>1.3171490667637067</v>
      </c>
      <c r="Q175" s="60">
        <f ca="1">F164*'Total Duration Tables Sup #2'!F164*1000000/'Updated Population'!F$158</f>
        <v>1.2990192933363309</v>
      </c>
      <c r="R175" s="60">
        <f ca="1">G164*'Total Duration Tables Sup #2'!G164*1000000/'Updated Population'!G$158</f>
        <v>1.2698437918742953</v>
      </c>
      <c r="S175" s="60">
        <f ca="1">H164*'Total Duration Tables Sup #2'!H164*1000000/'Updated Population'!H$158</f>
        <v>1.2393898460665393</v>
      </c>
      <c r="T175" s="59"/>
    </row>
    <row r="176" spans="1:20" x14ac:dyDescent="0.2">
      <c r="A176" s="59" t="str">
        <f t="shared" ca="1" si="15"/>
        <v>Local Train</v>
      </c>
      <c r="B176" s="60">
        <f ca="1">B187*1000000/'Original Population'!B$158</f>
        <v>2.2089379876621034</v>
      </c>
      <c r="C176" s="60">
        <f ca="1">C187*1000000/'Original Population'!C$158</f>
        <v>2.2494289778804957</v>
      </c>
      <c r="D176" s="60">
        <f ca="1">D187*1000000/'Original Population'!D$158</f>
        <v>2.2624827727208419</v>
      </c>
      <c r="E176" s="60">
        <f ca="1">E187*1000000/'Original Population'!E$158</f>
        <v>2.2471348118000973</v>
      </c>
      <c r="F176" s="60">
        <f ca="1">F187*1000000/'Original Population'!F$158</f>
        <v>2.2095589415125798</v>
      </c>
      <c r="G176" s="60">
        <f ca="1">G187*1000000/'Original Population'!G$158</f>
        <v>2.1787640576692242</v>
      </c>
      <c r="H176" s="60">
        <f ca="1">H187*1000000/'Original Population'!H$158</f>
        <v>2.1441868185074835</v>
      </c>
      <c r="I176" s="60">
        <f t="shared" ca="1" si="17"/>
        <v>2.1441868185074835</v>
      </c>
      <c r="J176" s="60">
        <f t="shared" ca="1" si="17"/>
        <v>2.1441868185074835</v>
      </c>
      <c r="K176" s="60">
        <f t="shared" ca="1" si="17"/>
        <v>2.1441868185074835</v>
      </c>
      <c r="L176" s="60"/>
      <c r="M176" s="60">
        <f ca="1">B165*'Total Duration Tables Sup #2'!B165*1000000/'Updated Population'!B$158</f>
        <v>2.2089379876621034</v>
      </c>
      <c r="N176" s="60">
        <f ca="1">C165*'Total Duration Tables Sup #2'!C165*1000000/'Updated Population'!C$158</f>
        <v>2.2494289778804957</v>
      </c>
      <c r="O176" s="60">
        <f ca="1">D165*'Total Duration Tables Sup #2'!D165*1000000/'Updated Population'!D$158</f>
        <v>2.2624827727208419</v>
      </c>
      <c r="P176" s="60">
        <f ca="1">E165*'Total Duration Tables Sup #2'!E165*1000000/'Updated Population'!E$158</f>
        <v>2.2471348118000973</v>
      </c>
      <c r="Q176" s="60">
        <f ca="1">F165*'Total Duration Tables Sup #2'!F165*1000000/'Updated Population'!F$158</f>
        <v>2.2095589415125798</v>
      </c>
      <c r="R176" s="60">
        <f ca="1">G165*'Total Duration Tables Sup #2'!G165*1000000/'Updated Population'!G$158</f>
        <v>2.1787640576692247</v>
      </c>
      <c r="S176" s="60">
        <f ca="1">H165*'Total Duration Tables Sup #2'!H165*1000000/'Updated Population'!H$158</f>
        <v>2.1441868185074839</v>
      </c>
      <c r="T176" s="59"/>
    </row>
    <row r="177" spans="1:20" x14ac:dyDescent="0.2">
      <c r="A177" s="59" t="s">
        <v>16</v>
      </c>
      <c r="B177" s="60">
        <f ca="1">B188*1000000/'Original Population'!B$169</f>
        <v>7.4529708615441326</v>
      </c>
      <c r="C177" s="60">
        <f ca="1">C188*1000000/'Original Population'!C$169</f>
        <v>6.8491504846725713</v>
      </c>
      <c r="D177" s="60">
        <f ca="1">D188*1000000/'Original Population'!D$169</f>
        <v>6.4574379525276342</v>
      </c>
      <c r="E177" s="60">
        <f ca="1">E188*1000000/'Original Population'!E$169</f>
        <v>6.1890734181002669</v>
      </c>
      <c r="F177" s="60">
        <f ca="1">F188*1000000/'Original Population'!F$169</f>
        <v>5.8864241524154144</v>
      </c>
      <c r="G177" s="60">
        <f ca="1">G188*1000000/'Original Population'!G$169</f>
        <v>5.6580294397802104</v>
      </c>
      <c r="H177" s="60">
        <f ca="1">H188*1000000/'Original Population'!H$169</f>
        <v>5.4373656675090389</v>
      </c>
      <c r="I177" s="60">
        <f t="shared" ca="1" si="17"/>
        <v>5.4373656675090389</v>
      </c>
      <c r="J177" s="60">
        <f t="shared" ca="1" si="17"/>
        <v>5.4373656675090389</v>
      </c>
      <c r="K177" s="60">
        <f t="shared" ca="1" si="17"/>
        <v>5.4373656675090389</v>
      </c>
      <c r="L177" s="60"/>
      <c r="M177" s="60">
        <f ca="1">B166*'Total Duration Tables Sup #2'!B166*1000000/'Updated Population'!B$169</f>
        <v>7.4529708615441326</v>
      </c>
      <c r="N177" s="60">
        <f ca="1">C166*'Total Duration Tables Sup #2'!C166*1000000/'Updated Population'!C$169</f>
        <v>6.8491504846725721</v>
      </c>
      <c r="O177" s="60">
        <f ca="1">D166*'Total Duration Tables Sup #2'!D166*1000000/'Updated Population'!D$169</f>
        <v>6.4574379525276342</v>
      </c>
      <c r="P177" s="60">
        <f ca="1">E166*'Total Duration Tables Sup #2'!E166*1000000/'Updated Population'!E$169</f>
        <v>6.189073418100266</v>
      </c>
      <c r="Q177" s="60">
        <f ca="1">F166*'Total Duration Tables Sup #2'!F166*1000000/'Updated Population'!F$169</f>
        <v>5.8864241524154144</v>
      </c>
      <c r="R177" s="60">
        <f ca="1">G166*'Total Duration Tables Sup #2'!G166*1000000/'Updated Population'!G$169</f>
        <v>5.6580294397802104</v>
      </c>
      <c r="S177" s="60">
        <f ca="1">H166*'Total Duration Tables Sup #2'!H166*1000000/'Updated Population'!H$169</f>
        <v>5.4373656675090389</v>
      </c>
      <c r="T177" s="59"/>
    </row>
    <row r="178" spans="1:20" x14ac:dyDescent="0.2">
      <c r="A178" s="59" t="str">
        <f t="shared" ca="1" si="15"/>
        <v>Local Ferry</v>
      </c>
      <c r="B178" s="60">
        <f ca="1">IF(B189=0,1,B189*1000000/'Original Population'!B$158)</f>
        <v>0.3144068747073126</v>
      </c>
      <c r="C178" s="60">
        <f ca="1">C189*1000000/'Original Population'!C$158</f>
        <v>0.32715839152367088</v>
      </c>
      <c r="D178" s="60">
        <f ca="1">D189*1000000/'Original Population'!D$158</f>
        <v>0.33361770323962719</v>
      </c>
      <c r="E178" s="60">
        <f ca="1">E189*1000000/'Original Population'!E$158</f>
        <v>0.33463842447355652</v>
      </c>
      <c r="F178" s="60">
        <f ca="1">F189*1000000/'Original Population'!F$158</f>
        <v>0.33298351392869857</v>
      </c>
      <c r="G178" s="60">
        <f ca="1">G189*1000000/'Original Population'!G$158</f>
        <v>0.33831417857272755</v>
      </c>
      <c r="H178" s="60">
        <f ca="1">H189*1000000/'Original Population'!H$158</f>
        <v>0.34203824737532812</v>
      </c>
      <c r="I178" s="60">
        <f t="shared" ca="1" si="17"/>
        <v>0.34203824737532812</v>
      </c>
      <c r="J178" s="60">
        <f t="shared" ca="1" si="17"/>
        <v>0.34203824737532812</v>
      </c>
      <c r="K178" s="60">
        <f t="shared" ca="1" si="17"/>
        <v>0.34203824737532812</v>
      </c>
      <c r="L178" s="60"/>
      <c r="M178" s="60">
        <f ca="1">B167*'Total Duration Tables Sup #2'!B167*1000000/'Updated Population'!B$158</f>
        <v>0.3144068747073126</v>
      </c>
      <c r="N178" s="60">
        <f ca="1">C167*'Total Duration Tables Sup #2'!C167*1000000/'Updated Population'!C$158</f>
        <v>0.32715839152367088</v>
      </c>
      <c r="O178" s="60">
        <f ca="1">D167*'Total Duration Tables Sup #2'!D167*1000000/'Updated Population'!D$158</f>
        <v>0.33361770323962719</v>
      </c>
      <c r="P178" s="60">
        <f ca="1">E167*'Total Duration Tables Sup #2'!E167*1000000/'Updated Population'!E$158</f>
        <v>0.33463842447355652</v>
      </c>
      <c r="Q178" s="60">
        <f ca="1">F167*'Total Duration Tables Sup #2'!F167*1000000/'Updated Population'!F$158</f>
        <v>0.33298351392869857</v>
      </c>
      <c r="R178" s="60">
        <f ca="1">G167*'Total Duration Tables Sup #2'!G167*1000000/'Updated Population'!G$158</f>
        <v>0.33831417857272755</v>
      </c>
      <c r="S178" s="60">
        <f ca="1">H167*'Total Duration Tables Sup #2'!H167*1000000/'Updated Population'!H$158</f>
        <v>0.34203824737532812</v>
      </c>
      <c r="T178" s="59"/>
    </row>
    <row r="179" spans="1:20" x14ac:dyDescent="0.2">
      <c r="A179" s="59" t="str">
        <f t="shared" ca="1" si="15"/>
        <v>Other Household Travel</v>
      </c>
      <c r="B179" s="60">
        <f ca="1">B190*1000000/'Original Population'!B$158</f>
        <v>1.2774730935473706</v>
      </c>
      <c r="C179" s="60">
        <f ca="1">C190*1000000/'Original Population'!C$158</f>
        <v>1.2956138330695033</v>
      </c>
      <c r="D179" s="60">
        <f ca="1">D190*1000000/'Original Population'!D$158</f>
        <v>1.309770574988379</v>
      </c>
      <c r="E179" s="60">
        <f ca="1">E190*1000000/'Original Population'!E$158</f>
        <v>1.3025026165744782</v>
      </c>
      <c r="F179" s="60">
        <f ca="1">F190*1000000/'Original Population'!F$158</f>
        <v>1.2906973491822629</v>
      </c>
      <c r="G179" s="60">
        <f ca="1">G190*1000000/'Original Population'!G$158</f>
        <v>1.288290610282617</v>
      </c>
      <c r="H179" s="60">
        <f ca="1">H190*1000000/'Original Population'!H$158</f>
        <v>1.2809521802688515</v>
      </c>
      <c r="I179" s="60">
        <f t="shared" ca="1" si="17"/>
        <v>1.2809521802688515</v>
      </c>
      <c r="J179" s="60">
        <f t="shared" ca="1" si="17"/>
        <v>1.2809521802688515</v>
      </c>
      <c r="K179" s="60">
        <f t="shared" ca="1" si="17"/>
        <v>1.2809521802688515</v>
      </c>
      <c r="L179" s="60"/>
      <c r="M179" s="60">
        <f ca="1">B168*'Total Duration Tables Sup #2'!B168*1000000/'Updated Population'!B$158</f>
        <v>1.2774730935473706</v>
      </c>
      <c r="N179" s="60">
        <f ca="1">C168*'Total Duration Tables Sup #2'!C168*1000000/'Updated Population'!C$158</f>
        <v>1.2956138330695031</v>
      </c>
      <c r="O179" s="60">
        <f ca="1">D168*'Total Duration Tables Sup #2'!D168*1000000/'Updated Population'!D$158</f>
        <v>1.3097705749883792</v>
      </c>
      <c r="P179" s="60">
        <f ca="1">E168*'Total Duration Tables Sup #2'!E168*1000000/'Updated Population'!E$158</f>
        <v>1.3025026165744782</v>
      </c>
      <c r="Q179" s="60">
        <f ca="1">F168*'Total Duration Tables Sup #2'!F168*1000000/'Updated Population'!F$158</f>
        <v>1.2906973491822631</v>
      </c>
      <c r="R179" s="60">
        <f ca="1">G168*'Total Duration Tables Sup #2'!G168*1000000/'Updated Population'!G$158</f>
        <v>1.288290610282617</v>
      </c>
      <c r="S179" s="60">
        <f ca="1">H168*'Total Duration Tables Sup #2'!H168*1000000/'Updated Population'!H$158</f>
        <v>1.2809521802688515</v>
      </c>
      <c r="T179" s="59"/>
    </row>
    <row r="180" spans="1:20" x14ac:dyDescent="0.2">
      <c r="A180" t="s">
        <v>21</v>
      </c>
    </row>
    <row r="181" spans="1:20" x14ac:dyDescent="0.2">
      <c r="A181" t="str">
        <f t="shared" ref="A181:A187" ca="1" si="18">A27</f>
        <v>Pedestrian</v>
      </c>
      <c r="B181" s="4">
        <f ca="1">'Total Duration Tables Original'!B159</f>
        <v>205.0143830817</v>
      </c>
      <c r="C181" s="4">
        <f ca="1">'Total Duration Tables Original'!C159</f>
        <v>215.0200845398</v>
      </c>
      <c r="D181" s="4">
        <f ca="1">'Total Duration Tables Original'!D159</f>
        <v>220.33188891609996</v>
      </c>
      <c r="E181" s="4">
        <f ca="1">'Total Duration Tables Original'!E159</f>
        <v>224.16397149349996</v>
      </c>
      <c r="F181" s="4">
        <f ca="1">'Total Duration Tables Original'!F159</f>
        <v>226.13544971209998</v>
      </c>
      <c r="G181" s="4">
        <f ca="1">'Total Duration Tables Original'!G159</f>
        <v>227.25786686989997</v>
      </c>
      <c r="H181" s="4">
        <f ca="1">'Total Duration Tables Original'!H159</f>
        <v>227.50022261649994</v>
      </c>
      <c r="I181" s="1">
        <f ca="1">'Total Duration Tables Original'!I159</f>
        <v>233.09813966235271</v>
      </c>
      <c r="J181" s="1">
        <f ca="1">'Total Duration Tables Original'!J159</f>
        <v>238.14590078194442</v>
      </c>
      <c r="K181" s="1">
        <f ca="1">'Total Duration Tables Original'!K159</f>
        <v>242.85340373452669</v>
      </c>
    </row>
    <row r="182" spans="1:20" x14ac:dyDescent="0.2">
      <c r="A182" t="str">
        <f t="shared" ca="1" si="18"/>
        <v>Cyclist</v>
      </c>
      <c r="B182" s="4">
        <f ca="1">'Total Duration Tables Original'!B160</f>
        <v>24.928098629399997</v>
      </c>
      <c r="C182" s="4">
        <f ca="1">'Total Duration Tables Original'!C160</f>
        <v>26.862328898999998</v>
      </c>
      <c r="D182" s="4">
        <f ca="1">'Total Duration Tables Original'!D160</f>
        <v>27.827502454700003</v>
      </c>
      <c r="E182" s="4">
        <f ca="1">'Total Duration Tables Original'!E160</f>
        <v>28.442317962299999</v>
      </c>
      <c r="F182" s="4">
        <f ca="1">'Total Duration Tables Original'!F160</f>
        <v>29.3086851459</v>
      </c>
      <c r="G182" s="4">
        <f ca="1">'Total Duration Tables Original'!G160</f>
        <v>30.483041257600004</v>
      </c>
      <c r="H182" s="4">
        <f ca="1">'Total Duration Tables Original'!H160</f>
        <v>31.679230808500002</v>
      </c>
      <c r="I182" s="1">
        <f ca="1">'Total Duration Tables Original'!I160</f>
        <v>32.430278704193377</v>
      </c>
      <c r="J182" s="1">
        <f ca="1">'Total Duration Tables Original'!J160</f>
        <v>33.104056258626613</v>
      </c>
      <c r="K182" s="1">
        <f ca="1">'Total Duration Tables Original'!K160</f>
        <v>33.729921299402271</v>
      </c>
    </row>
    <row r="183" spans="1:20" x14ac:dyDescent="0.2">
      <c r="A183" t="str">
        <f t="shared" ca="1" si="18"/>
        <v>Light Vehicle Driver</v>
      </c>
      <c r="B183" s="4">
        <f ca="1">'Total Duration Tables Original'!B161</f>
        <v>820.39837236829999</v>
      </c>
      <c r="C183" s="4">
        <f ca="1">'Total Duration Tables Original'!C161</f>
        <v>889.90163969809987</v>
      </c>
      <c r="D183" s="4">
        <f ca="1">'Total Duration Tables Original'!D161</f>
        <v>930.50913664589996</v>
      </c>
      <c r="E183" s="4">
        <f ca="1">'Total Duration Tables Original'!E161</f>
        <v>973.49696687570008</v>
      </c>
      <c r="F183" s="4">
        <f ca="1">'Total Duration Tables Original'!F161</f>
        <v>1013.6060478960001</v>
      </c>
      <c r="G183" s="4">
        <f ca="1">'Total Duration Tables Original'!G161</f>
        <v>1044.4078406202</v>
      </c>
      <c r="H183" s="4">
        <f ca="1">'Total Duration Tables Original'!H161</f>
        <v>1070.5539186824999</v>
      </c>
      <c r="I183" s="1">
        <f ca="1">'Total Duration Tables Original'!I161</f>
        <v>1096.2226916038362</v>
      </c>
      <c r="J183" s="1">
        <f ca="1">'Total Duration Tables Original'!J161</f>
        <v>1119.2875566687114</v>
      </c>
      <c r="K183" s="1">
        <f ca="1">'Total Duration Tables Original'!K161</f>
        <v>1140.7392504122261</v>
      </c>
    </row>
    <row r="184" spans="1:20" x14ac:dyDescent="0.2">
      <c r="A184" t="str">
        <f t="shared" ca="1" si="18"/>
        <v>Light Vehicle Passenger</v>
      </c>
      <c r="B184" s="4">
        <f ca="1">'Total Duration Tables Original'!B162</f>
        <v>430.09037615619997</v>
      </c>
      <c r="C184" s="4">
        <f ca="1">'Total Duration Tables Original'!C162</f>
        <v>447.02662392269997</v>
      </c>
      <c r="D184" s="4">
        <f ca="1">'Total Duration Tables Original'!D162</f>
        <v>456.4658529088</v>
      </c>
      <c r="E184" s="4">
        <f ca="1">'Total Duration Tables Original'!E162</f>
        <v>466.49608353550002</v>
      </c>
      <c r="F184" s="4">
        <f ca="1">'Total Duration Tables Original'!F162</f>
        <v>474.17890534629998</v>
      </c>
      <c r="G184" s="4">
        <f ca="1">'Total Duration Tables Original'!G162</f>
        <v>479.14697529649999</v>
      </c>
      <c r="H184" s="4">
        <f ca="1">'Total Duration Tables Original'!H162</f>
        <v>481.68460122730005</v>
      </c>
      <c r="I184" s="1">
        <f ca="1">'Total Duration Tables Original'!I162</f>
        <v>492.98741429688982</v>
      </c>
      <c r="J184" s="1">
        <f ca="1">'Total Duration Tables Original'!J162</f>
        <v>503.10907074539887</v>
      </c>
      <c r="K184" s="1">
        <f ca="1">'Total Duration Tables Original'!K162</f>
        <v>512.49661445491938</v>
      </c>
    </row>
    <row r="185" spans="1:20" x14ac:dyDescent="0.2">
      <c r="A185" t="str">
        <f t="shared" ca="1" si="18"/>
        <v>Taxi/Vehicle Share</v>
      </c>
      <c r="B185" s="4">
        <f ca="1">'Total Duration Tables Original'!B163</f>
        <v>4.6704390591000005</v>
      </c>
      <c r="C185" s="4">
        <f ca="1">'Total Duration Tables Original'!C163</f>
        <v>5.2816369763000006</v>
      </c>
      <c r="D185" s="4">
        <f ca="1">'Total Duration Tables Original'!D163</f>
        <v>5.7616648724999999</v>
      </c>
      <c r="E185" s="4">
        <f ca="1">'Total Duration Tables Original'!E163</f>
        <v>6.2055127509000005</v>
      </c>
      <c r="F185" s="4">
        <f ca="1">'Total Duration Tables Original'!F163</f>
        <v>6.5930895307999995</v>
      </c>
      <c r="G185" s="4">
        <f ca="1">'Total Duration Tables Original'!G163</f>
        <v>6.8648711915999989</v>
      </c>
      <c r="H185" s="4">
        <f ca="1">'Total Duration Tables Original'!H163</f>
        <v>7.1071100990000016</v>
      </c>
      <c r="I185" s="1">
        <f ca="1">'Total Duration Tables Original'!I163</f>
        <v>7.2938131172173879</v>
      </c>
      <c r="J185" s="1">
        <f ca="1">'Total Duration Tables Original'!J163</f>
        <v>7.4640995541480963</v>
      </c>
      <c r="K185" s="1">
        <f ca="1">'Total Duration Tables Original'!K163</f>
        <v>7.6244725311577559</v>
      </c>
    </row>
    <row r="186" spans="1:20" x14ac:dyDescent="0.2">
      <c r="A186" t="str">
        <f t="shared" ca="1" si="18"/>
        <v>Motorcyclist</v>
      </c>
      <c r="B186" s="4">
        <f ca="1">'Total Duration Tables Original'!B164</f>
        <v>6.0136150244</v>
      </c>
      <c r="C186" s="4">
        <f ca="1">'Total Duration Tables Original'!C164</f>
        <v>6.4167768385999997</v>
      </c>
      <c r="D186" s="4">
        <f ca="1">'Total Duration Tables Original'!D164</f>
        <v>6.6120172757999995</v>
      </c>
      <c r="E186" s="4">
        <f ca="1">'Total Duration Tables Original'!E164</f>
        <v>6.7866105664999985</v>
      </c>
      <c r="F186" s="4">
        <f ca="1">'Total Duration Tables Original'!F164</f>
        <v>6.9340350858999997</v>
      </c>
      <c r="G186" s="4">
        <f ca="1">'Total Duration Tables Original'!G164</f>
        <v>6.9823630740000011</v>
      </c>
      <c r="H186" s="4">
        <f ca="1">'Total Duration Tables Original'!H164</f>
        <v>6.9886714640000003</v>
      </c>
      <c r="I186" s="1">
        <f ca="1">'Total Duration Tables Original'!I164</f>
        <v>7.1297008954016841</v>
      </c>
      <c r="J186" s="1">
        <f ca="1">'Total Duration Tables Original'!J164</f>
        <v>7.2529125252478757</v>
      </c>
      <c r="K186" s="1">
        <f ca="1">'Total Duration Tables Original'!K164</f>
        <v>7.3649190176868071</v>
      </c>
    </row>
    <row r="187" spans="1:20" x14ac:dyDescent="0.2">
      <c r="A187" t="str">
        <f t="shared" ca="1" si="18"/>
        <v>Local Train</v>
      </c>
      <c r="B187" s="4">
        <f ca="1">'Total Duration Tables Original'!B22+'Total Duration Tables Original'!B99</f>
        <v>9.8112189659999984</v>
      </c>
      <c r="C187" s="4">
        <f ca="1">'Total Duration Tables Original'!C22+'Total Duration Tables Original'!C99</f>
        <v>10.6575695543</v>
      </c>
      <c r="D187" s="4">
        <f ca="1">'Total Duration Tables Original'!D22+'Total Duration Tables Original'!D99</f>
        <v>11.194991007700001</v>
      </c>
      <c r="E187" s="4">
        <f ca="1">'Total Duration Tables Original'!E22+'Total Duration Tables Original'!E99</f>
        <v>11.578362117800001</v>
      </c>
      <c r="F187" s="4">
        <f ca="1">'Total Duration Tables Original'!F22+'Total Duration Tables Original'!F99</f>
        <v>11.794404673900001</v>
      </c>
      <c r="G187" s="4">
        <f ca="1">'Total Duration Tables Original'!G22+'Total Duration Tables Original'!G99</f>
        <v>11.980152047499999</v>
      </c>
      <c r="H187" s="4">
        <f ca="1">'Total Duration Tables Original'!H22+'Total Duration Tables Original'!H99</f>
        <v>12.0906406322</v>
      </c>
      <c r="I187" s="1">
        <f ca="1">'Total Duration Tables Original'!I22+'Total Duration Tables Original'!I99</f>
        <v>12.413707442441495</v>
      </c>
      <c r="J187" s="1">
        <f ca="1">'Total Duration Tables Original'!J22+'Total Duration Tables Original'!J99</f>
        <v>12.708116588166764</v>
      </c>
      <c r="K187" s="1">
        <f ca="1">'Total Duration Tables Original'!K22+'Total Duration Tables Original'!K99</f>
        <v>12.984920042230769</v>
      </c>
    </row>
    <row r="188" spans="1:20" x14ac:dyDescent="0.2">
      <c r="A188" t="s">
        <v>16</v>
      </c>
      <c r="B188" s="4">
        <f ca="1">'Total Duration Tables Original'!B12+'Total Duration Tables Original'!B34+'Total Duration Tables Original'!B45+'Total Duration Tables Original'!B56+'Total Duration Tables Original'!B67+'Total Duration Tables Original'!B78+'Total Duration Tables Original'!B89+'Total Duration Tables Original'!B111+'Total Duration Tables Original'!B122+'Total Duration Tables Original'!B144+'Total Duration Tables Original'!B155</f>
        <v>14.151701071899998</v>
      </c>
      <c r="C188" s="4">
        <f ca="1">'Total Duration Tables Original'!C12+'Total Duration Tables Original'!C34+'Total Duration Tables Original'!C45+'Total Duration Tables Original'!C56+'Total Duration Tables Original'!C67+'Total Duration Tables Original'!C78+'Total Duration Tables Original'!C89+'Total Duration Tables Original'!C111+'Total Duration Tables Original'!C122+'Total Duration Tables Original'!C144+'Total Duration Tables Original'!C155</f>
        <v>13.627742997499999</v>
      </c>
      <c r="D188" s="4">
        <f ca="1">'Total Duration Tables Original'!D12+'Total Duration Tables Original'!D34+'Total Duration Tables Original'!D45+'Total Duration Tables Original'!D56+'Total Duration Tables Original'!D67+'Total Duration Tables Original'!D78+'Total Duration Tables Original'!D89+'Total Duration Tables Original'!D111+'Total Duration Tables Original'!D122+'Total Duration Tables Original'!D144+'Total Duration Tables Original'!D155</f>
        <v>13.2467613991</v>
      </c>
      <c r="E188" s="4">
        <f ca="1">'Total Duration Tables Original'!E12+'Total Duration Tables Original'!E34+'Total Duration Tables Original'!E45+'Total Duration Tables Original'!E56+'Total Duration Tables Original'!E67+'Total Duration Tables Original'!E78+'Total Duration Tables Original'!E89+'Total Duration Tables Original'!E111+'Total Duration Tables Original'!E122+'Total Duration Tables Original'!E144+'Total Duration Tables Original'!E155</f>
        <v>13.048537126300001</v>
      </c>
      <c r="F188" s="4">
        <f ca="1">'Total Duration Tables Original'!F12+'Total Duration Tables Original'!F34+'Total Duration Tables Original'!F45+'Total Duration Tables Original'!F56+'Total Duration Tables Original'!F67+'Total Duration Tables Original'!F78+'Total Duration Tables Original'!F89+'Total Duration Tables Original'!F111+'Total Duration Tables Original'!F122+'Total Duration Tables Original'!F144+'Total Duration Tables Original'!F155</f>
        <v>12.684625286200001</v>
      </c>
      <c r="G188" s="4">
        <f ca="1">'Total Duration Tables Original'!G12+'Total Duration Tables Original'!G34+'Total Duration Tables Original'!G45+'Total Duration Tables Original'!G56+'Total Duration Tables Original'!G67+'Total Duration Tables Original'!G78+'Total Duration Tables Original'!G89+'Total Duration Tables Original'!G111+'Total Duration Tables Original'!G122+'Total Duration Tables Original'!G144+'Total Duration Tables Original'!G155</f>
        <v>12.3857215086</v>
      </c>
      <c r="H188" s="4">
        <f ca="1">'Total Duration Tables Original'!H12+'Total Duration Tables Original'!H34+'Total Duration Tables Original'!H45+'Total Duration Tables Original'!H56+'Total Duration Tables Original'!H67+'Total Duration Tables Original'!H78+'Total Duration Tables Original'!H89+'Total Duration Tables Original'!H111+'Total Duration Tables Original'!H122+'Total Duration Tables Original'!H144+'Total Duration Tables Original'!H155</f>
        <v>12.0350077961</v>
      </c>
      <c r="I188" s="1">
        <f ca="1">'Total Duration Tables Original'!I12+'Total Duration Tables Original'!I34+'Total Duration Tables Original'!I45+'Total Duration Tables Original'!I56+'Total Duration Tables Original'!I67+'Total Duration Tables Original'!I78+'Total Duration Tables Original'!I89+'Total Duration Tables Original'!I111+'Total Duration Tables Original'!I122+'Total Duration Tables Original'!I144+'Total Duration Tables Original'!I155</f>
        <v>12.153350329272556</v>
      </c>
      <c r="J188" s="1">
        <f ca="1">'Total Duration Tables Original'!J12+'Total Duration Tables Original'!J34+'Total Duration Tables Original'!J45+'Total Duration Tables Original'!J56+'Total Duration Tables Original'!J67+'Total Duration Tables Original'!J78+'Total Duration Tables Original'!J89+'Total Duration Tables Original'!J111+'Total Duration Tables Original'!J122+'Total Duration Tables Original'!J144+'Total Duration Tables Original'!J155</f>
        <v>12.237204374829908</v>
      </c>
      <c r="K188" s="1">
        <f ca="1">'Total Duration Tables Original'!K12+'Total Duration Tables Original'!K34+'Total Duration Tables Original'!K45+'Total Duration Tables Original'!K56+'Total Duration Tables Original'!K67+'Total Duration Tables Original'!K78+'Total Duration Tables Original'!K89+'Total Duration Tables Original'!K111+'Total Duration Tables Original'!K122+'Total Duration Tables Original'!K144+'Total Duration Tables Original'!K155</f>
        <v>12.298602630523625</v>
      </c>
    </row>
    <row r="189" spans="1:20" x14ac:dyDescent="0.2">
      <c r="A189" t="str">
        <f ca="1">A35</f>
        <v>Local Ferry</v>
      </c>
      <c r="B189" s="4">
        <f ca="1">'Total Duration Tables Original'!B167</f>
        <v>1.3964695746999998</v>
      </c>
      <c r="C189" s="4">
        <f ca="1">'Total Duration Tables Original'!C167</f>
        <v>1.5500437432</v>
      </c>
      <c r="D189" s="4">
        <f ca="1">'Total Duration Tables Original'!D167</f>
        <v>1.6507737573999999</v>
      </c>
      <c r="E189" s="4">
        <f ca="1">'Total Duration Tables Original'!E167</f>
        <v>1.7242244820999999</v>
      </c>
      <c r="F189" s="4">
        <f ca="1">'Total Duration Tables Original'!F167</f>
        <v>1.777432699</v>
      </c>
      <c r="G189" s="4">
        <f ca="1">'Total Duration Tables Original'!G167</f>
        <v>1.8602543423000002</v>
      </c>
      <c r="H189" s="4">
        <f ca="1">'Total Duration Tables Original'!H167</f>
        <v>1.9286852693000001</v>
      </c>
      <c r="I189" s="1">
        <f ca="1">'Total Duration Tables Original'!I167</f>
        <v>1.9880406221344018</v>
      </c>
      <c r="J189" s="1">
        <f ca="1">'Total Duration Tables Original'!J167</f>
        <v>2.0431967992363025</v>
      </c>
      <c r="K189" s="1">
        <f ca="1">'Total Duration Tables Original'!K167</f>
        <v>2.0958728030235414</v>
      </c>
    </row>
    <row r="190" spans="1:20" x14ac:dyDescent="0.2">
      <c r="A190" t="str">
        <f ca="1">A36</f>
        <v>Other Household Travel</v>
      </c>
      <c r="B190" s="4">
        <f ca="1">'Total Duration Tables Original'!B168</f>
        <v>5.6740244923000009</v>
      </c>
      <c r="C190" s="4">
        <f ca="1">'Total Duration Tables Original'!C168</f>
        <v>6.1384887797000003</v>
      </c>
      <c r="D190" s="4">
        <f ca="1">'Total Duration Tables Original'!D168</f>
        <v>6.4808757820999991</v>
      </c>
      <c r="E190" s="4">
        <f ca="1">'Total Duration Tables Original'!E168</f>
        <v>6.7111447318999993</v>
      </c>
      <c r="F190" s="4">
        <f ca="1">'Total Duration Tables Original'!F168</f>
        <v>6.8896133802000001</v>
      </c>
      <c r="G190" s="4">
        <f ca="1">'Total Duration Tables Original'!G168</f>
        <v>7.0837947497</v>
      </c>
      <c r="H190" s="4">
        <f ca="1">'Total Duration Tables Original'!H168</f>
        <v>7.2230331540999995</v>
      </c>
      <c r="I190" s="1">
        <f ca="1">'Total Duration Tables Original'!I168</f>
        <v>7.4102632699396951</v>
      </c>
      <c r="J190" s="1">
        <f ca="1">'Total Duration Tables Original'!J168</f>
        <v>7.5803779899121952</v>
      </c>
      <c r="K190" s="1">
        <f ca="1">'Total Duration Tables Original'!K168</f>
        <v>7.7399852214007367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77:H17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K190"/>
  <sheetViews>
    <sheetView workbookViewId="0">
      <selection activeCell="B22" sqref="B22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14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OFFSET(Northland_Reference,0,7)</f>
        <v>5.0772161771000004</v>
      </c>
      <c r="C5" s="4">
        <f ca="1">OFFSET(Northland_Reference,1,7)</f>
        <v>5.1366717068999996</v>
      </c>
      <c r="D5" s="4">
        <f ca="1">OFFSET(Northland_Reference,2,7)</f>
        <v>5.1331206324999998</v>
      </c>
      <c r="E5" s="4">
        <f ca="1">OFFSET(Northland_Reference,3,7)</f>
        <v>5.0875962971000002</v>
      </c>
      <c r="F5" s="4">
        <f ca="1">OFFSET(Northland_Reference,4,7)</f>
        <v>4.9752177157000004</v>
      </c>
      <c r="G5" s="4">
        <f ca="1">OFFSET(Northland_Reference,5,7)</f>
        <v>4.8028862178000002</v>
      </c>
      <c r="H5" s="4">
        <f ca="1">OFFSET(Northland_Reference,6,7)</f>
        <v>4.6108281109</v>
      </c>
      <c r="I5" s="1">
        <f ca="1">H5*('Updated Population'!I$4/'Updated Population'!H$4)</f>
        <v>4.6746848506998546</v>
      </c>
      <c r="J5" s="1">
        <f ca="1">I5*('Updated Population'!J$4/'Updated Population'!I$4)</f>
        <v>4.7262344802521046</v>
      </c>
      <c r="K5" s="1">
        <f ca="1">J5*('Updated Population'!K$4/'Updated Population'!J$4)</f>
        <v>4.7700317523665152</v>
      </c>
    </row>
    <row r="6" spans="1:11" x14ac:dyDescent="0.2">
      <c r="A6" t="str">
        <f ca="1">OFFSET(Northland_Reference,7,2)</f>
        <v>Cyclist</v>
      </c>
      <c r="B6" s="4">
        <f ca="1">OFFSET(Northland_Reference,7,7)</f>
        <v>0.15772883609999999</v>
      </c>
      <c r="C6" s="4">
        <f ca="1">OFFSET(Northland_Reference,8,7)</f>
        <v>0.14998056870000001</v>
      </c>
      <c r="D6" s="4">
        <f ca="1">OFFSET(Northland_Reference,9,7)</f>
        <v>0.1543567381</v>
      </c>
      <c r="E6" s="4">
        <f ca="1">OFFSET(Northland_Reference,10,7)</f>
        <v>0.1526580649</v>
      </c>
      <c r="F6" s="4">
        <f ca="1">OFFSET(Northland_Reference,11,7)</f>
        <v>0.1446068908</v>
      </c>
      <c r="G6" s="4">
        <f ca="1">OFFSET(Northland_Reference,12,7)</f>
        <v>0.121956184</v>
      </c>
      <c r="H6" s="4">
        <f ca="1">OFFSET(Northland_Reference,13,7)</f>
        <v>0.1007832583</v>
      </c>
      <c r="I6" s="1">
        <f ca="1">H6*('Updated Population'!I$4/'Updated Population'!H$4)</f>
        <v>0.10217903583641058</v>
      </c>
      <c r="J6" s="1">
        <f ca="1">I6*('Updated Population'!J$4/'Updated Population'!I$4)</f>
        <v>0.10330580515104885</v>
      </c>
      <c r="K6" s="1">
        <f ca="1">J6*('Updated Population'!K$4/'Updated Population'!J$4)</f>
        <v>0.10426312381098919</v>
      </c>
    </row>
    <row r="7" spans="1:11" x14ac:dyDescent="0.2">
      <c r="A7" t="str">
        <f ca="1">OFFSET(Northland_Reference,14,2)</f>
        <v>Light Vehicle Driver</v>
      </c>
      <c r="B7" s="4">
        <f ca="1">OFFSET(Northland_Reference,14,7)</f>
        <v>23.421840091</v>
      </c>
      <c r="C7" s="4">
        <f ca="1">OFFSET(Northland_Reference,15,7)</f>
        <v>24.805095076000001</v>
      </c>
      <c r="D7" s="4">
        <f ca="1">OFFSET(Northland_Reference,16,7)</f>
        <v>25.537103938000001</v>
      </c>
      <c r="E7" s="4">
        <f ca="1">OFFSET(Northland_Reference,17,7)</f>
        <v>26.428384068</v>
      </c>
      <c r="F7" s="4">
        <f ca="1">OFFSET(Northland_Reference,18,7)</f>
        <v>27.296708428999999</v>
      </c>
      <c r="G7" s="4">
        <f ca="1">OFFSET(Northland_Reference,19,7)</f>
        <v>27.810402643</v>
      </c>
      <c r="H7" s="4">
        <f ca="1">OFFSET(Northland_Reference,20,7)</f>
        <v>28.196575898999999</v>
      </c>
      <c r="I7" s="1">
        <f ca="1">H7*('Updated Population'!I$4/'Updated Population'!H$4)</f>
        <v>28.587078725633855</v>
      </c>
      <c r="J7" s="1">
        <f ca="1">I7*('Updated Population'!J$4/'Updated Population'!I$4)</f>
        <v>28.902319937684076</v>
      </c>
      <c r="K7" s="1">
        <f ca="1">J7*('Updated Population'!K$4/'Updated Population'!J$4)</f>
        <v>29.17015319401904</v>
      </c>
    </row>
    <row r="8" spans="1:11" x14ac:dyDescent="0.2">
      <c r="A8" t="str">
        <f ca="1">OFFSET(Northland_Reference,21,2)</f>
        <v>Light Vehicle Passenger</v>
      </c>
      <c r="B8" s="4">
        <f ca="1">OFFSET(Northland_Reference,21,7)</f>
        <v>15.174949781</v>
      </c>
      <c r="C8" s="4">
        <f ca="1">OFFSET(Northland_Reference,22,7)</f>
        <v>15.404934486</v>
      </c>
      <c r="D8" s="4">
        <f ca="1">OFFSET(Northland_Reference,23,7)</f>
        <v>15.467226911999999</v>
      </c>
      <c r="E8" s="4">
        <f ca="1">OFFSET(Northland_Reference,24,7)</f>
        <v>15.657848668</v>
      </c>
      <c r="F8" s="4">
        <f ca="1">OFFSET(Northland_Reference,25,7)</f>
        <v>15.799028680999999</v>
      </c>
      <c r="G8" s="4">
        <f ca="1">OFFSET(Northland_Reference,26,7)</f>
        <v>15.822855904000001</v>
      </c>
      <c r="H8" s="4">
        <f ca="1">OFFSET(Northland_Reference,27,7)</f>
        <v>15.793590046</v>
      </c>
      <c r="I8" s="1">
        <f ca="1">H8*('Updated Population'!I$4/'Updated Population'!H$4)</f>
        <v>16.012320205922649</v>
      </c>
      <c r="J8" s="1">
        <f ca="1">I8*('Updated Population'!J$4/'Updated Population'!I$4)</f>
        <v>16.188894499431171</v>
      </c>
      <c r="K8" s="1">
        <f ca="1">J8*('Updated Population'!K$4/'Updated Population'!J$4)</f>
        <v>16.338914440376897</v>
      </c>
    </row>
    <row r="9" spans="1:11" x14ac:dyDescent="0.2">
      <c r="A9" t="str">
        <f ca="1">OFFSET(Northland_Reference,28,2)</f>
        <v>Taxi/Vehicle Share</v>
      </c>
      <c r="B9" s="4">
        <f ca="1">OFFSET(Northland_Reference,28,7)</f>
        <v>2.5131369800000001E-2</v>
      </c>
      <c r="C9" s="4">
        <f ca="1">OFFSET(Northland_Reference,29,7)</f>
        <v>2.5206432899999999E-2</v>
      </c>
      <c r="D9" s="4">
        <f ca="1">OFFSET(Northland_Reference,30,7)</f>
        <v>2.65194121E-2</v>
      </c>
      <c r="E9" s="4">
        <f ca="1">OFFSET(Northland_Reference,31,7)</f>
        <v>2.95729744E-2</v>
      </c>
      <c r="F9" s="4">
        <f ca="1">OFFSET(Northland_Reference,32,7)</f>
        <v>3.0875840099999999E-2</v>
      </c>
      <c r="G9" s="4">
        <f ca="1">OFFSET(Northland_Reference,33,7)</f>
        <v>3.0098517200000001E-2</v>
      </c>
      <c r="H9" s="4">
        <f ca="1">OFFSET(Northland_Reference,34,7)</f>
        <v>2.9121961700000001E-2</v>
      </c>
      <c r="I9" s="1">
        <f ca="1">H9*('Updated Population'!I$4/'Updated Population'!H$4)</f>
        <v>2.9525280471814994E-2</v>
      </c>
      <c r="J9" s="1">
        <f ca="1">I9*('Updated Population'!J$4/'Updated Population'!I$4)</f>
        <v>2.9850867611773847E-2</v>
      </c>
      <c r="K9" s="1">
        <f ca="1">J9*('Updated Population'!K$4/'Updated Population'!J$4)</f>
        <v>3.0127490910323004E-2</v>
      </c>
    </row>
    <row r="10" spans="1:11" x14ac:dyDescent="0.2">
      <c r="A10" t="str">
        <f ca="1">OFFSET(Northland_Reference,35,2)</f>
        <v>Motorcyclist</v>
      </c>
      <c r="B10" s="4">
        <f ca="1">OFFSET(Northland_Reference,35,7)</f>
        <v>0.28382488960000002</v>
      </c>
      <c r="C10" s="4">
        <f ca="1">OFFSET(Northland_Reference,36,7)</f>
        <v>0.29572600589999998</v>
      </c>
      <c r="D10" s="4">
        <f ca="1">OFFSET(Northland_Reference,37,7)</f>
        <v>0.29168247580000001</v>
      </c>
      <c r="E10" s="4">
        <f ca="1">OFFSET(Northland_Reference,38,7)</f>
        <v>0.2839886566</v>
      </c>
      <c r="F10" s="4">
        <f ca="1">OFFSET(Northland_Reference,39,7)</f>
        <v>0.28305456089999997</v>
      </c>
      <c r="G10" s="4">
        <f ca="1">OFFSET(Northland_Reference,40,7)</f>
        <v>0.28946466040000002</v>
      </c>
      <c r="H10" s="4">
        <f ca="1">OFFSET(Northland_Reference,41,7)</f>
        <v>0.2917350132</v>
      </c>
      <c r="I10" s="1">
        <f ca="1">H10*('Updated Population'!I$4/'Updated Population'!H$4)</f>
        <v>0.29577533879452389</v>
      </c>
      <c r="J10" s="1">
        <f ca="1">I10*('Updated Population'!J$4/'Updated Population'!I$4)</f>
        <v>0.29903697238748495</v>
      </c>
      <c r="K10" s="1">
        <f ca="1">J10*('Updated Population'!K$4/'Updated Population'!J$4)</f>
        <v>0.30180810101147687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OFFSET(Northland_Reference,42,7)</f>
        <v>1.5691203781</v>
      </c>
      <c r="C12" s="4">
        <f ca="1">OFFSET(Northland_Reference,43,7)</f>
        <v>1.4279936769999999</v>
      </c>
      <c r="D12" s="4">
        <f ca="1">OFFSET(Northland_Reference,44,7)</f>
        <v>1.3358259884000001</v>
      </c>
      <c r="E12" s="4">
        <f ca="1">OFFSET(Northland_Reference,45,7)</f>
        <v>1.2512532846</v>
      </c>
      <c r="F12" s="4">
        <f ca="1">OFFSET(Northland_Reference,46,7)</f>
        <v>1.1680337102</v>
      </c>
      <c r="G12" s="4">
        <f ca="1">OFFSET(Northland_Reference,47,7)</f>
        <v>1.0951688941</v>
      </c>
      <c r="H12" s="4">
        <f ca="1">OFFSET(Northland_Reference,48,7)</f>
        <v>1.0189326635</v>
      </c>
      <c r="I12" s="1">
        <f ca="1">H12*('Updated Population'!I$4/'Updated Population'!H$4)</f>
        <v>1.0330441672042645</v>
      </c>
      <c r="J12" s="1">
        <f ca="1">I12*('Updated Population'!J$4/'Updated Population'!I$4)</f>
        <v>1.044435960625915</v>
      </c>
      <c r="K12" s="1">
        <f ca="1">J12*('Updated Population'!K$4/'Updated Population'!J$4)</f>
        <v>1.0541145845208448</v>
      </c>
    </row>
    <row r="13" spans="1:11" x14ac:dyDescent="0.2">
      <c r="A13" t="str">
        <f ca="1">OFFSET(Northland_Reference,49,2)</f>
        <v>Local Ferry</v>
      </c>
      <c r="B13" s="4">
        <f ca="1">OFFSET(Northland_Reference,49,7)</f>
        <v>1.43058123E-2</v>
      </c>
      <c r="C13" s="4">
        <f ca="1">OFFSET(Northland_Reference,50,7)</f>
        <v>1.49288728E-2</v>
      </c>
      <c r="D13" s="4">
        <f ca="1">OFFSET(Northland_Reference,51,7)</f>
        <v>1.47405991E-2</v>
      </c>
      <c r="E13" s="4">
        <f ca="1">OFFSET(Northland_Reference,52,7)</f>
        <v>1.4722521800000001E-2</v>
      </c>
      <c r="F13" s="4">
        <f ca="1">OFFSET(Northland_Reference,53,7)</f>
        <v>1.4104986200000001E-2</v>
      </c>
      <c r="G13" s="4">
        <f ca="1">OFFSET(Northland_Reference,54,7)</f>
        <v>1.30236156E-2</v>
      </c>
      <c r="H13" s="4">
        <f ca="1">OFFSET(Northland_Reference,55,7)</f>
        <v>1.19629123E-2</v>
      </c>
      <c r="I13" s="1">
        <f ca="1">H13*('Updated Population'!I$4/'Updated Population'!H$4)</f>
        <v>1.2128590256240374E-2</v>
      </c>
      <c r="J13" s="1">
        <f ca="1">I13*('Updated Population'!J$4/'Updated Population'!I$4)</f>
        <v>1.2262337097935299E-2</v>
      </c>
      <c r="K13" s="1">
        <f ca="1">J13*('Updated Population'!K$4/'Updated Population'!J$4)</f>
        <v>1.2375970248571587E-2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OFFSET(Northland_Reference,56,7)</f>
        <v>0</v>
      </c>
      <c r="C14" s="4">
        <f ca="1">OFFSET(Northland_Reference,57,7)</f>
        <v>0</v>
      </c>
      <c r="D14" s="4">
        <f ca="1">OFFSET(Northland_Reference,58,7)</f>
        <v>0</v>
      </c>
      <c r="E14" s="4">
        <f ca="1">OFFSET(Northland_Reference,59,7)</f>
        <v>0</v>
      </c>
      <c r="F14" s="4">
        <f ca="1">OFFSET(Northland_Reference,60,7)</f>
        <v>0</v>
      </c>
      <c r="G14" s="4">
        <f ca="1">OFFSET(Northland_Reference,61,7)</f>
        <v>0</v>
      </c>
      <c r="H14" s="4">
        <f ca="1">OFFSET(Northland_Reference,62,7)</f>
        <v>0</v>
      </c>
      <c r="I14" s="1">
        <f ca="1">H14*('Updated Population'!I$4/'Updated Population'!H$4)</f>
        <v>0</v>
      </c>
      <c r="J14" s="1">
        <f ca="1">I14*('Updated Population'!J$4/'Updated Population'!I$4)</f>
        <v>0</v>
      </c>
      <c r="K14" s="1">
        <f ca="1">J14*('Updated Population'!K$4/'Updated Population'!J$4)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OFFSET(Auckland_Reference,0,7)</f>
        <v>73.381071999</v>
      </c>
      <c r="C16" s="4">
        <f ca="1">OFFSET(Auckland_Reference,1,7)</f>
        <v>77.572461533999999</v>
      </c>
      <c r="D16" s="4">
        <f ca="1">OFFSET(Auckland_Reference,2,7)</f>
        <v>80.122141310999993</v>
      </c>
      <c r="E16" s="4">
        <f ca="1">OFFSET(Auckland_Reference,3,7)</f>
        <v>81.803245849999996</v>
      </c>
      <c r="F16" s="4">
        <f ca="1">OFFSET(Auckland_Reference,4,7)</f>
        <v>82.870065775</v>
      </c>
      <c r="G16" s="4">
        <f ca="1">OFFSET(Auckland_Reference,5,7)</f>
        <v>83.833278840999995</v>
      </c>
      <c r="H16" s="4">
        <f ca="1">OFFSET(Auckland_Reference,6,7)</f>
        <v>84.244346922999995</v>
      </c>
      <c r="I16" s="1">
        <f ca="1">H16*('Updated Population'!I$15/'Updated Population'!H$15)</f>
        <v>87.024407355258603</v>
      </c>
      <c r="J16" s="1">
        <f ca="1">I16*('Updated Population'!J$15/'Updated Population'!I$15)</f>
        <v>89.629942017497285</v>
      </c>
      <c r="K16" s="1">
        <f ca="1">J16*('Updated Population'!K$15/'Updated Population'!J$15)</f>
        <v>92.135133157556723</v>
      </c>
    </row>
    <row r="17" spans="1:11" x14ac:dyDescent="0.2">
      <c r="A17" t="str">
        <f ca="1">OFFSET(Auckland_Reference,7,2)</f>
        <v>Cyclist</v>
      </c>
      <c r="B17" s="4">
        <f ca="1">OFFSET(Auckland_Reference,7,7)</f>
        <v>4.3659429593999999</v>
      </c>
      <c r="C17" s="4">
        <f ca="1">OFFSET(Auckland_Reference,8,7)</f>
        <v>4.7912840522</v>
      </c>
      <c r="D17" s="4">
        <f ca="1">OFFSET(Auckland_Reference,9,7)</f>
        <v>5.0664519384000002</v>
      </c>
      <c r="E17" s="4">
        <f ca="1">OFFSET(Auckland_Reference,10,7)</f>
        <v>5.2966971160999998</v>
      </c>
      <c r="F17" s="4">
        <f ca="1">OFFSET(Auckland_Reference,11,7)</f>
        <v>5.5772602733000003</v>
      </c>
      <c r="G17" s="4">
        <f ca="1">OFFSET(Auckland_Reference,12,7)</f>
        <v>6.0052062975</v>
      </c>
      <c r="H17" s="4">
        <f ca="1">OFFSET(Auckland_Reference,13,7)</f>
        <v>6.4346472009999998</v>
      </c>
      <c r="I17" s="1">
        <f ca="1">H17*('Updated Population'!I$15/'Updated Population'!H$15)</f>
        <v>6.6469903282533229</v>
      </c>
      <c r="J17" s="1">
        <f ca="1">I17*('Updated Population'!J$15/'Updated Population'!I$15)</f>
        <v>6.8460030446413622</v>
      </c>
      <c r="K17" s="1">
        <f ca="1">J17*('Updated Population'!K$15/'Updated Population'!J$15)</f>
        <v>7.037351446595113</v>
      </c>
    </row>
    <row r="18" spans="1:11" x14ac:dyDescent="0.2">
      <c r="A18" t="str">
        <f ca="1">OFFSET(Auckland_Reference,14,2)</f>
        <v>Light Vehicle Driver</v>
      </c>
      <c r="B18" s="4">
        <f ca="1">OFFSET(Auckland_Reference,14,7)</f>
        <v>295.36669345000001</v>
      </c>
      <c r="C18" s="4">
        <f ca="1">OFFSET(Auckland_Reference,15,7)</f>
        <v>323.24559554000001</v>
      </c>
      <c r="D18" s="4">
        <f ca="1">OFFSET(Auckland_Reference,16,7)</f>
        <v>338.51156032</v>
      </c>
      <c r="E18" s="4">
        <f ca="1">OFFSET(Auckland_Reference,17,7)</f>
        <v>353.38200726000002</v>
      </c>
      <c r="F18" s="4">
        <f ca="1">OFFSET(Auckland_Reference,18,7)</f>
        <v>368.85119050999998</v>
      </c>
      <c r="G18" s="4">
        <f ca="1">OFFSET(Auckland_Reference,19,7)</f>
        <v>382.39832824000001</v>
      </c>
      <c r="H18" s="4">
        <f ca="1">OFFSET(Auckland_Reference,20,7)</f>
        <v>394.00518577000003</v>
      </c>
      <c r="I18" s="1">
        <f ca="1">H18*('Updated Population'!I$15/'Updated Population'!H$15)</f>
        <v>407.00734279384221</v>
      </c>
      <c r="J18" s="1">
        <f ca="1">I18*('Updated Population'!J$15/'Updated Population'!I$15)</f>
        <v>419.19325444395969</v>
      </c>
      <c r="K18" s="1">
        <f ca="1">J18*('Updated Population'!K$15/'Updated Population'!J$15)</f>
        <v>430.90986614053628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OFFSET(Auckland_Reference,21,7)</f>
        <v>145.42645436999999</v>
      </c>
      <c r="C19" s="4">
        <f ca="1">OFFSET(Auckland_Reference,22,7)</f>
        <v>152.86478138000001</v>
      </c>
      <c r="D19" s="4">
        <f ca="1">OFFSET(Auckland_Reference,23,7)</f>
        <v>157.45772586999999</v>
      </c>
      <c r="E19" s="4">
        <f ca="1">OFFSET(Auckland_Reference,24,7)</f>
        <v>161.71140356000001</v>
      </c>
      <c r="F19" s="4">
        <f ca="1">OFFSET(Auckland_Reference,25,7)</f>
        <v>165.25604976</v>
      </c>
      <c r="G19" s="4">
        <f ca="1">OFFSET(Auckland_Reference,26,7)</f>
        <v>168.15155067000001</v>
      </c>
      <c r="H19" s="4">
        <f ca="1">OFFSET(Auckland_Reference,27,7)</f>
        <v>170.07514386</v>
      </c>
      <c r="I19" s="1">
        <f ca="1">H19*('Updated Population'!I$15/'Updated Population'!H$15)</f>
        <v>175.68761751817954</v>
      </c>
      <c r="J19" s="1">
        <f ca="1">I19*('Updated Population'!J$15/'Updated Population'!I$15)</f>
        <v>180.9477530489053</v>
      </c>
      <c r="K19" s="1">
        <f ca="1">J19*('Updated Population'!K$15/'Updated Population'!J$15)</f>
        <v>186.00531191314386</v>
      </c>
    </row>
    <row r="20" spans="1:11" x14ac:dyDescent="0.2">
      <c r="A20" t="str">
        <f ca="1">OFFSET(Auckland_Reference,28,2)</f>
        <v>Taxi/Vehicle Share</v>
      </c>
      <c r="B20" s="4">
        <f ca="1">OFFSET(Auckland_Reference,28,7)</f>
        <v>1.9131795197999999</v>
      </c>
      <c r="C20" s="4">
        <f ca="1">OFFSET(Auckland_Reference,29,7)</f>
        <v>2.2021157292</v>
      </c>
      <c r="D20" s="4">
        <f ca="1">OFFSET(Auckland_Reference,30,7)</f>
        <v>2.4674535234000001</v>
      </c>
      <c r="E20" s="4">
        <f ca="1">OFFSET(Auckland_Reference,31,7)</f>
        <v>2.7198192375999999</v>
      </c>
      <c r="F20" s="4">
        <f ca="1">OFFSET(Auckland_Reference,32,7)</f>
        <v>2.9528674105000001</v>
      </c>
      <c r="G20" s="4">
        <f ca="1">OFFSET(Auckland_Reference,33,7)</f>
        <v>3.1366608567999998</v>
      </c>
      <c r="H20" s="4">
        <f ca="1">OFFSET(Auckland_Reference,34,7)</f>
        <v>3.3158460349999999</v>
      </c>
      <c r="I20" s="1">
        <f ca="1">H20*('Updated Population'!I$15/'Updated Population'!H$15)</f>
        <v>3.4252688354377629</v>
      </c>
      <c r="J20" s="1">
        <f ca="1">I20*('Updated Population'!J$15/'Updated Population'!I$15)</f>
        <v>3.5278223253085526</v>
      </c>
      <c r="K20" s="1">
        <f ca="1">J20*('Updated Population'!K$15/'Updated Population'!J$15)</f>
        <v>3.6264263077962524</v>
      </c>
    </row>
    <row r="21" spans="1:11" x14ac:dyDescent="0.2">
      <c r="A21" t="str">
        <f ca="1">OFFSET(Auckland_Reference,35,2)</f>
        <v>Motorcyclist</v>
      </c>
      <c r="B21" s="4">
        <f ca="1">OFFSET(Auckland_Reference,35,7)</f>
        <v>1.5334409518000001</v>
      </c>
      <c r="C21" s="4">
        <f ca="1">OFFSET(Auckland_Reference,36,7)</f>
        <v>1.7019167005</v>
      </c>
      <c r="D21" s="4">
        <f ca="1">OFFSET(Auckland_Reference,37,7)</f>
        <v>1.8172597503000001</v>
      </c>
      <c r="E21" s="4">
        <f ca="1">OFFSET(Auckland_Reference,38,7)</f>
        <v>1.9504613176000001</v>
      </c>
      <c r="F21" s="4">
        <f ca="1">OFFSET(Auckland_Reference,39,7)</f>
        <v>2.0778754323999999</v>
      </c>
      <c r="G21" s="4">
        <f ca="1">OFFSET(Auckland_Reference,40,7)</f>
        <v>2.1457305909</v>
      </c>
      <c r="H21" s="4">
        <f ca="1">OFFSET(Auckland_Reference,41,7)</f>
        <v>2.2049179117</v>
      </c>
      <c r="I21" s="1">
        <f ca="1">H21*('Updated Population'!I$15/'Updated Population'!H$15)</f>
        <v>2.2776801238434232</v>
      </c>
      <c r="J21" s="1">
        <f ca="1">I21*('Updated Population'!J$15/'Updated Population'!I$15)</f>
        <v>2.3458744924409531</v>
      </c>
      <c r="K21" s="1">
        <f ca="1">J21*('Updated Population'!K$15/'Updated Population'!J$15)</f>
        <v>2.4114425812053888</v>
      </c>
    </row>
    <row r="22" spans="1:11" x14ac:dyDescent="0.2">
      <c r="A22" t="str">
        <f ca="1">OFFSET(Auckland_Reference,42,2)</f>
        <v>Local Train</v>
      </c>
      <c r="B22" s="4">
        <f ca="1">OFFSET(Auckland_Reference,42,7)</f>
        <v>4.2843438359999997</v>
      </c>
      <c r="C22" s="4">
        <f ca="1">OFFSET(Auckland_Reference,43,7)</f>
        <v>4.6853682510999999</v>
      </c>
      <c r="D22" s="4">
        <f ca="1">OFFSET(Auckland_Reference,44,7)</f>
        <v>4.9043856447999996</v>
      </c>
      <c r="E22" s="4">
        <f ca="1">OFFSET(Auckland_Reference,45,7)</f>
        <v>5.0421625551</v>
      </c>
      <c r="F22" s="4">
        <f ca="1">OFFSET(Auckland_Reference,46,7)</f>
        <v>5.1310096593000001</v>
      </c>
      <c r="G22" s="4">
        <f ca="1">OFFSET(Auckland_Reference,47,7)</f>
        <v>5.1626424107000002</v>
      </c>
      <c r="H22" s="4">
        <f ca="1">OFFSET(Auckland_Reference,48,7)</f>
        <v>5.1555646639999999</v>
      </c>
      <c r="I22" s="1">
        <f ca="1">H22*('Updated Population'!I$15/'Updated Population'!H$15)</f>
        <v>5.3256981133273165</v>
      </c>
      <c r="J22" s="1">
        <f ca="1">I22*('Updated Population'!J$15/'Updated Population'!I$15)</f>
        <v>5.4851509778351604</v>
      </c>
      <c r="K22" s="1">
        <f ca="1">J22*('Updated Population'!K$15/'Updated Population'!J$15)</f>
        <v>5.6384630443416679</v>
      </c>
    </row>
    <row r="23" spans="1:11" x14ac:dyDescent="0.2">
      <c r="A23" t="str">
        <f ca="1">OFFSET(Auckland_Reference,49,2)</f>
        <v>Local Bus</v>
      </c>
      <c r="B23" s="4">
        <f ca="1">OFFSET(Auckland_Reference,49,7)</f>
        <v>22.622672496</v>
      </c>
      <c r="C23" s="4">
        <f ca="1">OFFSET(Auckland_Reference,50,7)</f>
        <v>23.884403189</v>
      </c>
      <c r="D23" s="4">
        <f ca="1">OFFSET(Auckland_Reference,51,7)</f>
        <v>24.297402097999999</v>
      </c>
      <c r="E23" s="4">
        <f ca="1">OFFSET(Auckland_Reference,52,7)</f>
        <v>24.240961715000001</v>
      </c>
      <c r="F23" s="4">
        <f ca="1">OFFSET(Auckland_Reference,53,7)</f>
        <v>23.712285279</v>
      </c>
      <c r="G23" s="4">
        <f ca="1">OFFSET(Auckland_Reference,54,7)</f>
        <v>23.120775157000001</v>
      </c>
      <c r="H23" s="4">
        <f ca="1">OFFSET(Auckland_Reference,55,7)</f>
        <v>22.373467740999999</v>
      </c>
      <c r="I23" s="1">
        <f ca="1">H23*('Updated Population'!I$15/'Updated Population'!H$15)</f>
        <v>23.111791375415724</v>
      </c>
      <c r="J23" s="1">
        <f ca="1">I23*('Updated Population'!J$15/'Updated Population'!I$15)</f>
        <v>23.803764758115648</v>
      </c>
      <c r="K23" s="1">
        <f ca="1">J23*('Updated Population'!K$15/'Updated Population'!J$15)</f>
        <v>24.469089081994479</v>
      </c>
    </row>
    <row r="24" spans="1:11" x14ac:dyDescent="0.2">
      <c r="A24" t="str">
        <f ca="1">OFFSET(Auckland_Reference,56,2)</f>
        <v>Local Ferry</v>
      </c>
      <c r="B24" s="4">
        <f ca="1">OFFSET(Auckland_Reference,56,7)</f>
        <v>1.2124045342000001</v>
      </c>
      <c r="C24" s="4">
        <f ca="1">OFFSET(Auckland_Reference,57,7)</f>
        <v>1.3419084052000001</v>
      </c>
      <c r="D24" s="4">
        <f ca="1">OFFSET(Auckland_Reference,58,7)</f>
        <v>1.4287101494000001</v>
      </c>
      <c r="E24" s="4">
        <f ca="1">OFFSET(Auckland_Reference,59,7)</f>
        <v>1.4817644062999999</v>
      </c>
      <c r="F24" s="4">
        <f ca="1">OFFSET(Auckland_Reference,60,7)</f>
        <v>1.5224171607999999</v>
      </c>
      <c r="G24" s="4">
        <f ca="1">OFFSET(Auckland_Reference,61,7)</f>
        <v>1.5980605955</v>
      </c>
      <c r="H24" s="4">
        <f ca="1">OFFSET(Auckland_Reference,62,7)</f>
        <v>1.6597343600000001</v>
      </c>
      <c r="I24" s="1">
        <f ca="1">H24*('Updated Population'!I$15/'Updated Population'!H$15)</f>
        <v>1.7145055344565301</v>
      </c>
      <c r="J24" s="1">
        <f ca="1">I24*('Updated Population'!J$15/'Updated Population'!I$15)</f>
        <v>1.765838301141055</v>
      </c>
      <c r="K24" s="1">
        <f ca="1">J24*('Updated Population'!K$15/'Updated Population'!J$15)</f>
        <v>1.8151941566422511</v>
      </c>
    </row>
    <row r="25" spans="1:11" x14ac:dyDescent="0.2">
      <c r="A25" t="str">
        <f ca="1">OFFSET(Auckland_Reference,63,2)</f>
        <v>Other Household Travel</v>
      </c>
      <c r="B25" s="4">
        <f ca="1">OFFSET(Auckland_Reference,63,7)</f>
        <v>2.4325058500000001</v>
      </c>
      <c r="C25" s="4">
        <f ca="1">OFFSET(Auckland_Reference,64,7)</f>
        <v>2.7789668867000001</v>
      </c>
      <c r="D25" s="4">
        <f ca="1">OFFSET(Auckland_Reference,65,7)</f>
        <v>2.9610359930999999</v>
      </c>
      <c r="E25" s="4">
        <f ca="1">OFFSET(Auckland_Reference,66,7)</f>
        <v>3.0022448159000001</v>
      </c>
      <c r="F25" s="4">
        <f ca="1">OFFSET(Auckland_Reference,67,7)</f>
        <v>3.064139838</v>
      </c>
      <c r="G25" s="4">
        <f ca="1">OFFSET(Auckland_Reference,68,7)</f>
        <v>3.1934478393000001</v>
      </c>
      <c r="H25" s="4">
        <f ca="1">OFFSET(Auckland_Reference,69,7)</f>
        <v>3.3190839157999998</v>
      </c>
      <c r="I25" s="1">
        <f ca="1">H25*('Updated Population'!I$15/'Updated Population'!H$15)</f>
        <v>3.4286135661882371</v>
      </c>
      <c r="J25" s="1">
        <f ca="1">I25*('Updated Population'!J$15/'Updated Population'!I$15)</f>
        <v>3.5312671982165096</v>
      </c>
      <c r="K25" s="1">
        <f ca="1">J25*('Updated Population'!K$15/'Updated Population'!J$15)</f>
        <v>3.6299674662187753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OFFSET(Waikato_Reference,0,7)</f>
        <v>13.69170819</v>
      </c>
      <c r="C27" s="4">
        <f ca="1">OFFSET(Waikato_Reference,1,7)</f>
        <v>14.304164049000001</v>
      </c>
      <c r="D27" s="4">
        <f ca="1">OFFSET(Waikato_Reference,2,7)</f>
        <v>14.694834445</v>
      </c>
      <c r="E27" s="4">
        <f ca="1">OFFSET(Waikato_Reference,3,7)</f>
        <v>14.856618224</v>
      </c>
      <c r="F27" s="4">
        <f ca="1">OFFSET(Waikato_Reference,4,7)</f>
        <v>14.87628525</v>
      </c>
      <c r="G27" s="4">
        <f ca="1">OFFSET(Waikato_Reference,5,7)</f>
        <v>14.766309467999999</v>
      </c>
      <c r="H27" s="4">
        <f ca="1">OFFSET(Waikato_Reference,6,7)</f>
        <v>14.605380390000001</v>
      </c>
      <c r="I27" s="1">
        <f ca="1">H27*('Updated Population'!I$26/'Updated Population'!H$26)</f>
        <v>14.850413990646985</v>
      </c>
      <c r="J27" s="1">
        <f ca="1">I27*('Updated Population'!J$26/'Updated Population'!I$26)</f>
        <v>15.050390686156796</v>
      </c>
      <c r="K27" s="1">
        <f ca="1">J27*('Updated Population'!K$26/'Updated Population'!J$26)</f>
        <v>15.219115789304821</v>
      </c>
    </row>
    <row r="28" spans="1:11" x14ac:dyDescent="0.2">
      <c r="A28" t="str">
        <f ca="1">OFFSET(Waikato_Reference,7,2)</f>
        <v>Cyclist</v>
      </c>
      <c r="B28" s="4">
        <f ca="1">OFFSET(Waikato_Reference,7,7)</f>
        <v>1.7805943500000001</v>
      </c>
      <c r="C28" s="4">
        <f ca="1">OFFSET(Waikato_Reference,8,7)</f>
        <v>1.8871609659999999</v>
      </c>
      <c r="D28" s="4">
        <f ca="1">OFFSET(Waikato_Reference,9,7)</f>
        <v>1.9906934175</v>
      </c>
      <c r="E28" s="4">
        <f ca="1">OFFSET(Waikato_Reference,10,7)</f>
        <v>2.0367725298999999</v>
      </c>
      <c r="F28" s="4">
        <f ca="1">OFFSET(Waikato_Reference,11,7)</f>
        <v>2.090863111</v>
      </c>
      <c r="G28" s="4">
        <f ca="1">OFFSET(Waikato_Reference,12,7)</f>
        <v>2.1719885346000001</v>
      </c>
      <c r="H28" s="4">
        <f ca="1">OFFSET(Waikato_Reference,13,7)</f>
        <v>2.2572545791</v>
      </c>
      <c r="I28" s="1">
        <f ca="1">H28*('Updated Population'!I$26/'Updated Population'!H$26)</f>
        <v>2.2951244053095565</v>
      </c>
      <c r="J28" s="1">
        <f ca="1">I28*('Updated Population'!J$26/'Updated Population'!I$26)</f>
        <v>2.3260307083019711</v>
      </c>
      <c r="K28" s="1">
        <f ca="1">J28*('Updated Population'!K$26/'Updated Population'!J$26)</f>
        <v>2.3521070925877763</v>
      </c>
    </row>
    <row r="29" spans="1:11" x14ac:dyDescent="0.2">
      <c r="A29" t="str">
        <f ca="1">OFFSET(Waikato_Reference,14,2)</f>
        <v>Light Vehicle Driver</v>
      </c>
      <c r="B29" s="4">
        <f ca="1">OFFSET(Waikato_Reference,14,7)</f>
        <v>82.274552721999996</v>
      </c>
      <c r="C29" s="4">
        <f ca="1">OFFSET(Waikato_Reference,15,7)</f>
        <v>88.893635059999994</v>
      </c>
      <c r="D29" s="4">
        <f ca="1">OFFSET(Waikato_Reference,16,7)</f>
        <v>92.839139782999993</v>
      </c>
      <c r="E29" s="4">
        <f ca="1">OFFSET(Waikato_Reference,17,7)</f>
        <v>96.698583576999994</v>
      </c>
      <c r="F29" s="4">
        <f ca="1">OFFSET(Waikato_Reference,18,7)</f>
        <v>99.973836821999996</v>
      </c>
      <c r="G29" s="4">
        <f ca="1">OFFSET(Waikato_Reference,19,7)</f>
        <v>101.88054483000001</v>
      </c>
      <c r="H29" s="4">
        <f ca="1">OFFSET(Waikato_Reference,20,7)</f>
        <v>103.34460266000001</v>
      </c>
      <c r="I29" s="1">
        <f ca="1">H29*('Updated Population'!I$26/'Updated Population'!H$26)</f>
        <v>105.07840893008864</v>
      </c>
      <c r="J29" s="1">
        <f ca="1">I29*('Updated Population'!J$26/'Updated Population'!I$26)</f>
        <v>106.49340200708315</v>
      </c>
      <c r="K29" s="1">
        <f ca="1">J29*('Updated Population'!K$26/'Updated Population'!J$26)</f>
        <v>107.68726538331804</v>
      </c>
    </row>
    <row r="30" spans="1:11" x14ac:dyDescent="0.2">
      <c r="A30" t="str">
        <f ca="1">OFFSET(Waikato_Reference,21,2)</f>
        <v>Light Vehicle Passenger</v>
      </c>
      <c r="B30" s="4">
        <f ca="1">OFFSET(Waikato_Reference,21,7)</f>
        <v>42.037273755000001</v>
      </c>
      <c r="C30" s="4">
        <f ca="1">OFFSET(Waikato_Reference,22,7)</f>
        <v>43.521482438</v>
      </c>
      <c r="D30" s="4">
        <f ca="1">OFFSET(Waikato_Reference,23,7)</f>
        <v>44.346513686000002</v>
      </c>
      <c r="E30" s="4">
        <f ca="1">OFFSET(Waikato_Reference,24,7)</f>
        <v>44.933746507000002</v>
      </c>
      <c r="F30" s="4">
        <f ca="1">OFFSET(Waikato_Reference,25,7)</f>
        <v>45.535976818999998</v>
      </c>
      <c r="G30" s="4">
        <f ca="1">OFFSET(Waikato_Reference,26,7)</f>
        <v>45.602521842000002</v>
      </c>
      <c r="H30" s="4">
        <f ca="1">OFFSET(Waikato_Reference,27,7)</f>
        <v>45.374472976</v>
      </c>
      <c r="I30" s="1">
        <f ca="1">H30*('Updated Population'!I$26/'Updated Population'!H$26)</f>
        <v>46.135717818235058</v>
      </c>
      <c r="J30" s="1">
        <f ca="1">I30*('Updated Population'!J$26/'Updated Population'!I$26)</f>
        <v>46.756984565416282</v>
      </c>
      <c r="K30" s="1">
        <f ca="1">J30*('Updated Population'!K$26/'Updated Population'!J$26)</f>
        <v>47.281162123873074</v>
      </c>
    </row>
    <row r="31" spans="1:11" x14ac:dyDescent="0.2">
      <c r="A31" t="str">
        <f ca="1">OFFSET(Waikato_Reference,28,2)</f>
        <v>Taxi/Vehicle Share</v>
      </c>
      <c r="B31" s="4">
        <f ca="1">OFFSET(Waikato_Reference,28,7)</f>
        <v>0.1633822556</v>
      </c>
      <c r="C31" s="4">
        <f ca="1">OFFSET(Waikato_Reference,29,7)</f>
        <v>0.19543850779999999</v>
      </c>
      <c r="D31" s="4">
        <f ca="1">OFFSET(Waikato_Reference,30,7)</f>
        <v>0.21613281409999999</v>
      </c>
      <c r="E31" s="4">
        <f ca="1">OFFSET(Waikato_Reference,31,7)</f>
        <v>0.230939691</v>
      </c>
      <c r="F31" s="4">
        <f ca="1">OFFSET(Waikato_Reference,32,7)</f>
        <v>0.24086022679999999</v>
      </c>
      <c r="G31" s="4">
        <f ca="1">OFFSET(Waikato_Reference,33,7)</f>
        <v>0.24114815479999999</v>
      </c>
      <c r="H31" s="4">
        <f ca="1">OFFSET(Waikato_Reference,34,7)</f>
        <v>0.2412706016</v>
      </c>
      <c r="I31" s="1">
        <f ca="1">H31*('Updated Population'!I$26/'Updated Population'!H$26)</f>
        <v>0.2453183841747551</v>
      </c>
      <c r="J31" s="1">
        <f ca="1">I31*('Updated Population'!J$26/'Updated Population'!I$26)</f>
        <v>0.24862185839749201</v>
      </c>
      <c r="K31" s="1">
        <f ca="1">J31*('Updated Population'!K$26/'Updated Population'!J$26)</f>
        <v>0.25140907831607889</v>
      </c>
    </row>
    <row r="32" spans="1:11" x14ac:dyDescent="0.2">
      <c r="A32" t="str">
        <f ca="1">OFFSET(Waikato_Reference,35,2)</f>
        <v>Motorcyclist</v>
      </c>
      <c r="B32" s="4">
        <f ca="1">OFFSET(Waikato_Reference,35,7)</f>
        <v>0.60639269429999998</v>
      </c>
      <c r="C32" s="4">
        <f ca="1">OFFSET(Waikato_Reference,36,7)</f>
        <v>0.60472408720000004</v>
      </c>
      <c r="D32" s="4">
        <f ca="1">OFFSET(Waikato_Reference,37,7)</f>
        <v>0.60112393710000001</v>
      </c>
      <c r="E32" s="4">
        <f ca="1">OFFSET(Waikato_Reference,38,7)</f>
        <v>0.58658774719999995</v>
      </c>
      <c r="F32" s="4">
        <f ca="1">OFFSET(Waikato_Reference,39,7)</f>
        <v>0.5580878011</v>
      </c>
      <c r="G32" s="4">
        <f ca="1">OFFSET(Waikato_Reference,40,7)</f>
        <v>0.50559415919999995</v>
      </c>
      <c r="H32" s="4">
        <f ca="1">OFFSET(Waikato_Reference,41,7)</f>
        <v>0.45355252159999998</v>
      </c>
      <c r="I32" s="1">
        <f ca="1">H32*('Updated Population'!I$26/'Updated Population'!H$26)</f>
        <v>0.46116174535744892</v>
      </c>
      <c r="J32" s="1">
        <f ca="1">I32*('Updated Population'!J$26/'Updated Population'!I$26)</f>
        <v>0.46737178111740835</v>
      </c>
      <c r="K32" s="1">
        <f ca="1">J32*('Updated Population'!K$26/'Updated Population'!J$26)</f>
        <v>0.47261133626397633</v>
      </c>
    </row>
    <row r="33" spans="1:11" x14ac:dyDescent="0.2">
      <c r="A33" t="str">
        <f ca="1">OFFSET(Waikato_Reference,42,2)</f>
        <v>Local Train</v>
      </c>
      <c r="B33" s="4">
        <f ca="1">OFFSET(Waikato_Reference,42,7)</f>
        <v>7.0969514100000006E-2</v>
      </c>
      <c r="C33" s="4">
        <f ca="1">OFFSET(Waikato_Reference,43,7)</f>
        <v>7.6824290700000006E-2</v>
      </c>
      <c r="D33" s="4">
        <f ca="1">OFFSET(Waikato_Reference,44,7)</f>
        <v>9.0082312900000003E-2</v>
      </c>
      <c r="E33" s="4">
        <f ca="1">OFFSET(Waikato_Reference,45,7)</f>
        <v>0.1016216734</v>
      </c>
      <c r="F33" s="4">
        <f ca="1">OFFSET(Waikato_Reference,46,7)</f>
        <v>0.1090391434</v>
      </c>
      <c r="G33" s="4">
        <f ca="1">OFFSET(Waikato_Reference,47,7)</f>
        <v>0.1153446417</v>
      </c>
      <c r="H33" s="4">
        <f ca="1">OFFSET(Waikato_Reference,48,7)</f>
        <v>0.120376706</v>
      </c>
      <c r="I33" s="1">
        <f ca="1">H33*('Updated Population'!I$26/'Updated Population'!H$26)</f>
        <v>0.12239625885775363</v>
      </c>
      <c r="J33" s="1">
        <f ca="1">I33*('Updated Population'!J$26/'Updated Population'!I$26)</f>
        <v>0.12404445529217981</v>
      </c>
      <c r="K33" s="1">
        <f ca="1">J33*('Updated Population'!K$26/'Updated Population'!J$26)</f>
        <v>0.12543507789796801</v>
      </c>
    </row>
    <row r="34" spans="1:11" x14ac:dyDescent="0.2">
      <c r="A34" t="str">
        <f ca="1">OFFSET(Waikato_Reference,49,2)</f>
        <v>Local Bus</v>
      </c>
      <c r="B34" s="4">
        <f ca="1">OFFSET(Waikato_Reference,49,7)</f>
        <v>2.2088814398999999</v>
      </c>
      <c r="C34" s="4">
        <f ca="1">OFFSET(Waikato_Reference,50,7)</f>
        <v>2.1784041637999998</v>
      </c>
      <c r="D34" s="4">
        <f ca="1">OFFSET(Waikato_Reference,51,7)</f>
        <v>2.1414187404999998</v>
      </c>
      <c r="E34" s="4">
        <f ca="1">OFFSET(Waikato_Reference,52,7)</f>
        <v>2.1513853402000001</v>
      </c>
      <c r="F34" s="4">
        <f ca="1">OFFSET(Waikato_Reference,53,7)</f>
        <v>2.1495823582</v>
      </c>
      <c r="G34" s="4">
        <f ca="1">OFFSET(Waikato_Reference,54,7)</f>
        <v>2.1339300755999999</v>
      </c>
      <c r="H34" s="4">
        <f ca="1">OFFSET(Waikato_Reference,55,7)</f>
        <v>2.1051715586999999</v>
      </c>
      <c r="I34" s="1">
        <f ca="1">H34*('Updated Population'!I$26/'Updated Population'!H$26)</f>
        <v>2.140489897095422</v>
      </c>
      <c r="J34" s="1">
        <f ca="1">I34*('Updated Population'!J$26/'Updated Population'!I$26)</f>
        <v>2.1693138811717496</v>
      </c>
      <c r="K34" s="1">
        <f ca="1">J34*('Updated Population'!K$26/'Updated Population'!J$26)</f>
        <v>2.1936333633694978</v>
      </c>
    </row>
    <row r="35" spans="1:11" x14ac:dyDescent="0.2">
      <c r="A35" t="str">
        <f ca="1">OFFSET(Waikato_Reference,56,2)</f>
        <v>Local Ferry</v>
      </c>
      <c r="B35" s="4">
        <f ca="1">OFFSET(Waikato_Reference,56,7)</f>
        <v>9.3342661800000004E-2</v>
      </c>
      <c r="C35" s="4">
        <f ca="1">OFFSET(Waikato_Reference,57,7)</f>
        <v>0.1046778337</v>
      </c>
      <c r="D35" s="4">
        <f ca="1">OFFSET(Waikato_Reference,58,7)</f>
        <v>0.1114525544</v>
      </c>
      <c r="E35" s="4">
        <f ca="1">OFFSET(Waikato_Reference,59,7)</f>
        <v>0.1226770699</v>
      </c>
      <c r="F35" s="4">
        <f ca="1">OFFSET(Waikato_Reference,60,7)</f>
        <v>0.12633993630000001</v>
      </c>
      <c r="G35" s="4">
        <f ca="1">OFFSET(Waikato_Reference,61,7)</f>
        <v>0.1228553507</v>
      </c>
      <c r="H35" s="4">
        <f ca="1">OFFSET(Waikato_Reference,62,7)</f>
        <v>0.1181202234</v>
      </c>
      <c r="I35" s="1">
        <f ca="1">H35*('Updated Population'!I$26/'Updated Population'!H$26)</f>
        <v>0.12010191938299165</v>
      </c>
      <c r="J35" s="1">
        <f ca="1">I35*('Updated Population'!J$26/'Updated Population'!I$26)</f>
        <v>0.12171922008435412</v>
      </c>
      <c r="K35" s="1">
        <f ca="1">J35*('Updated Population'!K$26/'Updated Population'!J$26)</f>
        <v>0.12308377522395722</v>
      </c>
    </row>
    <row r="36" spans="1:11" x14ac:dyDescent="0.2">
      <c r="A36" t="str">
        <f ca="1">OFFSET(Waikato_Reference,63,2)</f>
        <v>Other Household Travel</v>
      </c>
      <c r="B36" s="4">
        <f ca="1">OFFSET(Waikato_Reference,63,7)</f>
        <v>0.63404452519999999</v>
      </c>
      <c r="C36" s="4">
        <f ca="1">OFFSET(Waikato_Reference,64,7)</f>
        <v>0.6553509045</v>
      </c>
      <c r="D36" s="4">
        <f ca="1">OFFSET(Waikato_Reference,65,7)</f>
        <v>0.67284001000000004</v>
      </c>
      <c r="E36" s="4">
        <f ca="1">OFFSET(Waikato_Reference,66,7)</f>
        <v>0.67359742619999996</v>
      </c>
      <c r="F36" s="4">
        <f ca="1">OFFSET(Waikato_Reference,67,7)</f>
        <v>0.67168305319999999</v>
      </c>
      <c r="G36" s="4">
        <f ca="1">OFFSET(Waikato_Reference,68,7)</f>
        <v>0.66277105729999997</v>
      </c>
      <c r="H36" s="4">
        <f ca="1">OFFSET(Waikato_Reference,69,7)</f>
        <v>0.63847556090000002</v>
      </c>
      <c r="I36" s="1">
        <f ca="1">H36*('Updated Population'!I$26/'Updated Population'!H$26)</f>
        <v>0.64918722752112723</v>
      </c>
      <c r="J36" s="1">
        <f ca="1">I36*('Updated Population'!J$26/'Updated Population'!I$26)</f>
        <v>0.6579292273474362</v>
      </c>
      <c r="K36" s="1">
        <f ca="1">J36*('Updated Population'!K$26/'Updated Population'!J$26)</f>
        <v>0.66530506090971064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OFFSET(BOP_Reference,0,7)</f>
        <v>9.1706746114000008</v>
      </c>
      <c r="C38" s="4">
        <f ca="1">OFFSET(BOP_Reference,1,7)</f>
        <v>9.1822825685999998</v>
      </c>
      <c r="D38" s="4">
        <f ca="1">OFFSET(BOP_Reference,2,7)</f>
        <v>9.2777099450999998</v>
      </c>
      <c r="E38" s="4">
        <f ca="1">OFFSET(BOP_Reference,3,7)</f>
        <v>9.3779635272000004</v>
      </c>
      <c r="F38" s="4">
        <f ca="1">OFFSET(BOP_Reference,4,7)</f>
        <v>9.3398550747000009</v>
      </c>
      <c r="G38" s="4">
        <f ca="1">OFFSET(BOP_Reference,5,7)</f>
        <v>9.2799116918000006</v>
      </c>
      <c r="H38" s="4">
        <f ca="1">OFFSET(BOP_Reference,6,7)</f>
        <v>9.1951220658999997</v>
      </c>
      <c r="I38" s="1">
        <f ca="1">H38*('Updated Population'!I$37/'Updated Population'!H$37)</f>
        <v>9.2803847444505578</v>
      </c>
      <c r="J38" s="1">
        <f ca="1">I38*('Updated Population'!J$37/'Updated Population'!I$37)</f>
        <v>9.3354256500955426</v>
      </c>
      <c r="K38" s="1">
        <f ca="1">J38*('Updated Population'!K$37/'Updated Population'!J$37)</f>
        <v>9.3693612614328217</v>
      </c>
    </row>
    <row r="39" spans="1:11" x14ac:dyDescent="0.2">
      <c r="A39" t="str">
        <f ca="1">OFFSET(BOP_Reference,7,2)</f>
        <v>Cyclist</v>
      </c>
      <c r="B39" s="4">
        <f ca="1">OFFSET(BOP_Reference,7,7)</f>
        <v>0.91801276549999999</v>
      </c>
      <c r="C39" s="4">
        <f ca="1">OFFSET(BOP_Reference,8,7)</f>
        <v>0.8791574539</v>
      </c>
      <c r="D39" s="4">
        <f ca="1">OFFSET(BOP_Reference,9,7)</f>
        <v>0.85836833410000002</v>
      </c>
      <c r="E39" s="4">
        <f ca="1">OFFSET(BOP_Reference,10,7)</f>
        <v>0.86409261400000004</v>
      </c>
      <c r="F39" s="4">
        <f ca="1">OFFSET(BOP_Reference,11,7)</f>
        <v>0.85656932129999996</v>
      </c>
      <c r="G39" s="4">
        <f ca="1">OFFSET(BOP_Reference,12,7)</f>
        <v>0.84786423399999999</v>
      </c>
      <c r="H39" s="4">
        <f ca="1">OFFSET(BOP_Reference,13,7)</f>
        <v>0.83733579680000003</v>
      </c>
      <c r="I39" s="1">
        <f ca="1">H39*('Updated Population'!I$37/'Updated Population'!H$37)</f>
        <v>0.84510007576984592</v>
      </c>
      <c r="J39" s="1">
        <f ca="1">I39*('Updated Population'!J$37/'Updated Population'!I$37)</f>
        <v>0.85011226813168017</v>
      </c>
      <c r="K39" s="1">
        <f ca="1">J39*('Updated Population'!K$37/'Updated Population'!J$37)</f>
        <v>0.85320254816878527</v>
      </c>
    </row>
    <row r="40" spans="1:11" x14ac:dyDescent="0.2">
      <c r="A40" t="str">
        <f ca="1">OFFSET(BOP_Reference,14,2)</f>
        <v>Light Vehicle Driver</v>
      </c>
      <c r="B40" s="4">
        <f ca="1">OFFSET(BOP_Reference,14,7)</f>
        <v>45.59682093</v>
      </c>
      <c r="C40" s="4">
        <f ca="1">OFFSET(BOP_Reference,15,7)</f>
        <v>47.237207701000003</v>
      </c>
      <c r="D40" s="4">
        <f ca="1">OFFSET(BOP_Reference,16,7)</f>
        <v>49.263257840999998</v>
      </c>
      <c r="E40" s="4">
        <f ca="1">OFFSET(BOP_Reference,17,7)</f>
        <v>52.094210295000003</v>
      </c>
      <c r="F40" s="4">
        <f ca="1">OFFSET(BOP_Reference,18,7)</f>
        <v>54.006944941</v>
      </c>
      <c r="G40" s="4">
        <f ca="1">OFFSET(BOP_Reference,19,7)</f>
        <v>54.844608465999997</v>
      </c>
      <c r="H40" s="4">
        <f ca="1">OFFSET(BOP_Reference,20,7)</f>
        <v>55.457790736</v>
      </c>
      <c r="I40" s="1">
        <f ca="1">H40*('Updated Population'!I$37/'Updated Population'!H$37)</f>
        <v>55.972028584150287</v>
      </c>
      <c r="J40" s="1">
        <f ca="1">I40*('Updated Population'!J$37/'Updated Population'!I$37)</f>
        <v>56.303992315061429</v>
      </c>
      <c r="K40" s="1">
        <f ca="1">J40*('Updated Population'!K$37/'Updated Population'!J$37)</f>
        <v>56.508665403526493</v>
      </c>
    </row>
    <row r="41" spans="1:11" x14ac:dyDescent="0.2">
      <c r="A41" t="str">
        <f ca="1">OFFSET(BOP_Reference,21,2)</f>
        <v>Light Vehicle Passenger</v>
      </c>
      <c r="B41" s="4">
        <f ca="1">OFFSET(BOP_Reference,21,7)</f>
        <v>28.895615969000001</v>
      </c>
      <c r="C41" s="4">
        <f ca="1">OFFSET(BOP_Reference,22,7)</f>
        <v>29.624864923000001</v>
      </c>
      <c r="D41" s="4">
        <f ca="1">OFFSET(BOP_Reference,23,7)</f>
        <v>30.356712344999998</v>
      </c>
      <c r="E41" s="4">
        <f ca="1">OFFSET(BOP_Reference,24,7)</f>
        <v>31.248359484000002</v>
      </c>
      <c r="F41" s="4">
        <f ca="1">OFFSET(BOP_Reference,25,7)</f>
        <v>31.609344279999998</v>
      </c>
      <c r="G41" s="4">
        <f ca="1">OFFSET(BOP_Reference,26,7)</f>
        <v>31.709783174999998</v>
      </c>
      <c r="H41" s="4">
        <f ca="1">OFFSET(BOP_Reference,27,7)</f>
        <v>31.698775372</v>
      </c>
      <c r="I41" s="1">
        <f ca="1">H41*('Updated Population'!I$37/'Updated Population'!H$37)</f>
        <v>31.992705400945692</v>
      </c>
      <c r="J41" s="1">
        <f ca="1">I41*('Updated Population'!J$37/'Updated Population'!I$37)</f>
        <v>32.182450495334614</v>
      </c>
      <c r="K41" s="1">
        <f ca="1">J41*('Updated Population'!K$37/'Updated Population'!J$37)</f>
        <v>32.299438319224542</v>
      </c>
    </row>
    <row r="42" spans="1:11" x14ac:dyDescent="0.2">
      <c r="A42" t="str">
        <f ca="1">OFFSET(BOP_Reference,28,2)</f>
        <v>Taxi/Vehicle Share</v>
      </c>
      <c r="B42" s="4">
        <f ca="1">OFFSET(BOP_Reference,28,7)</f>
        <v>7.3048454499999999E-2</v>
      </c>
      <c r="C42" s="4">
        <f ca="1">OFFSET(BOP_Reference,29,7)</f>
        <v>6.6438523900000004E-2</v>
      </c>
      <c r="D42" s="4">
        <f ca="1">OFFSET(BOP_Reference,30,7)</f>
        <v>6.3879517100000005E-2</v>
      </c>
      <c r="E42" s="4">
        <f ca="1">OFFSET(BOP_Reference,31,7)</f>
        <v>6.4537960300000002E-2</v>
      </c>
      <c r="F42" s="4">
        <f ca="1">OFFSET(BOP_Reference,32,7)</f>
        <v>6.1972370300000003E-2</v>
      </c>
      <c r="G42" s="4">
        <f ca="1">OFFSET(BOP_Reference,33,7)</f>
        <v>6.0184243200000001E-2</v>
      </c>
      <c r="H42" s="4">
        <f ca="1">OFFSET(BOP_Reference,34,7)</f>
        <v>5.8150837499999997E-2</v>
      </c>
      <c r="I42" s="1">
        <f ca="1">H42*('Updated Population'!I$37/'Updated Population'!H$37)</f>
        <v>5.8690046890552329E-2</v>
      </c>
      <c r="J42" s="1">
        <f ca="1">I42*('Updated Population'!J$37/'Updated Population'!I$37)</f>
        <v>5.9038130878679471E-2</v>
      </c>
      <c r="K42" s="1">
        <f ca="1">J42*('Updated Population'!K$37/'Updated Population'!J$37)</f>
        <v>5.9252742953015657E-2</v>
      </c>
    </row>
    <row r="43" spans="1:11" x14ac:dyDescent="0.2">
      <c r="A43" t="str">
        <f ca="1">OFFSET(BOP_Reference,35,2)</f>
        <v>Motorcyclist</v>
      </c>
      <c r="B43" s="4">
        <f ca="1">OFFSET(BOP_Reference,35,7)</f>
        <v>0.60409197079999999</v>
      </c>
      <c r="C43" s="4">
        <f ca="1">OFFSET(BOP_Reference,36,7)</f>
        <v>0.64585139979999995</v>
      </c>
      <c r="D43" s="4">
        <f ca="1">OFFSET(BOP_Reference,37,7)</f>
        <v>0.66414298589999998</v>
      </c>
      <c r="E43" s="4">
        <f ca="1">OFFSET(BOP_Reference,38,7)</f>
        <v>0.68447772120000006</v>
      </c>
      <c r="F43" s="4">
        <f ca="1">OFFSET(BOP_Reference,39,7)</f>
        <v>0.68622905059999995</v>
      </c>
      <c r="G43" s="4">
        <f ca="1">OFFSET(BOP_Reference,40,7)</f>
        <v>0.67630531670000005</v>
      </c>
      <c r="H43" s="4">
        <f ca="1">OFFSET(BOP_Reference,41,7)</f>
        <v>0.66196281099999998</v>
      </c>
      <c r="I43" s="1">
        <f ca="1">H43*('Updated Population'!I$37/'Updated Population'!H$37)</f>
        <v>0.66810092661850018</v>
      </c>
      <c r="J43" s="1">
        <f ca="1">I43*('Updated Population'!J$37/'Updated Population'!I$37)</f>
        <v>0.67206335717239785</v>
      </c>
      <c r="K43" s="1">
        <f ca="1">J43*('Updated Population'!K$37/'Updated Population'!J$37)</f>
        <v>0.67450640387833949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">
      <c r="A45" t="str">
        <f ca="1">OFFSET(BOP_Reference,42,2)</f>
        <v>Local Bus</v>
      </c>
      <c r="B45" s="4">
        <f ca="1">OFFSET(BOP_Reference,42,7)</f>
        <v>2.9412276716000001</v>
      </c>
      <c r="C45" s="4">
        <f ca="1">OFFSET(BOP_Reference,43,7)</f>
        <v>2.8010159497</v>
      </c>
      <c r="D45" s="4">
        <f ca="1">OFFSET(BOP_Reference,44,7)</f>
        <v>2.7055517973000001</v>
      </c>
      <c r="E45" s="4">
        <f ca="1">OFFSET(BOP_Reference,45,7)</f>
        <v>2.6569454331000002</v>
      </c>
      <c r="F45" s="4">
        <f ca="1">OFFSET(BOP_Reference,46,7)</f>
        <v>2.5967820613999999</v>
      </c>
      <c r="G45" s="4">
        <f ca="1">OFFSET(BOP_Reference,47,7)</f>
        <v>2.5508458577000002</v>
      </c>
      <c r="H45" s="4">
        <f ca="1">OFFSET(BOP_Reference,48,7)</f>
        <v>2.4954603698</v>
      </c>
      <c r="I45" s="1">
        <f ca="1">H45*('Updated Population'!I$37/'Updated Population'!H$37)</f>
        <v>2.5185997728248894</v>
      </c>
      <c r="J45" s="1">
        <f ca="1">I45*('Updated Population'!J$37/'Updated Population'!I$37)</f>
        <v>2.533537301415655</v>
      </c>
      <c r="K45" s="1">
        <f ca="1">J45*('Updated Population'!K$37/'Updated Population'!J$37)</f>
        <v>2.542747072923873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OFFSET(BOP_Reference,49,7)</f>
        <v>0.21279540499999999</v>
      </c>
      <c r="C47" s="4">
        <f ca="1">OFFSET(BOP_Reference,50,7)</f>
        <v>0.2140601795</v>
      </c>
      <c r="D47" s="4">
        <f ca="1">OFFSET(BOP_Reference,51,7)</f>
        <v>0.20741327409999999</v>
      </c>
      <c r="E47" s="4">
        <f ca="1">OFFSET(BOP_Reference,52,7)</f>
        <v>0.1889488272</v>
      </c>
      <c r="F47" s="4">
        <f ca="1">OFFSET(BOP_Reference,53,7)</f>
        <v>0.16679952270000001</v>
      </c>
      <c r="G47" s="4">
        <f ca="1">OFFSET(BOP_Reference,54,7)</f>
        <v>0.151038226</v>
      </c>
      <c r="H47" s="4">
        <f ca="1">OFFSET(BOP_Reference,55,7)</f>
        <v>0.13633162130000001</v>
      </c>
      <c r="I47" s="1">
        <f ca="1">H47*('Updated Population'!I$37/'Updated Population'!H$37)</f>
        <v>0.13759576973869075</v>
      </c>
      <c r="J47" s="1">
        <f ca="1">I47*('Updated Population'!J$37/'Updated Population'!I$37)</f>
        <v>0.13841183458814274</v>
      </c>
      <c r="K47" s="1">
        <f ca="1">J47*('Updated Population'!K$37/'Updated Population'!J$37)</f>
        <v>0.13891498146104561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OFFSET(Gisborne_Reference,0,7)</f>
        <v>2.2694063563000002</v>
      </c>
      <c r="C49" s="4">
        <f ca="1">OFFSET(Gisborne_Reference,1,7)</f>
        <v>2.1443385381</v>
      </c>
      <c r="D49" s="4">
        <f ca="1">OFFSET(Gisborne_Reference,2,7)</f>
        <v>2.0330296758999999</v>
      </c>
      <c r="E49" s="4">
        <f ca="1">OFFSET(Gisborne_Reference,3,7)</f>
        <v>1.9715908959999999</v>
      </c>
      <c r="F49" s="4">
        <f ca="1">OFFSET(Gisborne_Reference,4,7)</f>
        <v>1.9065517891999999</v>
      </c>
      <c r="G49" s="4">
        <f ca="1">OFFSET(Gisborne_Reference,5,7)</f>
        <v>1.8345743454000001</v>
      </c>
      <c r="H49" s="4">
        <f ca="1">OFFSET(Gisborne_Reference,6,7)</f>
        <v>1.7650849249</v>
      </c>
      <c r="I49" s="1">
        <f ca="1">H49*('Updated Population'!I$48/'Updated Population'!H$48)</f>
        <v>1.7485187256830985</v>
      </c>
      <c r="J49" s="1">
        <f ca="1">I49*('Updated Population'!J$48/'Updated Population'!I$48)</f>
        <v>1.7265944102380233</v>
      </c>
      <c r="K49" s="1">
        <f ca="1">J49*('Updated Population'!K$48/'Updated Population'!J$48)</f>
        <v>1.7012809623444023</v>
      </c>
    </row>
    <row r="50" spans="1:11" x14ac:dyDescent="0.2">
      <c r="A50" t="str">
        <f ca="1">OFFSET(Gisborne_Reference,7,2)</f>
        <v>Cyclist</v>
      </c>
      <c r="B50" s="4">
        <f ca="1">OFFSET(Gisborne_Reference,7,7)</f>
        <v>0.28046850410000002</v>
      </c>
      <c r="C50" s="4">
        <f ca="1">OFFSET(Gisborne_Reference,8,7)</f>
        <v>0.25728426230000001</v>
      </c>
      <c r="D50" s="4">
        <f ca="1">OFFSET(Gisborne_Reference,9,7)</f>
        <v>0.2413770368</v>
      </c>
      <c r="E50" s="4">
        <f ca="1">OFFSET(Gisborne_Reference,10,7)</f>
        <v>0.21695063170000001</v>
      </c>
      <c r="F50" s="4">
        <f ca="1">OFFSET(Gisborne_Reference,11,7)</f>
        <v>0.19423348930000001</v>
      </c>
      <c r="G50" s="4">
        <f ca="1">OFFSET(Gisborne_Reference,12,7)</f>
        <v>0.17452505530000001</v>
      </c>
      <c r="H50" s="4">
        <f ca="1">OFFSET(Gisborne_Reference,13,7)</f>
        <v>0.1574952013</v>
      </c>
      <c r="I50" s="1">
        <f ca="1">H50*('Updated Population'!I$48/'Updated Population'!H$48)</f>
        <v>0.15601703056518981</v>
      </c>
      <c r="J50" s="1">
        <f ca="1">I50*('Updated Population'!J$48/'Updated Population'!I$48)</f>
        <v>0.15406076521745735</v>
      </c>
      <c r="K50" s="1">
        <f ca="1">J50*('Updated Population'!K$48/'Updated Population'!J$48)</f>
        <v>0.15180209396863414</v>
      </c>
    </row>
    <row r="51" spans="1:11" x14ac:dyDescent="0.2">
      <c r="A51" t="str">
        <f ca="1">OFFSET(Gisborne_Reference,14,2)</f>
        <v>Light Vehicle Driver</v>
      </c>
      <c r="B51" s="4">
        <f ca="1">OFFSET(Gisborne_Reference,14,7)</f>
        <v>6.0182660548999998</v>
      </c>
      <c r="C51" s="4">
        <f ca="1">OFFSET(Gisborne_Reference,15,7)</f>
        <v>6.1855221816999997</v>
      </c>
      <c r="D51" s="4">
        <f ca="1">OFFSET(Gisborne_Reference,16,7)</f>
        <v>6.1910240926000002</v>
      </c>
      <c r="E51" s="4">
        <f ca="1">OFFSET(Gisborne_Reference,17,7)</f>
        <v>6.1760729365999998</v>
      </c>
      <c r="F51" s="4">
        <f ca="1">OFFSET(Gisborne_Reference,18,7)</f>
        <v>6.1249258626999996</v>
      </c>
      <c r="G51" s="4">
        <f ca="1">OFFSET(Gisborne_Reference,19,7)</f>
        <v>6.0673329263999998</v>
      </c>
      <c r="H51" s="4">
        <f ca="1">OFFSET(Gisborne_Reference,20,7)</f>
        <v>5.9964062882000002</v>
      </c>
      <c r="I51" s="1">
        <f ca="1">H51*('Updated Population'!I$48/'Updated Population'!H$48)</f>
        <v>5.9401270351428535</v>
      </c>
      <c r="J51" s="1">
        <f ca="1">I51*('Updated Population'!J$48/'Updated Population'!I$48)</f>
        <v>5.865645008162323</v>
      </c>
      <c r="K51" s="1">
        <f ca="1">J51*('Updated Population'!K$48/'Updated Population'!J$48)</f>
        <v>5.7796493056417022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OFFSET(Gisborne_Reference,21,7)</f>
        <v>4.5909579553000004</v>
      </c>
      <c r="C52" s="4">
        <f ca="1">OFFSET(Gisborne_Reference,22,7)</f>
        <v>4.3565148779999996</v>
      </c>
      <c r="D52" s="4">
        <f ca="1">OFFSET(Gisborne_Reference,23,7)</f>
        <v>4.1419480037999996</v>
      </c>
      <c r="E52" s="4">
        <f ca="1">OFFSET(Gisborne_Reference,24,7)</f>
        <v>3.9422345055000001</v>
      </c>
      <c r="F52" s="4">
        <f ca="1">OFFSET(Gisborne_Reference,25,7)</f>
        <v>3.7163157827000002</v>
      </c>
      <c r="G52" s="4">
        <f ca="1">OFFSET(Gisborne_Reference,26,7)</f>
        <v>3.5542546963000001</v>
      </c>
      <c r="H52" s="4">
        <f ca="1">OFFSET(Gisborne_Reference,27,7)</f>
        <v>3.3999913052999999</v>
      </c>
      <c r="I52" s="1">
        <f ca="1">H52*('Updated Population'!I$48/'Updated Population'!H$48)</f>
        <v>3.368080697201342</v>
      </c>
      <c r="J52" s="1">
        <f ca="1">I52*('Updated Population'!J$48/'Updated Population'!I$48)</f>
        <v>3.3258490284377933</v>
      </c>
      <c r="K52" s="1">
        <f ca="1">J52*('Updated Population'!K$48/'Updated Population'!J$48)</f>
        <v>3.2770890500756464</v>
      </c>
    </row>
    <row r="53" spans="1:11" x14ac:dyDescent="0.2">
      <c r="A53" t="str">
        <f ca="1">OFFSET(Gisborne_Reference,28,2)</f>
        <v>Taxi/Vehicle Share</v>
      </c>
      <c r="B53" s="4">
        <f ca="1">OFFSET(Gisborne_Reference,28,7)</f>
        <v>5.0534828E-3</v>
      </c>
      <c r="C53" s="4">
        <f ca="1">OFFSET(Gisborne_Reference,29,7)</f>
        <v>6.7867372000000002E-3</v>
      </c>
      <c r="D53" s="4">
        <f ca="1">OFFSET(Gisborne_Reference,30,7)</f>
        <v>9.5420512999999998E-3</v>
      </c>
      <c r="E53" s="4">
        <f ca="1">OFFSET(Gisborne_Reference,31,7)</f>
        <v>1.36324181E-2</v>
      </c>
      <c r="F53" s="4">
        <f ca="1">OFFSET(Gisborne_Reference,32,7)</f>
        <v>1.8071832699999998E-2</v>
      </c>
      <c r="G53" s="4">
        <f ca="1">OFFSET(Gisborne_Reference,33,7)</f>
        <v>2.1213601799999999E-2</v>
      </c>
      <c r="H53" s="4">
        <f ca="1">OFFSET(Gisborne_Reference,34,7)</f>
        <v>2.4846745900000002E-2</v>
      </c>
      <c r="I53" s="1">
        <f ca="1">H53*('Updated Population'!I$48/'Updated Population'!H$48)</f>
        <v>2.4613546841606562E-2</v>
      </c>
      <c r="J53" s="1">
        <f ca="1">I53*('Updated Population'!J$48/'Updated Population'!I$48)</f>
        <v>2.4304922657460808E-2</v>
      </c>
      <c r="K53" s="1">
        <f ca="1">J53*('Updated Population'!K$48/'Updated Population'!J$48)</f>
        <v>2.3948590336679516E-2</v>
      </c>
    </row>
    <row r="54" spans="1:11" x14ac:dyDescent="0.2">
      <c r="A54" t="str">
        <f ca="1">OFFSET(Gisborne_Reference,35,2)</f>
        <v>Motorcyclist</v>
      </c>
      <c r="B54" s="4">
        <f ca="1">OFFSET(Gisborne_Reference,35,7)</f>
        <v>4.6418087199999999E-2</v>
      </c>
      <c r="C54" s="4">
        <f ca="1">OFFSET(Gisborne_Reference,36,7)</f>
        <v>4.6325207299999997E-2</v>
      </c>
      <c r="D54" s="4">
        <f ca="1">OFFSET(Gisborne_Reference,37,7)</f>
        <v>4.3856214800000001E-2</v>
      </c>
      <c r="E54" s="4">
        <f ca="1">OFFSET(Gisborne_Reference,38,7)</f>
        <v>4.0851320500000003E-2</v>
      </c>
      <c r="F54" s="4">
        <f ca="1">OFFSET(Gisborne_Reference,39,7)</f>
        <v>3.8047514300000002E-2</v>
      </c>
      <c r="G54" s="4">
        <f ca="1">OFFSET(Gisborne_Reference,40,7)</f>
        <v>3.5876436999999997E-2</v>
      </c>
      <c r="H54" s="4">
        <f ca="1">OFFSET(Gisborne_Reference,41,7)</f>
        <v>3.3546605600000001E-2</v>
      </c>
      <c r="I54" s="1">
        <f ca="1">H54*('Updated Population'!I$48/'Updated Population'!H$48)</f>
        <v>3.3231754034740664E-2</v>
      </c>
      <c r="J54" s="1">
        <f ca="1">I54*('Updated Population'!J$48/'Updated Population'!I$48)</f>
        <v>3.2815067929210871E-2</v>
      </c>
      <c r="K54" s="1">
        <f ca="1">J54*('Updated Population'!K$48/'Updated Population'!J$48)</f>
        <v>3.2333969121508141E-2</v>
      </c>
    </row>
    <row r="55" spans="1:11" x14ac:dyDescent="0.2">
      <c r="A55" t="str">
        <f ca="1">OFFSET(Gisborne_Reference,42,2)</f>
        <v>Local Train</v>
      </c>
      <c r="B55" s="4">
        <f ca="1">OFFSET(Gisborne_Reference,42,7)</f>
        <v>2.5293475000000001E-3</v>
      </c>
      <c r="C55" s="4">
        <f ca="1">OFFSET(Gisborne_Reference,43,7)</f>
        <v>3.7713642000000002E-3</v>
      </c>
      <c r="D55" s="4">
        <f ca="1">OFFSET(Gisborne_Reference,44,7)</f>
        <v>5.6363867999999996E-3</v>
      </c>
      <c r="E55" s="4">
        <f ca="1">OFFSET(Gisborne_Reference,45,7)</f>
        <v>8.3205395999999994E-3</v>
      </c>
      <c r="F55" s="4">
        <f ca="1">OFFSET(Gisborne_Reference,46,7)</f>
        <v>1.1235929299999999E-2</v>
      </c>
      <c r="G55" s="4">
        <f ca="1">OFFSET(Gisborne_Reference,47,7)</f>
        <v>1.3233076E-2</v>
      </c>
      <c r="H55" s="4">
        <f ca="1">OFFSET(Gisborne_Reference,48,7)</f>
        <v>1.5501603399999999E-2</v>
      </c>
      <c r="I55" s="1">
        <f ca="1">H55*('Updated Population'!I$48/'Updated Population'!H$48)</f>
        <v>1.5356113148237554E-2</v>
      </c>
      <c r="J55" s="1">
        <f ca="1">I55*('Updated Population'!J$48/'Updated Population'!I$48)</f>
        <v>1.5163566014639829E-2</v>
      </c>
      <c r="K55" s="1">
        <f ca="1">J55*('Updated Population'!K$48/'Updated Population'!J$48)</f>
        <v>1.4941254314846853E-2</v>
      </c>
    </row>
    <row r="56" spans="1:11" x14ac:dyDescent="0.2">
      <c r="A56" t="str">
        <f ca="1">OFFSET(Gisborne_Reference,49,2)</f>
        <v>Local Bus</v>
      </c>
      <c r="B56" s="4">
        <f ca="1">OFFSET(Gisborne_Reference,49,7)</f>
        <v>0.17812381360000001</v>
      </c>
      <c r="C56" s="4">
        <f ca="1">OFFSET(Gisborne_Reference,50,7)</f>
        <v>0.159864122</v>
      </c>
      <c r="D56" s="4">
        <f ca="1">OFFSET(Gisborne_Reference,51,7)</f>
        <v>0.14935212389999999</v>
      </c>
      <c r="E56" s="4">
        <f ca="1">OFFSET(Gisborne_Reference,52,7)</f>
        <v>0.1464834823</v>
      </c>
      <c r="F56" s="4">
        <f ca="1">OFFSET(Gisborne_Reference,53,7)</f>
        <v>0.14347698119999999</v>
      </c>
      <c r="G56" s="4">
        <f ca="1">OFFSET(Gisborne_Reference,54,7)</f>
        <v>0.143610879</v>
      </c>
      <c r="H56" s="4">
        <f ca="1">OFFSET(Gisborne_Reference,55,7)</f>
        <v>0.14502625050000001</v>
      </c>
      <c r="I56" s="1">
        <f ca="1">H56*('Updated Population'!I$48/'Updated Population'!H$48)</f>
        <v>0.14366510706515967</v>
      </c>
      <c r="J56" s="1">
        <f ca="1">I56*('Updated Population'!J$48/'Updated Population'!I$48)</f>
        <v>0.14186371993702551</v>
      </c>
      <c r="K56" s="1">
        <f ca="1">J56*('Updated Population'!K$48/'Updated Population'!J$48)</f>
        <v>0.13978386848996444</v>
      </c>
    </row>
    <row r="57" spans="1:11" x14ac:dyDescent="0.2">
      <c r="A57" t="str">
        <f ca="1">OFFSET(Gisborne_Reference,56,2)</f>
        <v>Local Ferry</v>
      </c>
      <c r="B57" s="4">
        <f ca="1">OFFSET(Gisborne_Reference,56,7)</f>
        <v>6.5213138999999998E-3</v>
      </c>
      <c r="C57" s="4">
        <f ca="1">OFFSET(Gisborne_Reference,57,7)</f>
        <v>6.2112710999999996E-3</v>
      </c>
      <c r="D57" s="4">
        <f ca="1">OFFSET(Gisborne_Reference,58,7)</f>
        <v>5.8254876000000001E-3</v>
      </c>
      <c r="E57" s="4">
        <f ca="1">OFFSET(Gisborne_Reference,59,7)</f>
        <v>5.6968899999999996E-3</v>
      </c>
      <c r="F57" s="4">
        <f ca="1">OFFSET(Gisborne_Reference,60,7)</f>
        <v>6.2841698000000003E-3</v>
      </c>
      <c r="G57" s="4">
        <f ca="1">OFFSET(Gisborne_Reference,61,7)</f>
        <v>7.4311819000000001E-3</v>
      </c>
      <c r="H57" s="4">
        <f ca="1">OFFSET(Gisborne_Reference,62,7)</f>
        <v>8.6376412000000007E-3</v>
      </c>
      <c r="I57" s="1">
        <f ca="1">H57*('Updated Population'!I$48/'Updated Population'!H$48)</f>
        <v>8.5565726446774158E-3</v>
      </c>
      <c r="J57" s="1">
        <f ca="1">I57*('Updated Population'!J$48/'Updated Population'!I$48)</f>
        <v>8.4492835461764428E-3</v>
      </c>
      <c r="K57" s="1">
        <f ca="1">J57*('Updated Population'!K$48/'Updated Population'!J$48)</f>
        <v>8.3254093476290945E-3</v>
      </c>
    </row>
    <row r="58" spans="1:11" x14ac:dyDescent="0.2">
      <c r="A58" t="str">
        <f ca="1">OFFSET(Gisborne_Reference,63,2)</f>
        <v>Other Household Travel</v>
      </c>
      <c r="B58" s="4">
        <f ca="1">OFFSET(Gisborne_Reference,63,7)</f>
        <v>5.2226492000000003E-3</v>
      </c>
      <c r="C58" s="4">
        <f ca="1">OFFSET(Gisborne_Reference,64,7)</f>
        <v>4.3924884999999997E-3</v>
      </c>
      <c r="D58" s="4">
        <f ca="1">OFFSET(Gisborne_Reference,65,7)</f>
        <v>3.3059511000000001E-3</v>
      </c>
      <c r="E58" s="4">
        <f ca="1">OFFSET(Gisborne_Reference,66,7)</f>
        <v>2.9969036999999998E-3</v>
      </c>
      <c r="F58" s="4">
        <f ca="1">OFFSET(Gisborne_Reference,67,7)</f>
        <v>2.5534686999999999E-3</v>
      </c>
      <c r="G58" s="4">
        <f ca="1">OFFSET(Gisborne_Reference,68,7)</f>
        <v>1.9349E-3</v>
      </c>
      <c r="H58" s="4">
        <f ca="1">OFFSET(Gisborne_Reference,69,7)</f>
        <v>1.4111467000000001E-3</v>
      </c>
      <c r="I58" s="1">
        <f ca="1">H58*('Updated Population'!I$48/'Updated Population'!H$48)</f>
        <v>1.3979023869209579E-3</v>
      </c>
      <c r="J58" s="1">
        <f ca="1">I58*('Updated Population'!J$48/'Updated Population'!I$48)</f>
        <v>1.3803743773880286E-3</v>
      </c>
      <c r="K58" s="1">
        <f ca="1">J58*('Updated Population'!K$48/'Updated Population'!J$48)</f>
        <v>1.3601368307653192E-3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OFFSET(Hawkes_Bay_Reference,0,7)</f>
        <v>5.9462513095</v>
      </c>
      <c r="C60" s="4">
        <f ca="1">OFFSET(Hawkes_Bay_Reference,1,7)</f>
        <v>6.2178853297999996</v>
      </c>
      <c r="D60" s="4">
        <f ca="1">OFFSET(Hawkes_Bay_Reference,2,7)</f>
        <v>6.4584054091</v>
      </c>
      <c r="E60" s="4">
        <f ca="1">OFFSET(Hawkes_Bay_Reference,3,7)</f>
        <v>6.5336336425999999</v>
      </c>
      <c r="F60" s="4">
        <f ca="1">OFFSET(Hawkes_Bay_Reference,4,7)</f>
        <v>6.5287993063999998</v>
      </c>
      <c r="G60" s="4">
        <f ca="1">OFFSET(Hawkes_Bay_Reference,5,7)</f>
        <v>6.5614534492000001</v>
      </c>
      <c r="H60" s="4">
        <f ca="1">OFFSET(Hawkes_Bay_Reference,6,7)</f>
        <v>6.5692179990000001</v>
      </c>
      <c r="I60" s="1">
        <f ca="1">H60*('Updated Population'!I$59/'Updated Population'!H$59)</f>
        <v>6.651132583773717</v>
      </c>
      <c r="J60" s="1">
        <f ca="1">I60*('Updated Population'!J$59/'Updated Population'!I$59)</f>
        <v>6.7167833025616748</v>
      </c>
      <c r="K60" s="1">
        <f ca="1">J60*('Updated Population'!K$59/'Updated Population'!J$59)</f>
        <v>6.7727135210214549</v>
      </c>
    </row>
    <row r="61" spans="1:11" x14ac:dyDescent="0.2">
      <c r="A61" t="str">
        <f ca="1">OFFSET(Hawkes_Bay_Reference,7,2)</f>
        <v>Cyclist</v>
      </c>
      <c r="B61" s="4">
        <f ca="1">OFFSET(Hawkes_Bay_Reference,7,7)</f>
        <v>0.88401106659999995</v>
      </c>
      <c r="C61" s="4">
        <f ca="1">OFFSET(Hawkes_Bay_Reference,8,7)</f>
        <v>0.94432698719999997</v>
      </c>
      <c r="D61" s="4">
        <f ca="1">OFFSET(Hawkes_Bay_Reference,9,7)</f>
        <v>0.97699562549999996</v>
      </c>
      <c r="E61" s="4">
        <f ca="1">OFFSET(Hawkes_Bay_Reference,10,7)</f>
        <v>1.0225636417999999</v>
      </c>
      <c r="F61" s="4">
        <f ca="1">OFFSET(Hawkes_Bay_Reference,11,7)</f>
        <v>1.0575265337999999</v>
      </c>
      <c r="G61" s="4">
        <f ca="1">OFFSET(Hawkes_Bay_Reference,12,7)</f>
        <v>1.0757189056000001</v>
      </c>
      <c r="H61" s="4">
        <f ca="1">OFFSET(Hawkes_Bay_Reference,13,7)</f>
        <v>1.0886481402999999</v>
      </c>
      <c r="I61" s="1">
        <f ca="1">H61*('Updated Population'!I$59/'Updated Population'!H$59)</f>
        <v>1.102222992038963</v>
      </c>
      <c r="J61" s="1">
        <f ca="1">I61*('Updated Population'!J$59/'Updated Population'!I$59)</f>
        <v>1.1131026025083899</v>
      </c>
      <c r="K61" s="1">
        <f ca="1">J61*('Updated Population'!K$59/'Updated Population'!J$59)</f>
        <v>1.1223713356090543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OFFSET(Hawkes_Bay_Reference,14,7)</f>
        <v>25.377986313000001</v>
      </c>
      <c r="C62" s="4">
        <f ca="1">OFFSET(Hawkes_Bay_Reference,15,7)</f>
        <v>27.374666599000001</v>
      </c>
      <c r="D62" s="4">
        <f ca="1">OFFSET(Hawkes_Bay_Reference,16,7)</f>
        <v>28.852830545</v>
      </c>
      <c r="E62" s="4">
        <f ca="1">OFFSET(Hawkes_Bay_Reference,17,7)</f>
        <v>30.555900576999999</v>
      </c>
      <c r="F62" s="4">
        <f ca="1">OFFSET(Hawkes_Bay_Reference,18,7)</f>
        <v>32.074357501000001</v>
      </c>
      <c r="G62" s="4">
        <f ca="1">OFFSET(Hawkes_Bay_Reference,19,7)</f>
        <v>33.139109869999999</v>
      </c>
      <c r="H62" s="4">
        <f ca="1">OFFSET(Hawkes_Bay_Reference,20,7)</f>
        <v>34.070623961999999</v>
      </c>
      <c r="I62" s="1">
        <f ca="1">H62*('Updated Population'!I$59/'Updated Population'!H$59)</f>
        <v>34.495466160151061</v>
      </c>
      <c r="J62" s="1">
        <f ca="1">I62*('Updated Population'!J$59/'Updated Population'!I$59)</f>
        <v>34.835957365192513</v>
      </c>
      <c r="K62" s="1">
        <f ca="1">J62*('Updated Population'!K$59/'Updated Population'!J$59)</f>
        <v>35.126034120377952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OFFSET(Hawkes_Bay_Reference,21,7)</f>
        <v>15.230731736999999</v>
      </c>
      <c r="C63" s="4">
        <f ca="1">OFFSET(Hawkes_Bay_Reference,22,7)</f>
        <v>15.968389121</v>
      </c>
      <c r="D63" s="4">
        <f ca="1">OFFSET(Hawkes_Bay_Reference,23,7)</f>
        <v>16.532435840000002</v>
      </c>
      <c r="E63" s="4">
        <f ca="1">OFFSET(Hawkes_Bay_Reference,24,7)</f>
        <v>17.078773456</v>
      </c>
      <c r="F63" s="4">
        <f ca="1">OFFSET(Hawkes_Bay_Reference,25,7)</f>
        <v>17.354749005999999</v>
      </c>
      <c r="G63" s="4">
        <f ca="1">OFFSET(Hawkes_Bay_Reference,26,7)</f>
        <v>17.473011802999999</v>
      </c>
      <c r="H63" s="4">
        <f ca="1">OFFSET(Hawkes_Bay_Reference,27,7)</f>
        <v>17.511341832999999</v>
      </c>
      <c r="I63" s="1">
        <f ca="1">H63*('Updated Population'!I$59/'Updated Population'!H$59)</f>
        <v>17.729698766092973</v>
      </c>
      <c r="J63" s="1">
        <f ca="1">I63*('Updated Population'!J$59/'Updated Population'!I$59)</f>
        <v>17.90470166270153</v>
      </c>
      <c r="K63" s="1">
        <f ca="1">J63*('Updated Population'!K$59/'Updated Population'!J$59)</f>
        <v>18.053792950948118</v>
      </c>
    </row>
    <row r="64" spans="1:11" x14ac:dyDescent="0.2">
      <c r="A64" t="str">
        <f ca="1">OFFSET(Hawkes_Bay_Reference,28,2)</f>
        <v>Taxi/Vehicle Share</v>
      </c>
      <c r="B64" s="4">
        <f ca="1">OFFSET(Hawkes_Bay_Reference,28,7)</f>
        <v>4.5837477299999999E-2</v>
      </c>
      <c r="C64" s="4">
        <f ca="1">OFFSET(Hawkes_Bay_Reference,29,7)</f>
        <v>4.7593421400000002E-2</v>
      </c>
      <c r="D64" s="4">
        <f ca="1">OFFSET(Hawkes_Bay_Reference,30,7)</f>
        <v>4.98300822E-2</v>
      </c>
      <c r="E64" s="4">
        <f ca="1">OFFSET(Hawkes_Bay_Reference,31,7)</f>
        <v>5.2624842999999998E-2</v>
      </c>
      <c r="F64" s="4">
        <f ca="1">OFFSET(Hawkes_Bay_Reference,32,7)</f>
        <v>5.6304227700000001E-2</v>
      </c>
      <c r="G64" s="4">
        <f ca="1">OFFSET(Hawkes_Bay_Reference,33,7)</f>
        <v>5.6771962600000003E-2</v>
      </c>
      <c r="H64" s="4">
        <f ca="1">OFFSET(Hawkes_Bay_Reference,34,7)</f>
        <v>5.5454368900000002E-2</v>
      </c>
      <c r="I64" s="1">
        <f ca="1">H64*('Updated Population'!I$59/'Updated Population'!H$59)</f>
        <v>5.6145854797259538E-2</v>
      </c>
      <c r="J64" s="1">
        <f ca="1">I64*('Updated Population'!J$59/'Updated Population'!I$59)</f>
        <v>5.6700048489533375E-2</v>
      </c>
      <c r="K64" s="1">
        <f ca="1">J64*('Updated Population'!K$59/'Updated Population'!J$59)</f>
        <v>5.7172186111941151E-2</v>
      </c>
    </row>
    <row r="65" spans="1:11" x14ac:dyDescent="0.2">
      <c r="A65" t="str">
        <f ca="1">OFFSET(Hawkes_Bay_Reference,35,2)</f>
        <v>Motorcyclist</v>
      </c>
      <c r="B65" s="4">
        <f ca="1">OFFSET(Hawkes_Bay_Reference,35,7)</f>
        <v>0.11763194120000001</v>
      </c>
      <c r="C65" s="4">
        <f ca="1">OFFSET(Hawkes_Bay_Reference,36,7)</f>
        <v>0.1151544387</v>
      </c>
      <c r="D65" s="4">
        <f ca="1">OFFSET(Hawkes_Bay_Reference,37,7)</f>
        <v>0.112491759</v>
      </c>
      <c r="E65" s="4">
        <f ca="1">OFFSET(Hawkes_Bay_Reference,38,7)</f>
        <v>0.11052228879999999</v>
      </c>
      <c r="F65" s="4">
        <f ca="1">OFFSET(Hawkes_Bay_Reference,39,7)</f>
        <v>0.10380815810000001</v>
      </c>
      <c r="G65" s="4">
        <f ca="1">OFFSET(Hawkes_Bay_Reference,40,7)</f>
        <v>9.9600595799999997E-2</v>
      </c>
      <c r="H65" s="4">
        <f ca="1">OFFSET(Hawkes_Bay_Reference,41,7)</f>
        <v>9.5062928199999994E-2</v>
      </c>
      <c r="I65" s="1">
        <f ca="1">H65*('Updated Population'!I$59/'Updated Population'!H$59)</f>
        <v>9.6248311344852552E-2</v>
      </c>
      <c r="J65" s="1">
        <f ca="1">I65*('Updated Population'!J$59/'Updated Population'!I$59)</f>
        <v>9.719834064322079E-2</v>
      </c>
      <c r="K65" s="1">
        <f ca="1">J65*('Updated Population'!K$59/'Updated Population'!J$59)</f>
        <v>9.8007704914959345E-2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OFFSET(Hawkes_Bay_Reference,42,7)</f>
        <v>1.3660147812000001</v>
      </c>
      <c r="C67" s="4">
        <f ca="1">OFFSET(Hawkes_Bay_Reference,43,7)</f>
        <v>1.3904703866000001</v>
      </c>
      <c r="D67" s="4">
        <f ca="1">OFFSET(Hawkes_Bay_Reference,44,7)</f>
        <v>1.4168894746</v>
      </c>
      <c r="E67" s="4">
        <f ca="1">OFFSET(Hawkes_Bay_Reference,45,7)</f>
        <v>1.4610293612</v>
      </c>
      <c r="F67" s="4">
        <f ca="1">OFFSET(Hawkes_Bay_Reference,46,7)</f>
        <v>1.4547817104</v>
      </c>
      <c r="G67" s="4">
        <f ca="1">OFFSET(Hawkes_Bay_Reference,47,7)</f>
        <v>1.4754749255999999</v>
      </c>
      <c r="H67" s="4">
        <f ca="1">OFFSET(Hawkes_Bay_Reference,48,7)</f>
        <v>1.4864887897000001</v>
      </c>
      <c r="I67" s="1">
        <f ca="1">H67*('Updated Population'!I$59/'Updated Population'!H$59)</f>
        <v>1.5050244985161174</v>
      </c>
      <c r="J67" s="1">
        <f ca="1">I67*('Updated Population'!J$59/'Updated Population'!I$59)</f>
        <v>1.5198800045335614</v>
      </c>
      <c r="K67" s="1">
        <f ca="1">J67*('Updated Population'!K$59/'Updated Population'!J$59)</f>
        <v>1.5325359466500494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OFFSET(Hawkes_Bay_Reference,49,7)</f>
        <v>0.15778150060000001</v>
      </c>
      <c r="C69" s="4">
        <f ca="1">OFFSET(Hawkes_Bay_Reference,50,7)</f>
        <v>0.1683227041</v>
      </c>
      <c r="D69" s="4">
        <f ca="1">OFFSET(Hawkes_Bay_Reference,51,7)</f>
        <v>0.19254345010000001</v>
      </c>
      <c r="E69" s="4">
        <f ca="1">OFFSET(Hawkes_Bay_Reference,52,7)</f>
        <v>0.2225215227</v>
      </c>
      <c r="F69" s="4">
        <f ca="1">OFFSET(Hawkes_Bay_Reference,53,7)</f>
        <v>0.24474123540000001</v>
      </c>
      <c r="G69" s="4">
        <f ca="1">OFFSET(Hawkes_Bay_Reference,54,7)</f>
        <v>0.27308603599999998</v>
      </c>
      <c r="H69" s="4">
        <f ca="1">OFFSET(Hawkes_Bay_Reference,55,7)</f>
        <v>0.3021730151</v>
      </c>
      <c r="I69" s="1">
        <f ca="1">H69*('Updated Population'!I$59/'Updated Population'!H$59)</f>
        <v>0.30594094867527583</v>
      </c>
      <c r="J69" s="1">
        <f ca="1">I69*('Updated Population'!J$59/'Updated Population'!I$59)</f>
        <v>0.3089607716804888</v>
      </c>
      <c r="K69" s="1">
        <f ca="1">J69*('Updated Population'!K$59/'Updated Population'!J$59)</f>
        <v>0.31153346796637338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OFFSET(Taranaki_Reference,0,7)</f>
        <v>4.7547330373000003</v>
      </c>
      <c r="C71" s="4">
        <f ca="1">OFFSET(Taranaki_Reference,1,7)</f>
        <v>4.9240409299000003</v>
      </c>
      <c r="D71" s="4">
        <f ca="1">OFFSET(Taranaki_Reference,2,7)</f>
        <v>4.9887910597999996</v>
      </c>
      <c r="E71" s="4">
        <f ca="1">OFFSET(Taranaki_Reference,3,7)</f>
        <v>5.0138769118999997</v>
      </c>
      <c r="F71" s="4">
        <f ca="1">OFFSET(Taranaki_Reference,4,7)</f>
        <v>5.0120357493999999</v>
      </c>
      <c r="G71" s="4">
        <f ca="1">OFFSET(Taranaki_Reference,5,7)</f>
        <v>5.0011872242999997</v>
      </c>
      <c r="H71" s="4">
        <f ca="1">OFFSET(Taranaki_Reference,6,7)</f>
        <v>4.9820732127999996</v>
      </c>
      <c r="I71" s="1">
        <f ca="1">H71*('Updated Population'!I$70/'Updated Population'!H$70)</f>
        <v>5.0867767064260114</v>
      </c>
      <c r="J71" s="1">
        <f ca="1">I71*('Updated Population'!J$70/'Updated Population'!I$70)</f>
        <v>5.1793703190624258</v>
      </c>
      <c r="K71" s="1">
        <f ca="1">J71*('Updated Population'!K$70/'Updated Population'!J$70)</f>
        <v>5.2645794320907164</v>
      </c>
    </row>
    <row r="72" spans="1:11" x14ac:dyDescent="0.2">
      <c r="A72" t="str">
        <f ca="1">OFFSET(Taranaki_Reference,7,2)</f>
        <v>Cyclist</v>
      </c>
      <c r="B72" s="4">
        <f ca="1">OFFSET(Taranaki_Reference,7,7)</f>
        <v>0.51341482110000003</v>
      </c>
      <c r="C72" s="4">
        <f ca="1">OFFSET(Taranaki_Reference,8,7)</f>
        <v>0.54255206919999999</v>
      </c>
      <c r="D72" s="4">
        <f ca="1">OFFSET(Taranaki_Reference,9,7)</f>
        <v>0.5612669334</v>
      </c>
      <c r="E72" s="4">
        <f ca="1">OFFSET(Taranaki_Reference,10,7)</f>
        <v>0.55522768300000003</v>
      </c>
      <c r="F72" s="4">
        <f ca="1">OFFSET(Taranaki_Reference,11,7)</f>
        <v>0.56242724690000001</v>
      </c>
      <c r="G72" s="4">
        <f ca="1">OFFSET(Taranaki_Reference,12,7)</f>
        <v>0.57527845200000005</v>
      </c>
      <c r="H72" s="4">
        <f ca="1">OFFSET(Taranaki_Reference,13,7)</f>
        <v>0.59059266180000003</v>
      </c>
      <c r="I72" s="1">
        <f ca="1">H72*('Updated Population'!I$70/'Updated Population'!H$70)</f>
        <v>0.60300458598478979</v>
      </c>
      <c r="J72" s="1">
        <f ca="1">I72*('Updated Population'!J$70/'Updated Population'!I$70)</f>
        <v>0.61398096184617224</v>
      </c>
      <c r="K72" s="1">
        <f ca="1">J72*('Updated Population'!K$70/'Updated Population'!J$70)</f>
        <v>0.62408195288414059</v>
      </c>
    </row>
    <row r="73" spans="1:11" x14ac:dyDescent="0.2">
      <c r="A73" t="str">
        <f ca="1">OFFSET(Taranaki_Reference,14,2)</f>
        <v>Light Vehicle Driver</v>
      </c>
      <c r="B73" s="4">
        <f ca="1">OFFSET(Taranaki_Reference,14,7)</f>
        <v>21.205429401</v>
      </c>
      <c r="C73" s="4">
        <f ca="1">OFFSET(Taranaki_Reference,15,7)</f>
        <v>23.281397449</v>
      </c>
      <c r="D73" s="4">
        <f ca="1">OFFSET(Taranaki_Reference,16,7)</f>
        <v>24.726116946000001</v>
      </c>
      <c r="E73" s="4">
        <f ca="1">OFFSET(Taranaki_Reference,17,7)</f>
        <v>25.934060488</v>
      </c>
      <c r="F73" s="4">
        <f ca="1">OFFSET(Taranaki_Reference,18,7)</f>
        <v>26.621935246</v>
      </c>
      <c r="G73" s="4">
        <f ca="1">OFFSET(Taranaki_Reference,19,7)</f>
        <v>27.314699483999998</v>
      </c>
      <c r="H73" s="4">
        <f ca="1">OFFSET(Taranaki_Reference,20,7)</f>
        <v>27.856270714000001</v>
      </c>
      <c r="I73" s="1">
        <f ca="1">H73*('Updated Population'!I$70/'Updated Population'!H$70)</f>
        <v>28.441699457932199</v>
      </c>
      <c r="J73" s="1">
        <f ca="1">I73*('Updated Population'!J$70/'Updated Population'!I$70)</f>
        <v>28.959418212718941</v>
      </c>
      <c r="K73" s="1">
        <f ca="1">J73*('Updated Population'!K$70/'Updated Population'!J$70)</f>
        <v>29.435848007792522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OFFSET(Taranaki_Reference,21,7)</f>
        <v>13.125178352000001</v>
      </c>
      <c r="C74" s="4">
        <f ca="1">OFFSET(Taranaki_Reference,22,7)</f>
        <v>13.447135551000001</v>
      </c>
      <c r="D74" s="4">
        <f ca="1">OFFSET(Taranaki_Reference,23,7)</f>
        <v>13.669036218</v>
      </c>
      <c r="E74" s="4">
        <f ca="1">OFFSET(Taranaki_Reference,24,7)</f>
        <v>13.960941639</v>
      </c>
      <c r="F74" s="4">
        <f ca="1">OFFSET(Taranaki_Reference,25,7)</f>
        <v>14.237306134000001</v>
      </c>
      <c r="G74" s="4">
        <f ca="1">OFFSET(Taranaki_Reference,26,7)</f>
        <v>14.337920617</v>
      </c>
      <c r="H74" s="4">
        <f ca="1">OFFSET(Taranaki_Reference,27,7)</f>
        <v>14.345690527</v>
      </c>
      <c r="I74" s="1">
        <f ca="1">H74*('Updated Population'!I$70/'Updated Population'!H$70)</f>
        <v>14.647180258783832</v>
      </c>
      <c r="J74" s="1">
        <f ca="1">I74*('Updated Population'!J$70/'Updated Population'!I$70)</f>
        <v>14.91380004836183</v>
      </c>
      <c r="K74" s="1">
        <f ca="1">J74*('Updated Population'!K$70/'Updated Population'!J$70)</f>
        <v>15.15915645188546</v>
      </c>
    </row>
    <row r="75" spans="1:11" x14ac:dyDescent="0.2">
      <c r="A75" t="str">
        <f ca="1">OFFSET(Taranaki_Reference,28,2)</f>
        <v>Taxi/Vehicle Share</v>
      </c>
      <c r="B75" s="4">
        <f ca="1">OFFSET(Taranaki_Reference,28,7)</f>
        <v>0.10005985589999999</v>
      </c>
      <c r="C75" s="4">
        <f ca="1">OFFSET(Taranaki_Reference,29,7)</f>
        <v>0.12599228160000001</v>
      </c>
      <c r="D75" s="4">
        <f ca="1">OFFSET(Taranaki_Reference,30,7)</f>
        <v>0.13717954590000001</v>
      </c>
      <c r="E75" s="4">
        <f ca="1">OFFSET(Taranaki_Reference,31,7)</f>
        <v>0.14945236610000001</v>
      </c>
      <c r="F75" s="4">
        <f ca="1">OFFSET(Taranaki_Reference,32,7)</f>
        <v>0.15388158669999999</v>
      </c>
      <c r="G75" s="4">
        <f ca="1">OFFSET(Taranaki_Reference,33,7)</f>
        <v>0.15421472250000001</v>
      </c>
      <c r="H75" s="4">
        <f ca="1">OFFSET(Taranaki_Reference,34,7)</f>
        <v>0.1533378906</v>
      </c>
      <c r="I75" s="1">
        <f ca="1">H75*('Updated Population'!I$70/'Updated Population'!H$70)</f>
        <v>0.15656044718744927</v>
      </c>
      <c r="J75" s="1">
        <f ca="1">I75*('Updated Population'!J$70/'Updated Population'!I$70)</f>
        <v>0.15941028672979549</v>
      </c>
      <c r="K75" s="1">
        <f ca="1">J75*('Updated Population'!K$70/'Updated Population'!J$70)</f>
        <v>0.16203284667493767</v>
      </c>
    </row>
    <row r="76" spans="1:11" x14ac:dyDescent="0.2">
      <c r="A76" t="str">
        <f ca="1">OFFSET(Taranaki_Reference,35,2)</f>
        <v>Motorcyclist</v>
      </c>
      <c r="B76" s="4">
        <f ca="1">OFFSET(Taranaki_Reference,35,7)</f>
        <v>0.25001806910000002</v>
      </c>
      <c r="C76" s="4">
        <f ca="1">OFFSET(Taranaki_Reference,36,7)</f>
        <v>0.26559049680000002</v>
      </c>
      <c r="D76" s="4">
        <f ca="1">OFFSET(Taranaki_Reference,37,7)</f>
        <v>0.27133442209999997</v>
      </c>
      <c r="E76" s="4">
        <f ca="1">OFFSET(Taranaki_Reference,38,7)</f>
        <v>0.27123147819999999</v>
      </c>
      <c r="F76" s="4">
        <f ca="1">OFFSET(Taranaki_Reference,39,7)</f>
        <v>0.26637803729999998</v>
      </c>
      <c r="G76" s="4">
        <f ca="1">OFFSET(Taranaki_Reference,40,7)</f>
        <v>0.26206302879999999</v>
      </c>
      <c r="H76" s="4">
        <f ca="1">OFFSET(Taranaki_Reference,41,7)</f>
        <v>0.2572607354</v>
      </c>
      <c r="I76" s="1">
        <f ca="1">H76*('Updated Population'!I$70/'Updated Population'!H$70)</f>
        <v>0.26266733956229382</v>
      </c>
      <c r="J76" s="1">
        <f ca="1">I76*('Updated Population'!J$70/'Updated Population'!I$70)</f>
        <v>0.26744862234613292</v>
      </c>
      <c r="K76" s="1">
        <f ca="1">J76*('Updated Population'!K$70/'Updated Population'!J$70)</f>
        <v>0.27184858961761343</v>
      </c>
    </row>
    <row r="77" spans="1:11" x14ac:dyDescent="0.2">
      <c r="A77" t="str">
        <f ca="1">OFFSET(Taranaki_Reference,42,2)</f>
        <v>Local Train</v>
      </c>
      <c r="B77" s="4">
        <f ca="1">OFFSET(Taranaki_Reference,42,7)</f>
        <v>8.8777196999999999E-3</v>
      </c>
      <c r="C77" s="4">
        <f ca="1">OFFSET(Taranaki_Reference,43,7)</f>
        <v>8.7687536E-3</v>
      </c>
      <c r="D77" s="4">
        <f ca="1">OFFSET(Taranaki_Reference,44,7)</f>
        <v>8.2282650999999998E-3</v>
      </c>
      <c r="E77" s="4">
        <f ca="1">OFFSET(Taranaki_Reference,45,7)</f>
        <v>8.2985031000000001E-3</v>
      </c>
      <c r="F77" s="4">
        <f ca="1">OFFSET(Taranaki_Reference,46,7)</f>
        <v>9.3713033999999994E-3</v>
      </c>
      <c r="G77" s="4">
        <f ca="1">OFFSET(Taranaki_Reference,47,7)</f>
        <v>1.1242692E-2</v>
      </c>
      <c r="H77" s="4">
        <f ca="1">OFFSET(Taranaki_Reference,48,7)</f>
        <v>1.3145012500000001E-2</v>
      </c>
      <c r="I77" s="1">
        <f ca="1">H77*('Updated Population'!I$70/'Updated Population'!H$70)</f>
        <v>1.34212687238089E-2</v>
      </c>
      <c r="J77" s="1">
        <f ca="1">I77*('Updated Population'!J$70/'Updated Population'!I$70)</f>
        <v>1.3665573482799339E-2</v>
      </c>
      <c r="K77" s="1">
        <f ca="1">J77*('Updated Population'!K$70/'Updated Population'!J$70)</f>
        <v>1.3890394517743805E-2</v>
      </c>
    </row>
    <row r="78" spans="1:11" x14ac:dyDescent="0.2">
      <c r="A78" t="str">
        <f ca="1">OFFSET(Taranaki_Reference,49,2)</f>
        <v>Local Bus</v>
      </c>
      <c r="B78" s="4">
        <f ca="1">OFFSET(Taranaki_Reference,49,7)</f>
        <v>0.4632962336</v>
      </c>
      <c r="C78" s="4">
        <f ca="1">OFFSET(Taranaki_Reference,50,7)</f>
        <v>0.48418283130000001</v>
      </c>
      <c r="D78" s="4">
        <f ca="1">OFFSET(Taranaki_Reference,51,7)</f>
        <v>0.4981098015</v>
      </c>
      <c r="E78" s="4">
        <f ca="1">OFFSET(Taranaki_Reference,52,7)</f>
        <v>0.49856022459999999</v>
      </c>
      <c r="F78" s="4">
        <f ca="1">OFFSET(Taranaki_Reference,53,7)</f>
        <v>0.49225892469999999</v>
      </c>
      <c r="G78" s="4">
        <f ca="1">OFFSET(Taranaki_Reference,54,7)</f>
        <v>0.50752752769999998</v>
      </c>
      <c r="H78" s="4">
        <f ca="1">OFFSET(Taranaki_Reference,55,7)</f>
        <v>0.52129328939999997</v>
      </c>
      <c r="I78" s="1">
        <f ca="1">H78*('Updated Population'!I$70/'Updated Population'!H$70)</f>
        <v>0.53224881459456053</v>
      </c>
      <c r="J78" s="1">
        <f ca="1">I78*('Updated Population'!J$70/'Updated Population'!I$70)</f>
        <v>0.54193723683304829</v>
      </c>
      <c r="K78" s="1">
        <f ca="1">J78*('Updated Population'!K$70/'Updated Population'!J$70)</f>
        <v>0.55085299076120264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OFFSET(Taranaki_Reference,56,7)</f>
        <v>5.6354069499999999E-2</v>
      </c>
      <c r="C80" s="4">
        <f ca="1">OFFSET(Taranaki_Reference,57,7)</f>
        <v>6.0078277800000003E-2</v>
      </c>
      <c r="D80" s="4">
        <f ca="1">OFFSET(Taranaki_Reference,58,7)</f>
        <v>6.3362251499999994E-2</v>
      </c>
      <c r="E80" s="4">
        <f ca="1">OFFSET(Taranaki_Reference,59,7)</f>
        <v>7.0292968299999994E-2</v>
      </c>
      <c r="F80" s="4">
        <f ca="1">OFFSET(Taranaki_Reference,60,7)</f>
        <v>8.2816069300000003E-2</v>
      </c>
      <c r="G80" s="4">
        <f ca="1">OFFSET(Taranaki_Reference,61,7)</f>
        <v>9.1173000099999998E-2</v>
      </c>
      <c r="H80" s="4">
        <f ca="1">OFFSET(Taranaki_Reference,62,7)</f>
        <v>9.5659178499999997E-2</v>
      </c>
      <c r="I80" s="1">
        <f ca="1">H80*('Updated Population'!I$70/'Updated Population'!H$70)</f>
        <v>9.7669556460847989E-2</v>
      </c>
      <c r="J80" s="1">
        <f ca="1">I80*('Updated Population'!J$70/'Updated Population'!I$70)</f>
        <v>9.9447416508426173E-2</v>
      </c>
      <c r="K80" s="1">
        <f ca="1">J80*('Updated Population'!K$70/'Updated Population'!J$70)</f>
        <v>0.10108348916429526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OFFSET(Manawatu_Reference,0,7)</f>
        <v>8.3408449691000008</v>
      </c>
      <c r="C82" s="4">
        <f ca="1">OFFSET(Manawatu_Reference,1,7)</f>
        <v>8.2510815033</v>
      </c>
      <c r="D82" s="4">
        <f ca="1">OFFSET(Manawatu_Reference,2,7)</f>
        <v>7.9996800588000001</v>
      </c>
      <c r="E82" s="4">
        <f ca="1">OFFSET(Manawatu_Reference,3,7)</f>
        <v>7.5246297603999999</v>
      </c>
      <c r="F82" s="4">
        <f ca="1">OFFSET(Manawatu_Reference,4,7)</f>
        <v>7.0513708211999999</v>
      </c>
      <c r="G82" s="4">
        <f ca="1">OFFSET(Manawatu_Reference,5,7)</f>
        <v>6.5938896463000001</v>
      </c>
      <c r="H82" s="4">
        <f ca="1">OFFSET(Manawatu_Reference,6,7)</f>
        <v>6.1752002228</v>
      </c>
      <c r="I82" s="1">
        <f ca="1">H82*('Updated Population'!I$81/'Updated Population'!H$81)</f>
        <v>6.1820511573539036</v>
      </c>
      <c r="J82" s="1">
        <f ca="1">I82*('Updated Population'!J$81/'Updated Population'!I$81)</f>
        <v>6.1726613306911249</v>
      </c>
      <c r="K82" s="1">
        <f ca="1">J82*('Updated Population'!K$81/'Updated Population'!J$81)</f>
        <v>6.1536018517110618</v>
      </c>
    </row>
    <row r="83" spans="1:11" x14ac:dyDescent="0.2">
      <c r="A83" t="str">
        <f ca="1">OFFSET(Manawatu_Reference,7,2)</f>
        <v>Cyclist</v>
      </c>
      <c r="B83" s="4">
        <f ca="1">OFFSET(Manawatu_Reference,7,7)</f>
        <v>1.7566260256999999</v>
      </c>
      <c r="C83" s="4">
        <f ca="1">OFFSET(Manawatu_Reference,8,7)</f>
        <v>1.9305336439</v>
      </c>
      <c r="D83" s="4">
        <f ca="1">OFFSET(Manawatu_Reference,9,7)</f>
        <v>2.0551213770999999</v>
      </c>
      <c r="E83" s="4">
        <f ca="1">OFFSET(Manawatu_Reference,10,7)</f>
        <v>2.1241784716000001</v>
      </c>
      <c r="F83" s="4">
        <f ca="1">OFFSET(Manawatu_Reference,11,7)</f>
        <v>2.1769150525000001</v>
      </c>
      <c r="G83" s="4">
        <f ca="1">OFFSET(Manawatu_Reference,12,7)</f>
        <v>2.1825882433000001</v>
      </c>
      <c r="H83" s="4">
        <f ca="1">OFFSET(Manawatu_Reference,13,7)</f>
        <v>2.1744827309999999</v>
      </c>
      <c r="I83" s="1">
        <f ca="1">H83*('Updated Population'!I$81/'Updated Population'!H$81)</f>
        <v>2.1768951610980021</v>
      </c>
      <c r="J83" s="1">
        <f ca="1">I83*('Updated Population'!J$81/'Updated Population'!I$81)</f>
        <v>2.1735887070254831</v>
      </c>
      <c r="K83" s="1">
        <f ca="1">J83*('Updated Population'!K$81/'Updated Population'!J$81)</f>
        <v>2.1668772634433004</v>
      </c>
    </row>
    <row r="84" spans="1:11" x14ac:dyDescent="0.2">
      <c r="A84" t="str">
        <f ca="1">OFFSET(Manawatu_Reference,14,2)</f>
        <v>Light Vehicle Driver</v>
      </c>
      <c r="B84" s="4">
        <f ca="1">OFFSET(Manawatu_Reference,14,7)</f>
        <v>42.09204356</v>
      </c>
      <c r="C84" s="4">
        <f ca="1">OFFSET(Manawatu_Reference,15,7)</f>
        <v>45.494087706000002</v>
      </c>
      <c r="D84" s="4">
        <f ca="1">OFFSET(Manawatu_Reference,16,7)</f>
        <v>47.364095306000003</v>
      </c>
      <c r="E84" s="4">
        <f ca="1">OFFSET(Manawatu_Reference,17,7)</f>
        <v>48.518362148000001</v>
      </c>
      <c r="F84" s="4">
        <f ca="1">OFFSET(Manawatu_Reference,18,7)</f>
        <v>49.459379597999998</v>
      </c>
      <c r="G84" s="4">
        <f ca="1">OFFSET(Manawatu_Reference,19,7)</f>
        <v>49.635071173999997</v>
      </c>
      <c r="H84" s="4">
        <f ca="1">OFFSET(Manawatu_Reference,20,7)</f>
        <v>49.509530228999999</v>
      </c>
      <c r="I84" s="1">
        <f ca="1">H84*('Updated Population'!I$81/'Updated Population'!H$81)</f>
        <v>49.564457444176121</v>
      </c>
      <c r="J84" s="1">
        <f ca="1">I84*('Updated Population'!J$81/'Updated Population'!I$81)</f>
        <v>49.489174718072846</v>
      </c>
      <c r="K84" s="1">
        <f ca="1">J84*('Updated Population'!K$81/'Updated Population'!J$81)</f>
        <v>49.336365769914636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OFFSET(Manawatu_Reference,21,7)</f>
        <v>20.286542670999999</v>
      </c>
      <c r="C85" s="4">
        <f ca="1">OFFSET(Manawatu_Reference,22,7)</f>
        <v>20.679045131999999</v>
      </c>
      <c r="D85" s="4">
        <f ca="1">OFFSET(Manawatu_Reference,23,7)</f>
        <v>20.769843345999998</v>
      </c>
      <c r="E85" s="4">
        <f ca="1">OFFSET(Manawatu_Reference,24,7)</f>
        <v>20.684412644999998</v>
      </c>
      <c r="F85" s="4">
        <f ca="1">OFFSET(Manawatu_Reference,25,7)</f>
        <v>20.768273444999998</v>
      </c>
      <c r="G85" s="4">
        <f ca="1">OFFSET(Manawatu_Reference,26,7)</f>
        <v>20.742935113000001</v>
      </c>
      <c r="H85" s="4">
        <f ca="1">OFFSET(Manawatu_Reference,27,7)</f>
        <v>20.63650646</v>
      </c>
      <c r="I85" s="1">
        <f ca="1">H85*('Updated Population'!I$81/'Updated Population'!H$81)</f>
        <v>20.659401159779396</v>
      </c>
      <c r="J85" s="1">
        <f ca="1">I85*('Updated Population'!J$81/'Updated Population'!I$81)</f>
        <v>20.628021898930609</v>
      </c>
      <c r="K85" s="1">
        <f ca="1">J85*('Updated Population'!K$81/'Updated Population'!J$81)</f>
        <v>20.564328245784903</v>
      </c>
    </row>
    <row r="86" spans="1:11" x14ac:dyDescent="0.2">
      <c r="A86" t="str">
        <f ca="1">OFFSET(Manawatu_Reference,28,2)</f>
        <v>Taxi/Vehicle Share</v>
      </c>
      <c r="B86" s="4">
        <f ca="1">OFFSET(Manawatu_Reference,28,7)</f>
        <v>0.26821620219999998</v>
      </c>
      <c r="C86" s="4">
        <f ca="1">OFFSET(Manawatu_Reference,29,7)</f>
        <v>0.31967833109999999</v>
      </c>
      <c r="D86" s="4">
        <f ca="1">OFFSET(Manawatu_Reference,30,7)</f>
        <v>0.3470837088</v>
      </c>
      <c r="E86" s="4">
        <f ca="1">OFFSET(Manawatu_Reference,31,7)</f>
        <v>0.35159369559999998</v>
      </c>
      <c r="F86" s="4">
        <f ca="1">OFFSET(Manawatu_Reference,32,7)</f>
        <v>0.35443381619999997</v>
      </c>
      <c r="G86" s="4">
        <f ca="1">OFFSET(Manawatu_Reference,33,7)</f>
        <v>0.37746347130000002</v>
      </c>
      <c r="H86" s="4">
        <f ca="1">OFFSET(Manawatu_Reference,34,7)</f>
        <v>0.40209950630000002</v>
      </c>
      <c r="I86" s="1">
        <f ca="1">H86*('Updated Population'!I$81/'Updated Population'!H$81)</f>
        <v>0.40254560639431713</v>
      </c>
      <c r="J86" s="1">
        <f ca="1">I86*('Updated Population'!J$81/'Updated Population'!I$81)</f>
        <v>0.40193418578783935</v>
      </c>
      <c r="K86" s="1">
        <f ca="1">J86*('Updated Population'!K$81/'Updated Population'!J$81)</f>
        <v>0.40069312366649756</v>
      </c>
    </row>
    <row r="87" spans="1:11" x14ac:dyDescent="0.2">
      <c r="A87" t="str">
        <f ca="1">OFFSET(Manawatu_Reference,35,2)</f>
        <v>Motorcyclist</v>
      </c>
      <c r="B87" s="4">
        <f ca="1">OFFSET(Manawatu_Reference,35,7)</f>
        <v>0.1643149203</v>
      </c>
      <c r="C87" s="4">
        <f ca="1">OFFSET(Manawatu_Reference,36,7)</f>
        <v>0.1586296264</v>
      </c>
      <c r="D87" s="4">
        <f ca="1">OFFSET(Manawatu_Reference,37,7)</f>
        <v>0.1479103464</v>
      </c>
      <c r="E87" s="4">
        <f ca="1">OFFSET(Manawatu_Reference,38,7)</f>
        <v>0.1322136283</v>
      </c>
      <c r="F87" s="4">
        <f ca="1">OFFSET(Manawatu_Reference,39,7)</f>
        <v>0.1228928438</v>
      </c>
      <c r="G87" s="4">
        <f ca="1">OFFSET(Manawatu_Reference,40,7)</f>
        <v>0.1190552377</v>
      </c>
      <c r="H87" s="4">
        <f ca="1">OFFSET(Manawatu_Reference,41,7)</f>
        <v>0.1138483235</v>
      </c>
      <c r="I87" s="1">
        <f ca="1">H87*('Updated Population'!I$81/'Updated Population'!H$81)</f>
        <v>0.11397462991683331</v>
      </c>
      <c r="J87" s="1">
        <f ca="1">I87*('Updated Population'!J$81/'Updated Population'!I$81)</f>
        <v>0.11380151552621549</v>
      </c>
      <c r="K87" s="1">
        <f ca="1">J87*('Updated Population'!K$81/'Updated Population'!J$81)</f>
        <v>0.11345012777353146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OFFSET(Manawatu_Reference,42,7)</f>
        <v>1.7349616699999999</v>
      </c>
      <c r="C89" s="4">
        <f ca="1">OFFSET(Manawatu_Reference,43,7)</f>
        <v>1.5928493693000001</v>
      </c>
      <c r="D89" s="4">
        <f ca="1">OFFSET(Manawatu_Reference,44,7)</f>
        <v>1.4711924487000001</v>
      </c>
      <c r="E89" s="4">
        <f ca="1">OFFSET(Manawatu_Reference,45,7)</f>
        <v>1.3726948413</v>
      </c>
      <c r="F89" s="4">
        <f ca="1">OFFSET(Manawatu_Reference,46,7)</f>
        <v>1.2829070495999999</v>
      </c>
      <c r="G89" s="4">
        <f ca="1">OFFSET(Manawatu_Reference,47,7)</f>
        <v>1.1896391038</v>
      </c>
      <c r="H89" s="4">
        <f ca="1">OFFSET(Manawatu_Reference,48,7)</f>
        <v>1.0887806358000001</v>
      </c>
      <c r="I89" s="1">
        <f ca="1">H89*('Updated Population'!I$81/'Updated Population'!H$81)</f>
        <v>1.089988558557206</v>
      </c>
      <c r="J89" s="1">
        <f ca="1">I89*('Updated Population'!J$81/'Updated Population'!I$81)</f>
        <v>1.0883329909520933</v>
      </c>
      <c r="K89" s="1">
        <f ca="1">J89*('Updated Population'!K$81/'Updated Population'!J$81)</f>
        <v>1.0849725182721452</v>
      </c>
    </row>
    <row r="90" spans="1:11" x14ac:dyDescent="0.2">
      <c r="A90" t="str">
        <f ca="1">OFFSET(Manawatu_Reference,49,2)</f>
        <v>Local Ferry</v>
      </c>
      <c r="B90" s="4">
        <f ca="1">OFFSET(Manawatu_Reference,49,7)</f>
        <v>1.3357739E-2</v>
      </c>
      <c r="C90" s="4">
        <f ca="1">OFFSET(Manawatu_Reference,50,7)</f>
        <v>1.49710382E-2</v>
      </c>
      <c r="D90" s="4">
        <f ca="1">OFFSET(Manawatu_Reference,51,7)</f>
        <v>1.59419199E-2</v>
      </c>
      <c r="E90" s="4">
        <f ca="1">OFFSET(Manawatu_Reference,52,7)</f>
        <v>1.7613739100000001E-2</v>
      </c>
      <c r="F90" s="4">
        <f ca="1">OFFSET(Manawatu_Reference,53,7)</f>
        <v>1.8039729399999999E-2</v>
      </c>
      <c r="G90" s="4">
        <f ca="1">OFFSET(Manawatu_Reference,54,7)</f>
        <v>1.7534639899999999E-2</v>
      </c>
      <c r="H90" s="4">
        <f ca="1">OFFSET(Manawatu_Reference,55,7)</f>
        <v>1.6902378799999999E-2</v>
      </c>
      <c r="I90" s="1">
        <f ca="1">H90*('Updated Population'!I$81/'Updated Population'!H$81)</f>
        <v>1.692113075731088E-2</v>
      </c>
      <c r="J90" s="1">
        <f ca="1">I90*('Updated Population'!J$81/'Updated Population'!I$81)</f>
        <v>1.6895429500445616E-2</v>
      </c>
      <c r="K90" s="1">
        <f ca="1">J90*('Updated Population'!K$81/'Updated Population'!J$81)</f>
        <v>1.6843261065119061E-2</v>
      </c>
    </row>
    <row r="91" spans="1:11" x14ac:dyDescent="0.2">
      <c r="A91" t="str">
        <f ca="1">OFFSET(Manawatu_Reference,56,2)</f>
        <v>Other Household Travel</v>
      </c>
      <c r="B91" s="4">
        <f ca="1">OFFSET(Manawatu_Reference,56,7)</f>
        <v>3.9735238899999997E-2</v>
      </c>
      <c r="C91" s="4">
        <f ca="1">OFFSET(Manawatu_Reference,57,7)</f>
        <v>3.7969601800000002E-2</v>
      </c>
      <c r="D91" s="4">
        <f ca="1">OFFSET(Manawatu_Reference,58,7)</f>
        <v>3.4600539899999998E-2</v>
      </c>
      <c r="E91" s="4">
        <f ca="1">OFFSET(Manawatu_Reference,59,7)</f>
        <v>3.0384627599999998E-2</v>
      </c>
      <c r="F91" s="4">
        <f ca="1">OFFSET(Manawatu_Reference,60,7)</f>
        <v>2.7585458100000002E-2</v>
      </c>
      <c r="G91" s="4">
        <f ca="1">OFFSET(Manawatu_Reference,61,7)</f>
        <v>2.5204759199999999E-2</v>
      </c>
      <c r="H91" s="4">
        <f ca="1">OFFSET(Manawatu_Reference,62,7)</f>
        <v>2.2511562499999999E-2</v>
      </c>
      <c r="I91" s="1">
        <f ca="1">H91*('Updated Population'!I$81/'Updated Population'!H$81)</f>
        <v>2.2536537437788117E-2</v>
      </c>
      <c r="J91" s="1">
        <f ca="1">I91*('Updated Population'!J$81/'Updated Population'!I$81)</f>
        <v>2.2502307022229627E-2</v>
      </c>
      <c r="K91" s="1">
        <f ca="1">J91*('Updated Population'!K$81/'Updated Population'!J$81)</f>
        <v>2.243282609257605E-2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OFFSET(Wellington_Reference,0,7)</f>
        <v>32.985647405999998</v>
      </c>
      <c r="C93" s="4">
        <f ca="1">OFFSET(Wellington_Reference,1,7)</f>
        <v>35.535702491999999</v>
      </c>
      <c r="D93" s="4">
        <f ca="1">OFFSET(Wellington_Reference,2,7)</f>
        <v>36.843545433999999</v>
      </c>
      <c r="E93" s="4">
        <f ca="1">OFFSET(Wellington_Reference,3,7)</f>
        <v>38.311459913</v>
      </c>
      <c r="F93" s="4">
        <f ca="1">OFFSET(Wellington_Reference,4,7)</f>
        <v>39.644547842999998</v>
      </c>
      <c r="G93" s="4">
        <f ca="1">OFFSET(Wellington_Reference,5,7)</f>
        <v>40.888281010999997</v>
      </c>
      <c r="H93" s="4">
        <f ca="1">OFFSET(Wellington_Reference,6,7)</f>
        <v>42.021579107999997</v>
      </c>
      <c r="I93" s="1">
        <f ca="1">H93*('Updated Population'!I$92/'Updated Population'!H$92)</f>
        <v>42.948245427644586</v>
      </c>
      <c r="J93" s="1">
        <f ca="1">I93*('Updated Population'!J$92/'Updated Population'!I$92)</f>
        <v>43.765983556729779</v>
      </c>
      <c r="K93" s="1">
        <f ca="1">J93*('Updated Population'!K$92/'Updated Population'!J$92)</f>
        <v>44.514252665128737</v>
      </c>
    </row>
    <row r="94" spans="1:11" x14ac:dyDescent="0.2">
      <c r="A94" t="str">
        <f ca="1">OFFSET(Wellington_Reference,7,2)</f>
        <v>Cyclist</v>
      </c>
      <c r="B94" s="4">
        <f ca="1">OFFSET(Wellington_Reference,7,7)</f>
        <v>3.6978261002999999</v>
      </c>
      <c r="C94" s="4">
        <f ca="1">OFFSET(Wellington_Reference,8,7)</f>
        <v>3.9817902190000001</v>
      </c>
      <c r="D94" s="4">
        <f ca="1">OFFSET(Wellington_Reference,9,7)</f>
        <v>4.1143884247000004</v>
      </c>
      <c r="E94" s="4">
        <f ca="1">OFFSET(Wellington_Reference,10,7)</f>
        <v>4.2509635308</v>
      </c>
      <c r="F94" s="4">
        <f ca="1">OFFSET(Wellington_Reference,11,7)</f>
        <v>4.5479570425000002</v>
      </c>
      <c r="G94" s="4">
        <f ca="1">OFFSET(Wellington_Reference,12,7)</f>
        <v>4.9832096256999998</v>
      </c>
      <c r="H94" s="4">
        <f ca="1">OFFSET(Wellington_Reference,13,7)</f>
        <v>5.4421418192999997</v>
      </c>
      <c r="I94" s="1">
        <f ca="1">H94*('Updated Population'!I$92/'Updated Population'!H$92)</f>
        <v>5.5621527669541431</v>
      </c>
      <c r="J94" s="1">
        <f ca="1">I94*('Updated Population'!J$92/'Updated Population'!I$92)</f>
        <v>5.6680566135966748</v>
      </c>
      <c r="K94" s="1">
        <f ca="1">J94*('Updated Population'!K$92/'Updated Population'!J$92)</f>
        <v>5.7649636478716682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OFFSET(Wellington_Reference,14,7)</f>
        <v>92.129697210000003</v>
      </c>
      <c r="C95" s="4">
        <f ca="1">OFFSET(Wellington_Reference,15,7)</f>
        <v>98.888412060999997</v>
      </c>
      <c r="D95" s="4">
        <f ca="1">OFFSET(Wellington_Reference,16,7)</f>
        <v>103.22082046</v>
      </c>
      <c r="E95" s="4">
        <f ca="1">OFFSET(Wellington_Reference,17,7)</f>
        <v>109.17294712</v>
      </c>
      <c r="F95" s="4">
        <f ca="1">OFFSET(Wellington_Reference,18,7)</f>
        <v>114.91557026</v>
      </c>
      <c r="G95" s="4">
        <f ca="1">OFFSET(Wellington_Reference,19,7)</f>
        <v>119.80245468</v>
      </c>
      <c r="H95" s="4">
        <f ca="1">OFFSET(Wellington_Reference,20,7)</f>
        <v>124.21460869000001</v>
      </c>
      <c r="I95" s="1">
        <f ca="1">H95*('Updated Population'!I$92/'Updated Population'!H$92)</f>
        <v>126.95380832800079</v>
      </c>
      <c r="J95" s="1">
        <f ca="1">I95*('Updated Population'!J$92/'Updated Population'!I$92)</f>
        <v>129.37101929130492</v>
      </c>
      <c r="K95" s="1">
        <f ca="1">J95*('Updated Population'!K$92/'Updated Population'!J$92)</f>
        <v>131.58288177880712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OFFSET(Wellington_Reference,21,7)</f>
        <v>48.966354531</v>
      </c>
      <c r="C96" s="4">
        <f ca="1">OFFSET(Wellington_Reference,22,7)</f>
        <v>50.681857047000001</v>
      </c>
      <c r="D96" s="4">
        <f ca="1">OFFSET(Wellington_Reference,23,7)</f>
        <v>51.467476109000003</v>
      </c>
      <c r="E96" s="4">
        <f ca="1">OFFSET(Wellington_Reference,24,7)</f>
        <v>52.574226039000003</v>
      </c>
      <c r="F96" s="4">
        <f ca="1">OFFSET(Wellington_Reference,25,7)</f>
        <v>53.67067187</v>
      </c>
      <c r="G96" s="4">
        <f ca="1">OFFSET(Wellington_Reference,26,7)</f>
        <v>54.400864646000002</v>
      </c>
      <c r="H96" s="4">
        <f ca="1">OFFSET(Wellington_Reference,27,7)</f>
        <v>54.833946834000002</v>
      </c>
      <c r="I96" s="1">
        <f ca="1">H96*('Updated Population'!I$92/'Updated Population'!H$92)</f>
        <v>56.04315345552309</v>
      </c>
      <c r="J96" s="1">
        <f ca="1">I96*('Updated Population'!J$92/'Updated Population'!I$92)</f>
        <v>57.110219711628048</v>
      </c>
      <c r="K96" s="1">
        <f ca="1">J96*('Updated Population'!K$92/'Updated Population'!J$92)</f>
        <v>58.086635862054479</v>
      </c>
    </row>
    <row r="97" spans="1:11" x14ac:dyDescent="0.2">
      <c r="A97" t="str">
        <f ca="1">OFFSET(Wellington_Reference,28,2)</f>
        <v>Taxi/Vehicle Share</v>
      </c>
      <c r="B97" s="4">
        <f ca="1">OFFSET(Wellington_Reference,28,7)</f>
        <v>0.76229285280000003</v>
      </c>
      <c r="C97" s="4">
        <f ca="1">OFFSET(Wellington_Reference,29,7)</f>
        <v>0.83114396690000003</v>
      </c>
      <c r="D97" s="4">
        <f ca="1">OFFSET(Wellington_Reference,30,7)</f>
        <v>0.89051783979999999</v>
      </c>
      <c r="E97" s="4">
        <f ca="1">OFFSET(Wellington_Reference,31,7)</f>
        <v>0.96930699379999996</v>
      </c>
      <c r="F97" s="4">
        <f ca="1">OFFSET(Wellington_Reference,32,7)</f>
        <v>1.0378713101999999</v>
      </c>
      <c r="G97" s="4">
        <f ca="1">OFFSET(Wellington_Reference,33,7)</f>
        <v>1.0880160775000001</v>
      </c>
      <c r="H97" s="4">
        <f ca="1">OFFSET(Wellington_Reference,34,7)</f>
        <v>1.1320938256999999</v>
      </c>
      <c r="I97" s="1">
        <f ca="1">H97*('Updated Population'!I$92/'Updated Population'!H$92)</f>
        <v>1.1570589327050829</v>
      </c>
      <c r="J97" s="1">
        <f ca="1">I97*('Updated Population'!J$92/'Updated Population'!I$92)</f>
        <v>1.1790894300502093</v>
      </c>
      <c r="K97" s="1">
        <f ca="1">J97*('Updated Population'!K$92/'Updated Population'!J$92)</f>
        <v>1.1992483782754375</v>
      </c>
    </row>
    <row r="98" spans="1:11" x14ac:dyDescent="0.2">
      <c r="A98" t="str">
        <f ca="1">OFFSET(Wellington_Reference,35,2)</f>
        <v>Motorcyclist</v>
      </c>
      <c r="B98" s="4">
        <f ca="1">OFFSET(Wellington_Reference,35,7)</f>
        <v>0.71073078609999996</v>
      </c>
      <c r="C98" s="4">
        <f ca="1">OFFSET(Wellington_Reference,36,7)</f>
        <v>0.73986955409999999</v>
      </c>
      <c r="D98" s="4">
        <f ca="1">OFFSET(Wellington_Reference,37,7)</f>
        <v>0.74320626089999997</v>
      </c>
      <c r="E98" s="4">
        <f ca="1">OFFSET(Wellington_Reference,38,7)</f>
        <v>0.76260897319999998</v>
      </c>
      <c r="F98" s="4">
        <f ca="1">OFFSET(Wellington_Reference,39,7)</f>
        <v>0.80182981499999995</v>
      </c>
      <c r="G98" s="4">
        <f ca="1">OFFSET(Wellington_Reference,40,7)</f>
        <v>0.83540665889999999</v>
      </c>
      <c r="H98" s="4">
        <f ca="1">OFFSET(Wellington_Reference,41,7)</f>
        <v>0.85781365980000002</v>
      </c>
      <c r="I98" s="1">
        <f ca="1">H98*('Updated Population'!I$92/'Updated Population'!H$92)</f>
        <v>0.8767302984399884</v>
      </c>
      <c r="J98" s="1">
        <f ca="1">I98*('Updated Population'!J$92/'Updated Population'!I$92)</f>
        <v>0.89342331550785548</v>
      </c>
      <c r="K98" s="1">
        <f ca="1">J98*('Updated Population'!K$92/'Updated Population'!J$92)</f>
        <v>0.90869821654718352</v>
      </c>
    </row>
    <row r="99" spans="1:11" x14ac:dyDescent="0.2">
      <c r="A99" t="str">
        <f ca="1">OFFSET(Wellington_Reference,42,2)</f>
        <v>Local Train</v>
      </c>
      <c r="B99" s="4">
        <f ca="1">OFFSET(Wellington_Reference,42,7)</f>
        <v>5.5268751299999996</v>
      </c>
      <c r="C99" s="4">
        <f ca="1">OFFSET(Wellington_Reference,43,7)</f>
        <v>5.9722013032000003</v>
      </c>
      <c r="D99" s="4">
        <f ca="1">OFFSET(Wellington_Reference,44,7)</f>
        <v>6.2906053629000001</v>
      </c>
      <c r="E99" s="4">
        <f ca="1">OFFSET(Wellington_Reference,45,7)</f>
        <v>6.5361995627000002</v>
      </c>
      <c r="F99" s="4">
        <f ca="1">OFFSET(Wellington_Reference,46,7)</f>
        <v>6.6633950145999998</v>
      </c>
      <c r="G99" s="4">
        <f ca="1">OFFSET(Wellington_Reference,47,7)</f>
        <v>6.8175096367999997</v>
      </c>
      <c r="H99" s="4">
        <f ca="1">OFFSET(Wellington_Reference,48,7)</f>
        <v>6.9350759681999996</v>
      </c>
      <c r="I99" s="1">
        <f ca="1">H99*('Updated Population'!I$92/'Updated Population'!H$92)</f>
        <v>7.088009329114179</v>
      </c>
      <c r="J99" s="1">
        <f ca="1">I99*('Updated Population'!J$92/'Updated Population'!I$92)</f>
        <v>7.2229656103316042</v>
      </c>
      <c r="K99" s="1">
        <f ca="1">J99*('Updated Population'!K$92/'Updated Population'!J$92)</f>
        <v>7.3464569978891019</v>
      </c>
    </row>
    <row r="100" spans="1:11" x14ac:dyDescent="0.2">
      <c r="A100" t="str">
        <f ca="1">OFFSET(Wellington_Reference,49,2)</f>
        <v>Local Bus</v>
      </c>
      <c r="B100" s="4">
        <f ca="1">OFFSET(Wellington_Reference,49,7)</f>
        <v>9.3956469076999998</v>
      </c>
      <c r="C100" s="4">
        <f ca="1">OFFSET(Wellington_Reference,50,7)</f>
        <v>9.9524310807000003</v>
      </c>
      <c r="D100" s="4">
        <f ca="1">OFFSET(Wellington_Reference,51,7)</f>
        <v>10.221614831</v>
      </c>
      <c r="E100" s="4">
        <f ca="1">OFFSET(Wellington_Reference,52,7)</f>
        <v>10.277843769</v>
      </c>
      <c r="F100" s="4">
        <f ca="1">OFFSET(Wellington_Reference,53,7)</f>
        <v>10.191776047999999</v>
      </c>
      <c r="G100" s="4">
        <f ca="1">OFFSET(Wellington_Reference,54,7)</f>
        <v>10.057332625000001</v>
      </c>
      <c r="H100" s="4">
        <f ca="1">OFFSET(Wellington_Reference,55,7)</f>
        <v>9.8641072621999992</v>
      </c>
      <c r="I100" s="1">
        <f ca="1">H100*('Updated Population'!I$92/'Updated Population'!H$92)</f>
        <v>10.081632071292718</v>
      </c>
      <c r="J100" s="1">
        <f ca="1">I100*('Updated Population'!J$92/'Updated Population'!I$92)</f>
        <v>10.273587176001085</v>
      </c>
      <c r="K100" s="1">
        <f ca="1">J100*('Updated Population'!K$92/'Updated Population'!J$92)</f>
        <v>10.449235185973963</v>
      </c>
    </row>
    <row r="101" spans="1:11" x14ac:dyDescent="0.2">
      <c r="A101" t="str">
        <f ca="1">OFFSET(Wellington_Reference,56,2)</f>
        <v>Local Ferry</v>
      </c>
      <c r="B101" s="4">
        <f ca="1">OFFSET(Wellington_Reference,56,7)</f>
        <v>5.6537513499999997E-2</v>
      </c>
      <c r="C101" s="4">
        <f ca="1">OFFSET(Wellington_Reference,57,7)</f>
        <v>6.7346322200000003E-2</v>
      </c>
      <c r="D101" s="4">
        <f ca="1">OFFSET(Wellington_Reference,58,7)</f>
        <v>7.4103047000000005E-2</v>
      </c>
      <c r="E101" s="4">
        <f ca="1">OFFSET(Wellington_Reference,59,7)</f>
        <v>8.1749854999999996E-2</v>
      </c>
      <c r="F101" s="4">
        <f ca="1">OFFSET(Wellington_Reference,60,7)</f>
        <v>9.0246716500000004E-2</v>
      </c>
      <c r="G101" s="4">
        <f ca="1">OFFSET(Wellington_Reference,61,7)</f>
        <v>0.10134895870000001</v>
      </c>
      <c r="H101" s="4">
        <f ca="1">OFFSET(Wellington_Reference,62,7)</f>
        <v>0.1133277536</v>
      </c>
      <c r="I101" s="1">
        <f ca="1">H101*('Updated Population'!I$92/'Updated Population'!H$92)</f>
        <v>0.11582687463665109</v>
      </c>
      <c r="J101" s="1">
        <f ca="1">I101*('Updated Population'!J$92/'Updated Population'!I$92)</f>
        <v>0.11803222786633609</v>
      </c>
      <c r="K101" s="1">
        <f ca="1">J101*('Updated Population'!K$92/'Updated Population'!J$92)</f>
        <v>0.12005023049601321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OFFSET(Wellington_Reference,63,7)</f>
        <v>0.36538599710000003</v>
      </c>
      <c r="C102" s="4">
        <f ca="1">OFFSET(Wellington_Reference,64,7)</f>
        <v>0.34710272650000001</v>
      </c>
      <c r="D102" s="4">
        <f ca="1">OFFSET(Wellington_Reference,65,7)</f>
        <v>0.36285676319999999</v>
      </c>
      <c r="E102" s="4">
        <f ca="1">OFFSET(Wellington_Reference,66,7)</f>
        <v>0.41333741400000001</v>
      </c>
      <c r="F102" s="4">
        <f ca="1">OFFSET(Wellington_Reference,67,7)</f>
        <v>0.44816190700000003</v>
      </c>
      <c r="G102" s="4">
        <f ca="1">OFFSET(Wellington_Reference,68,7)</f>
        <v>0.44614213380000001</v>
      </c>
      <c r="H102" s="4">
        <f ca="1">OFFSET(Wellington_Reference,69,7)</f>
        <v>0.43989059530000002</v>
      </c>
      <c r="I102" s="1">
        <f ca="1">H102*('Updated Population'!I$92/'Updated Population'!H$92)</f>
        <v>0.44959113030239151</v>
      </c>
      <c r="J102" s="1">
        <f ca="1">I102*('Updated Population'!J$92/'Updated Population'!I$92)</f>
        <v>0.4581513824404248</v>
      </c>
      <c r="K102" s="1">
        <f ca="1">J102*('Updated Population'!K$92/'Updated Population'!J$92)</f>
        <v>0.46598441847870054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OFFSET(Nelson_Reference,0,7)</f>
        <v>7.2640217022</v>
      </c>
      <c r="C104" s="4">
        <f ca="1">OFFSET(Nelson_Reference,1,7)</f>
        <v>7.4203677990000001</v>
      </c>
      <c r="D104" s="4">
        <f ca="1">OFFSET(Nelson_Reference,2,7)</f>
        <v>7.5911260631999999</v>
      </c>
      <c r="E104" s="4">
        <f ca="1">OFFSET(Nelson_Reference,3,7)</f>
        <v>7.8309812380999997</v>
      </c>
      <c r="F104" s="4">
        <f ca="1">OFFSET(Nelson_Reference,4,7)</f>
        <v>7.8841497803999996</v>
      </c>
      <c r="G104" s="4">
        <f ca="1">OFFSET(Nelson_Reference,5,7)</f>
        <v>7.7824751199</v>
      </c>
      <c r="H104" s="4">
        <f ca="1">OFFSET(Nelson_Reference,6,7)</f>
        <v>7.6337694247999996</v>
      </c>
      <c r="I104" s="1">
        <f ca="1">H104*('Updated Population'!I$103/'Updated Population'!H$103)</f>
        <v>7.6221478801549694</v>
      </c>
      <c r="J104" s="1">
        <f ca="1">I104*('Updated Population'!J$103/'Updated Population'!I$103)</f>
        <v>7.5866765199465158</v>
      </c>
      <c r="K104" s="1">
        <f ca="1">J104*('Updated Population'!K$103/'Updated Population'!J$103)</f>
        <v>7.53549798747924</v>
      </c>
    </row>
    <row r="105" spans="1:11" x14ac:dyDescent="0.2">
      <c r="A105" t="str">
        <f ca="1">OFFSET(Nelson_Reference,7,2)</f>
        <v>Cyclist</v>
      </c>
      <c r="B105" s="4">
        <f ca="1">OFFSET(Nelson_Reference,7,7)</f>
        <v>1.0417220854</v>
      </c>
      <c r="C105" s="4">
        <f ca="1">OFFSET(Nelson_Reference,8,7)</f>
        <v>1.0422374471</v>
      </c>
      <c r="D105" s="4">
        <f ca="1">OFFSET(Nelson_Reference,9,7)</f>
        <v>1.0625443929</v>
      </c>
      <c r="E105" s="4">
        <f ca="1">OFFSET(Nelson_Reference,10,7)</f>
        <v>1.1027322356</v>
      </c>
      <c r="F105" s="4">
        <f ca="1">OFFSET(Nelson_Reference,11,7)</f>
        <v>1.1354628261999999</v>
      </c>
      <c r="G105" s="4">
        <f ca="1">OFFSET(Nelson_Reference,12,7)</f>
        <v>1.1735142264</v>
      </c>
      <c r="H105" s="4">
        <f ca="1">OFFSET(Nelson_Reference,13,7)</f>
        <v>1.2113408269999999</v>
      </c>
      <c r="I105" s="1">
        <f ca="1">H105*('Updated Population'!I$103/'Updated Population'!H$103)</f>
        <v>1.209496698533715</v>
      </c>
      <c r="J105" s="1">
        <f ca="1">I105*('Updated Population'!J$103/'Updated Population'!I$103)</f>
        <v>1.2038680366736736</v>
      </c>
      <c r="K105" s="1">
        <f ca="1">J105*('Updated Population'!K$103/'Updated Population'!J$103)</f>
        <v>1.1957469313070177</v>
      </c>
    </row>
    <row r="106" spans="1:11" x14ac:dyDescent="0.2">
      <c r="A106" t="str">
        <f ca="1">OFFSET(Nelson_Reference,14,2)</f>
        <v>Light Vehicle Driver</v>
      </c>
      <c r="B106" s="4">
        <f ca="1">OFFSET(Nelson_Reference,14,7)</f>
        <v>23.635435057999999</v>
      </c>
      <c r="C106" s="4">
        <f ca="1">OFFSET(Nelson_Reference,15,7)</f>
        <v>24.185570049999999</v>
      </c>
      <c r="D106" s="4">
        <f ca="1">OFFSET(Nelson_Reference,16,7)</f>
        <v>24.275456824999999</v>
      </c>
      <c r="E106" s="4">
        <f ca="1">OFFSET(Nelson_Reference,17,7)</f>
        <v>24.398394851999999</v>
      </c>
      <c r="F106" s="4">
        <f ca="1">OFFSET(Nelson_Reference,18,7)</f>
        <v>24.418411513999999</v>
      </c>
      <c r="G106" s="4">
        <f ca="1">OFFSET(Nelson_Reference,19,7)</f>
        <v>24.205204542000001</v>
      </c>
      <c r="H106" s="4">
        <f ca="1">OFFSET(Nelson_Reference,20,7)</f>
        <v>23.914254222</v>
      </c>
      <c r="I106" s="1">
        <f ca="1">H106*('Updated Population'!I$103/'Updated Population'!H$103)</f>
        <v>23.877847493210066</v>
      </c>
      <c r="J106" s="1">
        <f ca="1">I106*('Updated Population'!J$103/'Updated Population'!I$103)</f>
        <v>23.766726619835335</v>
      </c>
      <c r="K106" s="1">
        <f ca="1">J106*('Updated Population'!K$103/'Updated Population'!J$103)</f>
        <v>23.606400001617708</v>
      </c>
    </row>
    <row r="107" spans="1:11" x14ac:dyDescent="0.2">
      <c r="A107" t="str">
        <f ca="1">OFFSET(Nelson_Reference,21,2)</f>
        <v>Light Vehicle Passenger</v>
      </c>
      <c r="B107" s="4">
        <f ca="1">OFFSET(Nelson_Reference,21,7)</f>
        <v>11.910351560000001</v>
      </c>
      <c r="C107" s="4">
        <f ca="1">OFFSET(Nelson_Reference,22,7)</f>
        <v>11.755151273999999</v>
      </c>
      <c r="D107" s="4">
        <f ca="1">OFFSET(Nelson_Reference,23,7)</f>
        <v>11.54083144</v>
      </c>
      <c r="E107" s="4">
        <f ca="1">OFFSET(Nelson_Reference,24,7)</f>
        <v>11.405155666000001</v>
      </c>
      <c r="F107" s="4">
        <f ca="1">OFFSET(Nelson_Reference,25,7)</f>
        <v>11.111590585</v>
      </c>
      <c r="G107" s="4">
        <f ca="1">OFFSET(Nelson_Reference,26,7)</f>
        <v>10.704591055</v>
      </c>
      <c r="H107" s="4">
        <f ca="1">OFFSET(Nelson_Reference,27,7)</f>
        <v>10.280822411999999</v>
      </c>
      <c r="I107" s="1">
        <f ca="1">H107*('Updated Population'!I$103/'Updated Population'!H$103)</f>
        <v>10.265171030618145</v>
      </c>
      <c r="J107" s="1">
        <f ca="1">I107*('Updated Population'!J$103/'Updated Population'!I$103)</f>
        <v>10.217399774411419</v>
      </c>
      <c r="K107" s="1">
        <f ca="1">J107*('Updated Population'!K$103/'Updated Population'!J$103)</f>
        <v>10.148474794585136</v>
      </c>
    </row>
    <row r="108" spans="1:11" x14ac:dyDescent="0.2">
      <c r="A108" t="str">
        <f ca="1">OFFSET(Nelson_Reference,28,2)</f>
        <v>Taxi/Vehicle Share</v>
      </c>
      <c r="B108" s="4">
        <f ca="1">OFFSET(Nelson_Reference,28,7)</f>
        <v>8.1526233300000001E-2</v>
      </c>
      <c r="C108" s="4">
        <f ca="1">OFFSET(Nelson_Reference,29,7)</f>
        <v>9.4966874699999995E-2</v>
      </c>
      <c r="D108" s="4">
        <f ca="1">OFFSET(Nelson_Reference,30,7)</f>
        <v>0.10677678559999999</v>
      </c>
      <c r="E108" s="4">
        <f ca="1">OFFSET(Nelson_Reference,31,7)</f>
        <v>0.11304045779999999</v>
      </c>
      <c r="F108" s="4">
        <f ca="1">OFFSET(Nelson_Reference,32,7)</f>
        <v>0.1164694267</v>
      </c>
      <c r="G108" s="4">
        <f ca="1">OFFSET(Nelson_Reference,33,7)</f>
        <v>0.1157701194</v>
      </c>
      <c r="H108" s="4">
        <f ca="1">OFFSET(Nelson_Reference,34,7)</f>
        <v>0.1146960569</v>
      </c>
      <c r="I108" s="1">
        <f ca="1">H108*('Updated Population'!I$103/'Updated Population'!H$103)</f>
        <v>0.11452144521451446</v>
      </c>
      <c r="J108" s="1">
        <f ca="1">I108*('Updated Population'!J$103/'Updated Population'!I$103)</f>
        <v>0.11398849420140526</v>
      </c>
      <c r="K108" s="1">
        <f ca="1">J108*('Updated Population'!K$103/'Updated Population'!J$103)</f>
        <v>0.11321954565904357</v>
      </c>
    </row>
    <row r="109" spans="1:11" x14ac:dyDescent="0.2">
      <c r="A109" t="str">
        <f ca="1">OFFSET(Nelson_Reference,35,2)</f>
        <v>Motorcyclist</v>
      </c>
      <c r="B109" s="4">
        <f ca="1">OFFSET(Nelson_Reference,35,7)</f>
        <v>0.60769230029999999</v>
      </c>
      <c r="C109" s="4">
        <f ca="1">OFFSET(Nelson_Reference,36,7)</f>
        <v>0.61390887589999998</v>
      </c>
      <c r="D109" s="4">
        <f ca="1">OFFSET(Nelson_Reference,37,7)</f>
        <v>0.61683895769999997</v>
      </c>
      <c r="E109" s="4">
        <f ca="1">OFFSET(Nelson_Reference,38,7)</f>
        <v>0.61154569329999997</v>
      </c>
      <c r="F109" s="4">
        <f ca="1">OFFSET(Nelson_Reference,39,7)</f>
        <v>0.61341930300000003</v>
      </c>
      <c r="G109" s="4">
        <f ca="1">OFFSET(Nelson_Reference,40,7)</f>
        <v>0.61090498000000004</v>
      </c>
      <c r="H109" s="4">
        <f ca="1">OFFSET(Nelson_Reference,41,7)</f>
        <v>0.60564025020000001</v>
      </c>
      <c r="I109" s="1">
        <f ca="1">H109*('Updated Population'!I$103/'Updated Population'!H$103)</f>
        <v>0.60471823188704699</v>
      </c>
      <c r="J109" s="1">
        <f ca="1">I109*('Updated Population'!J$103/'Updated Population'!I$103)</f>
        <v>0.60190404111495088</v>
      </c>
      <c r="K109" s="1">
        <f ca="1">J109*('Updated Population'!K$103/'Updated Population'!J$103)</f>
        <v>0.59784369065327025</v>
      </c>
    </row>
    <row r="110" spans="1:11" x14ac:dyDescent="0.2">
      <c r="A110" t="str">
        <f ca="1">OFFSET(Nelson_Reference,42,2)</f>
        <v>Local Train</v>
      </c>
      <c r="B110" s="4">
        <f ca="1">OFFSET(Nelson_Reference,42,7)</f>
        <v>9.9048728700000005E-2</v>
      </c>
      <c r="C110" s="4">
        <f ca="1">OFFSET(Nelson_Reference,43,7)</f>
        <v>8.7472436099999995E-2</v>
      </c>
      <c r="D110" s="4">
        <f ca="1">OFFSET(Nelson_Reference,44,7)</f>
        <v>7.2635246200000003E-2</v>
      </c>
      <c r="E110" s="4">
        <f ca="1">OFFSET(Nelson_Reference,45,7)</f>
        <v>5.4606843699999998E-2</v>
      </c>
      <c r="F110" s="4">
        <f ca="1">OFFSET(Nelson_Reference,46,7)</f>
        <v>4.4625692100000003E-2</v>
      </c>
      <c r="G110" s="4">
        <f ca="1">OFFSET(Nelson_Reference,47,7)</f>
        <v>3.95813281E-2</v>
      </c>
      <c r="H110" s="4">
        <f ca="1">OFFSET(Nelson_Reference,48,7)</f>
        <v>3.3101164400000001E-2</v>
      </c>
      <c r="I110" s="1">
        <f ca="1">H110*('Updated Population'!I$103/'Updated Population'!H$103)</f>
        <v>3.3050771646633968E-2</v>
      </c>
      <c r="J110" s="1">
        <f ca="1">I110*('Updated Population'!J$103/'Updated Population'!I$103)</f>
        <v>3.2896962530794396E-2</v>
      </c>
      <c r="K110" s="1">
        <f ca="1">J110*('Updated Population'!K$103/'Updated Population'!J$103)</f>
        <v>3.2675044770029124E-2</v>
      </c>
    </row>
    <row r="111" spans="1:11" x14ac:dyDescent="0.2">
      <c r="A111" t="str">
        <f ca="1">OFFSET(Nelson_Reference,49,2)</f>
        <v>Local Bus</v>
      </c>
      <c r="B111" s="4">
        <f ca="1">OFFSET(Nelson_Reference,49,7)</f>
        <v>0.94491203199999996</v>
      </c>
      <c r="C111" s="4">
        <f ca="1">OFFSET(Nelson_Reference,50,7)</f>
        <v>0.85855094480000005</v>
      </c>
      <c r="D111" s="4">
        <f ca="1">OFFSET(Nelson_Reference,51,7)</f>
        <v>0.79654666959999998</v>
      </c>
      <c r="E111" s="4">
        <f ca="1">OFFSET(Nelson_Reference,52,7)</f>
        <v>0.77429403799999996</v>
      </c>
      <c r="F111" s="4">
        <f ca="1">OFFSET(Nelson_Reference,53,7)</f>
        <v>0.72124026679999997</v>
      </c>
      <c r="G111" s="4">
        <f ca="1">OFFSET(Nelson_Reference,54,7)</f>
        <v>0.70792295329999999</v>
      </c>
      <c r="H111" s="4">
        <f ca="1">OFFSET(Nelson_Reference,55,7)</f>
        <v>0.69595938960000003</v>
      </c>
      <c r="I111" s="1">
        <f ca="1">H111*('Updated Population'!I$103/'Updated Population'!H$103)</f>
        <v>0.6948998706825058</v>
      </c>
      <c r="J111" s="1">
        <f ca="1">I111*('Updated Population'!J$103/'Updated Population'!I$103)</f>
        <v>0.69166599959926911</v>
      </c>
      <c r="K111" s="1">
        <f ca="1">J111*('Updated Population'!K$103/'Updated Population'!J$103)</f>
        <v>0.68700012901365315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OFFSET(Nelson_Reference,56,7)</f>
        <v>0.51346004550000002</v>
      </c>
      <c r="C113" s="4">
        <f ca="1">OFFSET(Nelson_Reference,57,7)</f>
        <v>0.50518299099999997</v>
      </c>
      <c r="D113" s="4">
        <f ca="1">OFFSET(Nelson_Reference,58,7)</f>
        <v>0.50159192180000001</v>
      </c>
      <c r="E113" s="4">
        <f ca="1">OFFSET(Nelson_Reference,59,7)</f>
        <v>0.51554068799999997</v>
      </c>
      <c r="F113" s="4">
        <f ca="1">OFFSET(Nelson_Reference,60,7)</f>
        <v>0.51946512869999995</v>
      </c>
      <c r="G113" s="4">
        <f ca="1">OFFSET(Nelson_Reference,61,7)</f>
        <v>0.53577025359999997</v>
      </c>
      <c r="H113" s="4">
        <f ca="1">OFFSET(Nelson_Reference,62,7)</f>
        <v>0.54667661580000004</v>
      </c>
      <c r="I113" s="1">
        <f ca="1">H113*('Updated Population'!I$103/'Updated Population'!H$103)</f>
        <v>0.54584436290586968</v>
      </c>
      <c r="J113" s="1">
        <f ca="1">I113*('Updated Population'!J$103/'Updated Population'!I$103)</f>
        <v>0.54330415477571803</v>
      </c>
      <c r="K113" s="1">
        <f ca="1">J113*('Updated Population'!K$103/'Updated Population'!J$103)</f>
        <v>0.53963910997623432</v>
      </c>
    </row>
    <row r="114" spans="1:11" x14ac:dyDescent="0.2">
      <c r="A114" t="str">
        <f ca="1">OFFSET(West_Coast_Reference,0,0)</f>
        <v>12 WEST COAST</v>
      </c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OFFSET(West_Coast_Reference,0,7)</f>
        <v>1.1518220776999999</v>
      </c>
      <c r="C115" s="4">
        <f ca="1">OFFSET(West_Coast_Reference,1,7)</f>
        <v>1.1039570892999999</v>
      </c>
      <c r="D115" s="4">
        <f ca="1">OFFSET(West_Coast_Reference,2,7)</f>
        <v>1.0201521409000001</v>
      </c>
      <c r="E115" s="4">
        <f ca="1">OFFSET(West_Coast_Reference,3,7)</f>
        <v>0.9720715902</v>
      </c>
      <c r="F115" s="4">
        <f ca="1">OFFSET(West_Coast_Reference,4,7)</f>
        <v>0.91541507089999996</v>
      </c>
      <c r="G115" s="4">
        <f ca="1">OFFSET(West_Coast_Reference,5,7)</f>
        <v>0.85874898850000003</v>
      </c>
      <c r="H115" s="4">
        <f ca="1">OFFSET(West_Coast_Reference,6,7)</f>
        <v>0.81023995469999999</v>
      </c>
      <c r="I115" s="1">
        <f ca="1">H115*('Updated Population'!I$114/'Updated Population'!H$114)</f>
        <v>0.78940268239016365</v>
      </c>
      <c r="J115" s="1">
        <f ca="1">I115*('Updated Population'!J$114/'Updated Population'!I$114)</f>
        <v>0.76665310880701965</v>
      </c>
      <c r="K115" s="1">
        <f ca="1">J115*('Updated Population'!K$114/'Updated Population'!J$114)</f>
        <v>0.74295904308080041</v>
      </c>
    </row>
    <row r="116" spans="1:11" x14ac:dyDescent="0.2">
      <c r="A116" t="str">
        <f ca="1">OFFSET(West_Coast_Reference,7,2)</f>
        <v>Cyclist</v>
      </c>
      <c r="B116" s="4">
        <f ca="1">OFFSET(West_Coast_Reference,7,7)</f>
        <v>0.17528853950000001</v>
      </c>
      <c r="C116" s="4">
        <f ca="1">OFFSET(West_Coast_Reference,8,7)</f>
        <v>0.16907279280000001</v>
      </c>
      <c r="D116" s="4">
        <f ca="1">OFFSET(West_Coast_Reference,9,7)</f>
        <v>0.15867816030000001</v>
      </c>
      <c r="E116" s="4">
        <f ca="1">OFFSET(West_Coast_Reference,10,7)</f>
        <v>0.14987295019999999</v>
      </c>
      <c r="F116" s="4">
        <f ca="1">OFFSET(West_Coast_Reference,11,7)</f>
        <v>0.13898351989999999</v>
      </c>
      <c r="G116" s="4">
        <f ca="1">OFFSET(West_Coast_Reference,12,7)</f>
        <v>0.1324409091</v>
      </c>
      <c r="H116" s="4">
        <f ca="1">OFFSET(West_Coast_Reference,13,7)</f>
        <v>0.12559657269999999</v>
      </c>
      <c r="I116" s="1">
        <f ca="1">H116*('Updated Population'!I$114/'Updated Population'!H$114)</f>
        <v>0.12236655426984117</v>
      </c>
      <c r="J116" s="1">
        <f ca="1">I116*('Updated Population'!J$114/'Updated Population'!I$114)</f>
        <v>0.11884010700461431</v>
      </c>
      <c r="K116" s="1">
        <f ca="1">J116*('Updated Population'!K$114/'Updated Population'!J$114)</f>
        <v>0.11516725252332237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OFFSET(West_Coast_Reference,14,7)</f>
        <v>5.0852916584000001</v>
      </c>
      <c r="C117" s="4">
        <f ca="1">OFFSET(West_Coast_Reference,15,7)</f>
        <v>5.0612460423999996</v>
      </c>
      <c r="D117" s="4">
        <f ca="1">OFFSET(West_Coast_Reference,16,7)</f>
        <v>4.8311436793000002</v>
      </c>
      <c r="E117" s="4">
        <f ca="1">OFFSET(West_Coast_Reference,17,7)</f>
        <v>4.7287739841</v>
      </c>
      <c r="F117" s="4">
        <f ca="1">OFFSET(West_Coast_Reference,18,7)</f>
        <v>4.5357021113</v>
      </c>
      <c r="G117" s="4">
        <f ca="1">OFFSET(West_Coast_Reference,19,7)</f>
        <v>4.4188655537999999</v>
      </c>
      <c r="H117" s="4">
        <f ca="1">OFFSET(West_Coast_Reference,20,7)</f>
        <v>4.2981937872999998</v>
      </c>
      <c r="I117" s="1">
        <f ca="1">H117*('Updated Population'!I$114/'Updated Population'!H$114)</f>
        <v>4.1876553796753369</v>
      </c>
      <c r="J117" s="1">
        <f ca="1">I117*('Updated Population'!J$114/'Updated Population'!I$114)</f>
        <v>4.0669725186641212</v>
      </c>
      <c r="K117" s="1">
        <f ca="1">J117*('Updated Population'!K$114/'Updated Population'!J$114)</f>
        <v>3.9412792774094099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OFFSET(West_Coast_Reference,21,7)</f>
        <v>3.4140139011000001</v>
      </c>
      <c r="C118" s="4">
        <f ca="1">OFFSET(West_Coast_Reference,22,7)</f>
        <v>3.3357592394000002</v>
      </c>
      <c r="D118" s="4">
        <f ca="1">OFFSET(West_Coast_Reference,23,7)</f>
        <v>3.1402743810999998</v>
      </c>
      <c r="E118" s="4">
        <f ca="1">OFFSET(West_Coast_Reference,24,7)</f>
        <v>3.0699292257000002</v>
      </c>
      <c r="F118" s="4">
        <f ca="1">OFFSET(West_Coast_Reference,25,7)</f>
        <v>2.8924650328000001</v>
      </c>
      <c r="G118" s="4">
        <f ca="1">OFFSET(West_Coast_Reference,26,7)</f>
        <v>2.6921252952999999</v>
      </c>
      <c r="H118" s="4">
        <f ca="1">OFFSET(West_Coast_Reference,27,7)</f>
        <v>2.4941173132999999</v>
      </c>
      <c r="I118" s="1">
        <f ca="1">H118*('Updated Population'!I$114/'Updated Population'!H$114)</f>
        <v>2.4299750782393352</v>
      </c>
      <c r="J118" s="1">
        <f ca="1">I118*('Updated Population'!J$114/'Updated Population'!I$114)</f>
        <v>2.3599463108170715</v>
      </c>
      <c r="K118" s="1">
        <f ca="1">J118*('Updated Population'!K$114/'Updated Population'!J$114)</f>
        <v>2.2870101649167962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OFFSET(West_Coast_Reference,28,7)</f>
        <v>6.5507808299999998E-2</v>
      </c>
      <c r="C119" s="4">
        <f ca="1">OFFSET(West_Coast_Reference,29,7)</f>
        <v>7.6339456700000002E-2</v>
      </c>
      <c r="D119" s="4">
        <f ca="1">OFFSET(West_Coast_Reference,30,7)</f>
        <v>8.2401686000000002E-2</v>
      </c>
      <c r="E119" s="4">
        <f ca="1">OFFSET(West_Coast_Reference,31,7)</f>
        <v>8.3915792200000006E-2</v>
      </c>
      <c r="F119" s="4">
        <f ca="1">OFFSET(West_Coast_Reference,32,7)</f>
        <v>7.9828835200000003E-2</v>
      </c>
      <c r="G119" s="4">
        <f ca="1">OFFSET(West_Coast_Reference,33,7)</f>
        <v>7.6983086399999998E-2</v>
      </c>
      <c r="H119" s="4">
        <f ca="1">OFFSET(West_Coast_Reference,34,7)</f>
        <v>7.3321582299999993E-2</v>
      </c>
      <c r="I119" s="1">
        <f ca="1">H119*('Updated Population'!I$114/'Updated Population'!H$114)</f>
        <v>7.1435941178859694E-2</v>
      </c>
      <c r="J119" s="1">
        <f ca="1">I119*('Updated Population'!J$114/'Updated Population'!I$114)</f>
        <v>6.9377248908637099E-2</v>
      </c>
      <c r="K119" s="1">
        <f ca="1">J119*('Updated Population'!K$114/'Updated Population'!J$114)</f>
        <v>6.7233086083675148E-2</v>
      </c>
    </row>
    <row r="120" spans="1:11" x14ac:dyDescent="0.2">
      <c r="A120" t="str">
        <f ca="1">OFFSET(West_Coast_Reference,35,2)</f>
        <v>Motorcyclist</v>
      </c>
      <c r="B120" s="4">
        <f ca="1">OFFSET(West_Coast_Reference,35,7)</f>
        <v>9.7989774000000005E-3</v>
      </c>
      <c r="C120" s="4">
        <f ca="1">OFFSET(West_Coast_Reference,36,7)</f>
        <v>1.11115825E-2</v>
      </c>
      <c r="D120" s="4">
        <f ca="1">OFFSET(West_Coast_Reference,37,7)</f>
        <v>1.1252200400000001E-2</v>
      </c>
      <c r="E120" s="4">
        <f ca="1">OFFSET(West_Coast_Reference,38,7)</f>
        <v>1.19049733E-2</v>
      </c>
      <c r="F120" s="4">
        <f ca="1">OFFSET(West_Coast_Reference,39,7)</f>
        <v>1.29037818E-2</v>
      </c>
      <c r="G120" s="4">
        <f ca="1">OFFSET(West_Coast_Reference,40,7)</f>
        <v>1.42623825E-2</v>
      </c>
      <c r="H120" s="4">
        <f ca="1">OFFSET(West_Coast_Reference,41,7)</f>
        <v>1.5170633399999999E-2</v>
      </c>
      <c r="I120" s="1">
        <f ca="1">H120*('Updated Population'!I$114/'Updated Population'!H$114)</f>
        <v>1.4780484015938159E-2</v>
      </c>
      <c r="J120" s="1">
        <f ca="1">I120*('Updated Population'!J$114/'Updated Population'!I$114)</f>
        <v>1.4354529409732657E-2</v>
      </c>
      <c r="K120" s="1">
        <f ca="1">J120*('Updated Population'!K$114/'Updated Population'!J$114)</f>
        <v>1.3910890481779433E-2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OFFSET(West_Coast_Reference,42,7)</f>
        <v>0.18249519829999999</v>
      </c>
      <c r="C122" s="4">
        <f ca="1">OFFSET(West_Coast_Reference,43,7)</f>
        <v>0.17071645969999999</v>
      </c>
      <c r="D122" s="4">
        <f ca="1">OFFSET(West_Coast_Reference,44,7)</f>
        <v>0.15335922020000001</v>
      </c>
      <c r="E122" s="4">
        <f ca="1">OFFSET(West_Coast_Reference,45,7)</f>
        <v>0.1448215226</v>
      </c>
      <c r="F122" s="4">
        <f ca="1">OFFSET(West_Coast_Reference,46,7)</f>
        <v>0.1344510008</v>
      </c>
      <c r="G122" s="4">
        <f ca="1">OFFSET(West_Coast_Reference,47,7)</f>
        <v>0.1235322546</v>
      </c>
      <c r="H122" s="4">
        <f ca="1">OFFSET(West_Coast_Reference,48,7)</f>
        <v>0.1136588312</v>
      </c>
      <c r="I122" s="1">
        <f ca="1">H122*('Updated Population'!I$114/'Updated Population'!H$114)</f>
        <v>0.11073582055063129</v>
      </c>
      <c r="J122" s="1">
        <f ca="1">I122*('Updated Population'!J$114/'Updated Population'!I$114)</f>
        <v>0.10754455612487741</v>
      </c>
      <c r="K122" s="1">
        <f ca="1">J122*('Updated Population'!K$114/'Updated Population'!J$114)</f>
        <v>0.10422080024096129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OFFSET(West_Coast_Reference,49,7)</f>
        <v>3.6766106000000001E-3</v>
      </c>
      <c r="C124" s="4">
        <f ca="1">OFFSET(West_Coast_Reference,50,7)</f>
        <v>3.5146218000000002E-3</v>
      </c>
      <c r="D124" s="4">
        <f ca="1">OFFSET(West_Coast_Reference,51,7)</f>
        <v>3.2063296000000002E-3</v>
      </c>
      <c r="E124" s="4">
        <f ca="1">OFFSET(West_Coast_Reference,52,7)</f>
        <v>2.7442665000000002E-3</v>
      </c>
      <c r="F124" s="4">
        <f ca="1">OFFSET(West_Coast_Reference,53,7)</f>
        <v>2.4943525000000002E-3</v>
      </c>
      <c r="G124" s="4">
        <f ca="1">OFFSET(West_Coast_Reference,54,7)</f>
        <v>2.5173892000000002E-3</v>
      </c>
      <c r="H124" s="4">
        <f ca="1">OFFSET(West_Coast_Reference,55,7)</f>
        <v>2.5141513000000002E-3</v>
      </c>
      <c r="I124" s="1">
        <f ca="1">H124*('Updated Population'!I$114/'Updated Population'!H$114)</f>
        <v>2.4494938427093061E-3</v>
      </c>
      <c r="J124" s="1">
        <f ca="1">I124*('Updated Population'!J$114/'Updated Population'!I$114)</f>
        <v>2.3789025695108812E-3</v>
      </c>
      <c r="K124" s="1">
        <f ca="1">J124*('Updated Population'!K$114/'Updated Population'!J$114)</f>
        <v>2.3053805643291989E-3</v>
      </c>
    </row>
    <row r="125" spans="1:11" x14ac:dyDescent="0.2">
      <c r="A125" t="str">
        <f ca="1">OFFSET(Canterbury_Reference,0,0)</f>
        <v>13 CANTERBURY</v>
      </c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OFFSET(Canterbury_Reference,0,7)</f>
        <v>27.07651954</v>
      </c>
      <c r="C126" s="4">
        <f ca="1">OFFSET(Canterbury_Reference,1,7)</f>
        <v>28.722952664000001</v>
      </c>
      <c r="D126" s="4">
        <f ca="1">OFFSET(Canterbury_Reference,2,7)</f>
        <v>29.375493978000002</v>
      </c>
      <c r="E126" s="4">
        <f ca="1">OFFSET(Canterbury_Reference,3,7)</f>
        <v>29.805647710999999</v>
      </c>
      <c r="F126" s="4">
        <f ca="1">OFFSET(Canterbury_Reference,4,7)</f>
        <v>29.891688841000001</v>
      </c>
      <c r="G126" s="4">
        <f ca="1">OFFSET(Canterbury_Reference,5,7)</f>
        <v>29.746314439999999</v>
      </c>
      <c r="H126" s="4">
        <f ca="1">OFFSET(Canterbury_Reference,6,7)</f>
        <v>29.517255713000001</v>
      </c>
      <c r="I126" s="1">
        <f ca="1">H126*('Updated Population'!I$125/'Updated Population'!H$125)</f>
        <v>30.514079231514621</v>
      </c>
      <c r="J126" s="1">
        <f ca="1">I126*('Updated Population'!J$125/'Updated Population'!I$125)</f>
        <v>31.446754566187966</v>
      </c>
      <c r="K126" s="1">
        <f ca="1">J126*('Updated Population'!K$125/'Updated Population'!J$125)</f>
        <v>32.340906698750771</v>
      </c>
    </row>
    <row r="127" spans="1:11" x14ac:dyDescent="0.2">
      <c r="A127" t="str">
        <f ca="1">OFFSET(Canterbury_Reference,7,2)</f>
        <v>Cyclist</v>
      </c>
      <c r="B127" s="4">
        <f ca="1">OFFSET(Canterbury_Reference,7,7)</f>
        <v>7.2445897615000003</v>
      </c>
      <c r="C127" s="4">
        <f ca="1">OFFSET(Canterbury_Reference,8,7)</f>
        <v>7.9757249116000004</v>
      </c>
      <c r="D127" s="4">
        <f ca="1">OFFSET(Canterbury_Reference,9,7)</f>
        <v>8.1824398347000002</v>
      </c>
      <c r="E127" s="4">
        <f ca="1">OFFSET(Canterbury_Reference,10,7)</f>
        <v>8.2744581967999995</v>
      </c>
      <c r="F127" s="4">
        <f ca="1">OFFSET(Canterbury_Reference,11,7)</f>
        <v>8.4252212441999994</v>
      </c>
      <c r="G127" s="4">
        <f ca="1">OFFSET(Canterbury_Reference,12,7)</f>
        <v>8.6139585383000004</v>
      </c>
      <c r="H127" s="4">
        <f ca="1">OFFSET(Canterbury_Reference,13,7)</f>
        <v>8.8166575806999994</v>
      </c>
      <c r="I127" s="1">
        <f ca="1">H127*('Updated Population'!I$125/'Updated Population'!H$125)</f>
        <v>9.1144038114670174</v>
      </c>
      <c r="J127" s="1">
        <f ca="1">I127*('Updated Population'!J$125/'Updated Population'!I$125)</f>
        <v>9.392989298537147</v>
      </c>
      <c r="K127" s="1">
        <f ca="1">J127*('Updated Population'!K$125/'Updated Population'!J$125)</f>
        <v>9.6600680965971879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OFFSET(Canterbury_Reference,14,7)</f>
        <v>111.06814274</v>
      </c>
      <c r="C128" s="4">
        <f ca="1">OFFSET(Canterbury_Reference,15,7)</f>
        <v>124.60290858</v>
      </c>
      <c r="D128" s="4">
        <f ca="1">OFFSET(Canterbury_Reference,16,7)</f>
        <v>132.0495013</v>
      </c>
      <c r="E128" s="4">
        <f ca="1">OFFSET(Canterbury_Reference,17,7)</f>
        <v>140.11419665</v>
      </c>
      <c r="F128" s="4">
        <f ca="1">OFFSET(Canterbury_Reference,18,7)</f>
        <v>147.73481681999999</v>
      </c>
      <c r="G128" s="4">
        <f ca="1">OFFSET(Canterbury_Reference,19,7)</f>
        <v>153.58575782</v>
      </c>
      <c r="H128" s="4">
        <f ca="1">OFFSET(Canterbury_Reference,20,7)</f>
        <v>158.82527343000001</v>
      </c>
      <c r="I128" s="1">
        <f ca="1">H128*('Updated Population'!I$125/'Updated Population'!H$125)</f>
        <v>164.18894170014383</v>
      </c>
      <c r="J128" s="1">
        <f ca="1">I128*('Updated Population'!J$125/'Updated Population'!I$125)</f>
        <v>169.20744397864902</v>
      </c>
      <c r="K128" s="1">
        <f ca="1">J128*('Updated Population'!K$125/'Updated Population'!J$125)</f>
        <v>174.01866214618889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OFFSET(Canterbury_Reference,21,7)</f>
        <v>53.544276449999998</v>
      </c>
      <c r="C129" s="4">
        <f ca="1">OFFSET(Canterbury_Reference,22,7)</f>
        <v>56.929317509000001</v>
      </c>
      <c r="D129" s="4">
        <f ca="1">OFFSET(Canterbury_Reference,23,7)</f>
        <v>58.623139684000002</v>
      </c>
      <c r="E129" s="4">
        <f ca="1">OFFSET(Canterbury_Reference,24,7)</f>
        <v>60.732847790000001</v>
      </c>
      <c r="F129" s="4">
        <f ca="1">OFFSET(Canterbury_Reference,25,7)</f>
        <v>62.559946758000002</v>
      </c>
      <c r="G129" s="4">
        <f ca="1">OFFSET(Canterbury_Reference,26,7)</f>
        <v>64.142092293999994</v>
      </c>
      <c r="H129" s="4">
        <f ca="1">OFFSET(Canterbury_Reference,27,7)</f>
        <v>65.400568852000006</v>
      </c>
      <c r="I129" s="1">
        <f ca="1">H129*('Updated Population'!I$125/'Updated Population'!H$125)</f>
        <v>67.609203211162196</v>
      </c>
      <c r="J129" s="1">
        <f ca="1">I129*('Updated Population'!J$125/'Updated Population'!I$125)</f>
        <v>69.675706209779435</v>
      </c>
      <c r="K129" s="1">
        <f ca="1">J129*('Updated Population'!K$125/'Updated Population'!J$125)</f>
        <v>71.656854412662042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OFFSET(Canterbury_Reference,28,7)</f>
        <v>0.86554787379999998</v>
      </c>
      <c r="C130" s="4">
        <f ca="1">OFFSET(Canterbury_Reference,29,7)</f>
        <v>0.97081330389999998</v>
      </c>
      <c r="D130" s="4">
        <f ca="1">OFFSET(Canterbury_Reference,30,7)</f>
        <v>1.0294593657</v>
      </c>
      <c r="E130" s="4">
        <f ca="1">OFFSET(Canterbury_Reference,31,7)</f>
        <v>1.0791544012000001</v>
      </c>
      <c r="F130" s="4">
        <f ca="1">OFFSET(Canterbury_Reference,32,7)</f>
        <v>1.1309471314999999</v>
      </c>
      <c r="G130" s="4">
        <f ca="1">OFFSET(Canterbury_Reference,33,7)</f>
        <v>1.1529576387</v>
      </c>
      <c r="H130" s="4">
        <f ca="1">OFFSET(Canterbury_Reference,34,7)</f>
        <v>1.1626688432000001</v>
      </c>
      <c r="I130" s="1">
        <f ca="1">H130*('Updated Population'!I$125/'Updated Population'!H$125)</f>
        <v>1.2019331860106872</v>
      </c>
      <c r="J130" s="1">
        <f ca="1">I130*('Updated Population'!J$125/'Updated Population'!I$125)</f>
        <v>1.2386707663260632</v>
      </c>
      <c r="K130" s="1">
        <f ca="1">J130*('Updated Population'!K$125/'Updated Population'!J$125)</f>
        <v>1.2738909384084478</v>
      </c>
    </row>
    <row r="131" spans="1:11" x14ac:dyDescent="0.2">
      <c r="A131" t="str">
        <f ca="1">OFFSET(Canterbury_Reference,35,2)</f>
        <v>Motorcyclist</v>
      </c>
      <c r="B131" s="4">
        <f ca="1">OFFSET(Canterbury_Reference,35,7)</f>
        <v>0.39288238580000001</v>
      </c>
      <c r="C131" s="4">
        <f ca="1">OFFSET(Canterbury_Reference,36,7)</f>
        <v>0.42812874490000002</v>
      </c>
      <c r="D131" s="4">
        <f ca="1">OFFSET(Canterbury_Reference,37,7)</f>
        <v>0.43890673689999998</v>
      </c>
      <c r="E131" s="4">
        <f ca="1">OFFSET(Canterbury_Reference,38,7)</f>
        <v>0.45099962760000001</v>
      </c>
      <c r="F131" s="4">
        <f ca="1">OFFSET(Canterbury_Reference,39,7)</f>
        <v>0.46991251919999999</v>
      </c>
      <c r="G131" s="4">
        <f ca="1">OFFSET(Canterbury_Reference,40,7)</f>
        <v>0.50205906830000002</v>
      </c>
      <c r="H131" s="4">
        <f ca="1">OFFSET(Canterbury_Reference,41,7)</f>
        <v>0.53196939139999999</v>
      </c>
      <c r="I131" s="1">
        <f ca="1">H131*('Updated Population'!I$125/'Updated Population'!H$125)</f>
        <v>0.54993446259880674</v>
      </c>
      <c r="J131" s="1">
        <f ca="1">I131*('Updated Population'!J$125/'Updated Population'!I$125)</f>
        <v>0.5667434347805077</v>
      </c>
      <c r="K131" s="1">
        <f ca="1">J131*('Updated Population'!K$125/'Updated Population'!J$125)</f>
        <v>0.58285812953409066</v>
      </c>
    </row>
    <row r="132" spans="1:11" x14ac:dyDescent="0.2">
      <c r="A132" t="str">
        <f ca="1">OFFSET(Canterbury_Reference,42,2)</f>
        <v>Local Train</v>
      </c>
      <c r="B132" s="4">
        <f ca="1">OFFSET(Canterbury_Reference,42,7)</f>
        <v>7.3004144E-3</v>
      </c>
      <c r="C132" s="4">
        <f ca="1">OFFSET(Canterbury_Reference,43,7)</f>
        <v>7.5150425999999998E-3</v>
      </c>
      <c r="D132" s="4">
        <f ca="1">OFFSET(Canterbury_Reference,44,7)</f>
        <v>6.4263986E-3</v>
      </c>
      <c r="E132" s="4">
        <f ca="1">OFFSET(Canterbury_Reference,45,7)</f>
        <v>5.9951950999999996E-3</v>
      </c>
      <c r="F132" s="4">
        <f ca="1">OFFSET(Canterbury_Reference,46,7)</f>
        <v>5.7128958999999998E-3</v>
      </c>
      <c r="G132" s="4">
        <f ca="1">OFFSET(Canterbury_Reference,47,7)</f>
        <v>4.8402996000000004E-3</v>
      </c>
      <c r="H132" s="4">
        <f ca="1">OFFSET(Canterbury_Reference,48,7)</f>
        <v>4.0230370999999997E-3</v>
      </c>
      <c r="I132" s="1">
        <f ca="1">H132*('Updated Population'!I$125/'Updated Population'!H$125)</f>
        <v>4.1588985783206503E-3</v>
      </c>
      <c r="J132" s="1">
        <f ca="1">I132*('Updated Population'!J$125/'Updated Population'!I$125)</f>
        <v>4.2860170174509266E-3</v>
      </c>
      <c r="K132" s="1">
        <f ca="1">J132*('Updated Population'!K$125/'Updated Population'!J$125)</f>
        <v>4.4078849592853698E-3</v>
      </c>
    </row>
    <row r="133" spans="1:11" x14ac:dyDescent="0.2">
      <c r="A133" t="str">
        <f ca="1">OFFSET(Canterbury_Reference,49,2)</f>
        <v>Local Bus</v>
      </c>
      <c r="B133" s="4">
        <f ca="1">OFFSET(Canterbury_Reference,49,7)</f>
        <v>7.9805750329</v>
      </c>
      <c r="C133" s="4">
        <f ca="1">OFFSET(Canterbury_Reference,50,7)</f>
        <v>8.1563774540999994</v>
      </c>
      <c r="D133" s="4">
        <f ca="1">OFFSET(Canterbury_Reference,51,7)</f>
        <v>8.1004967627000006</v>
      </c>
      <c r="E133" s="4">
        <f ca="1">OFFSET(Canterbury_Reference,52,7)</f>
        <v>8.0592093902999995</v>
      </c>
      <c r="F133" s="4">
        <f ca="1">OFFSET(Canterbury_Reference,53,7)</f>
        <v>7.8463710917</v>
      </c>
      <c r="G133" s="4">
        <f ca="1">OFFSET(Canterbury_Reference,54,7)</f>
        <v>7.6404426641000001</v>
      </c>
      <c r="H133" s="4">
        <f ca="1">OFFSET(Canterbury_Reference,55,7)</f>
        <v>7.4053767446999998</v>
      </c>
      <c r="I133" s="1">
        <f ca="1">H133*('Updated Population'!I$125/'Updated Population'!H$125)</f>
        <v>7.6554627884146624</v>
      </c>
      <c r="J133" s="1">
        <f ca="1">I133*('Updated Population'!J$125/'Updated Population'!I$125)</f>
        <v>7.8894551453228079</v>
      </c>
      <c r="K133" s="1">
        <f ca="1">J133*('Updated Population'!K$125/'Updated Population'!J$125)</f>
        <v>8.1137826869170038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OFFSET(Canterbury_Reference,56,7)</f>
        <v>0.91635513570000005</v>
      </c>
      <c r="C135" s="4">
        <f ca="1">OFFSET(Canterbury_Reference,57,7)</f>
        <v>0.9909200225</v>
      </c>
      <c r="D135" s="4">
        <f ca="1">OFFSET(Canterbury_Reference,58,7)</f>
        <v>1.0775961821</v>
      </c>
      <c r="E135" s="4">
        <f ca="1">OFFSET(Canterbury_Reference,59,7)</f>
        <v>1.1721689972</v>
      </c>
      <c r="F135" s="4">
        <f ca="1">OFFSET(Canterbury_Reference,60,7)</f>
        <v>1.2330493236</v>
      </c>
      <c r="G135" s="4">
        <f ca="1">OFFSET(Canterbury_Reference,61,7)</f>
        <v>1.2677750126</v>
      </c>
      <c r="H135" s="4">
        <f ca="1">OFFSET(Canterbury_Reference,62,7)</f>
        <v>1.2788737335</v>
      </c>
      <c r="I135" s="1">
        <f ca="1">H135*('Updated Population'!I$125/'Updated Population'!H$125)</f>
        <v>1.3220624169995283</v>
      </c>
      <c r="J135" s="1">
        <f ca="1">I135*('Updated Population'!J$125/'Updated Population'!I$125)</f>
        <v>1.3624717964823148</v>
      </c>
      <c r="K135" s="1">
        <f ca="1">J135*('Updated Population'!K$125/'Updated Population'!J$125)</f>
        <v>1.4012121078176927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OFFSET(Otago_Reference,0,7)</f>
        <v>11.651603939999999</v>
      </c>
      <c r="C137" s="4">
        <f ca="1">OFFSET(Otago_Reference,1,7)</f>
        <v>12.214177555999999</v>
      </c>
      <c r="D137" s="4">
        <f ca="1">OFFSET(Otago_Reference,2,7)</f>
        <v>12.505704363</v>
      </c>
      <c r="E137" s="4">
        <f ca="1">OFFSET(Otago_Reference,3,7)</f>
        <v>12.806522933</v>
      </c>
      <c r="F137" s="4">
        <f ca="1">OFFSET(Otago_Reference,4,7)</f>
        <v>13.020800356000001</v>
      </c>
      <c r="G137" s="4">
        <f ca="1">OFFSET(Otago_Reference,5,7)</f>
        <v>13.153838731</v>
      </c>
      <c r="H137" s="4">
        <f ca="1">OFFSET(Otago_Reference,6,7)</f>
        <v>13.292517348000001</v>
      </c>
      <c r="I137" s="1">
        <f ca="1">H137*('Updated Population'!I$136/'Updated Population'!H$136)</f>
        <v>13.676117902435006</v>
      </c>
      <c r="J137" s="1">
        <f ca="1">I137*('Updated Population'!J$136/'Updated Population'!I$136)</f>
        <v>14.026549782435412</v>
      </c>
      <c r="K137" s="1">
        <f ca="1">J137*('Updated Population'!K$136/'Updated Population'!J$136)</f>
        <v>14.355684055046849</v>
      </c>
    </row>
    <row r="138" spans="1:11" x14ac:dyDescent="0.2">
      <c r="A138" t="str">
        <f ca="1">OFFSET(Otago_Reference,7,2)</f>
        <v>Cyclist</v>
      </c>
      <c r="B138" s="4">
        <f ca="1">OFFSET(Otago_Reference,7,7)</f>
        <v>1.6089304994</v>
      </c>
      <c r="C138" s="4">
        <f ca="1">OFFSET(Otago_Reference,8,7)</f>
        <v>1.7679523156000001</v>
      </c>
      <c r="D138" s="4">
        <f ca="1">OFFSET(Otago_Reference,9,7)</f>
        <v>1.8549613444999999</v>
      </c>
      <c r="E138" s="4">
        <f ca="1">OFFSET(Otago_Reference,10,7)</f>
        <v>1.8767371718999999</v>
      </c>
      <c r="F138" s="4">
        <f ca="1">OFFSET(Otago_Reference,11,7)</f>
        <v>1.9072774389</v>
      </c>
      <c r="G138" s="4">
        <f ca="1">OFFSET(Otago_Reference,12,7)</f>
        <v>1.9599779177000001</v>
      </c>
      <c r="H138" s="4">
        <f ca="1">OFFSET(Otago_Reference,13,7)</f>
        <v>2.0065867569</v>
      </c>
      <c r="I138" s="1">
        <f ca="1">H138*('Updated Population'!I$136/'Updated Population'!H$136)</f>
        <v>2.0644936057170598</v>
      </c>
      <c r="J138" s="1">
        <f ca="1">I138*('Updated Population'!J$136/'Updated Population'!I$136)</f>
        <v>2.1173934403529864</v>
      </c>
      <c r="K138" s="1">
        <f ca="1">J138*('Updated Population'!K$136/'Updated Population'!J$136)</f>
        <v>2.1670782709515635</v>
      </c>
    </row>
    <row r="139" spans="1:11" x14ac:dyDescent="0.2">
      <c r="A139" t="str">
        <f ca="1">OFFSET(Otago_Reference,14,2)</f>
        <v>Light Vehicle Driver</v>
      </c>
      <c r="B139" s="4">
        <f ca="1">OFFSET(Otago_Reference,14,7)</f>
        <v>32.522387277</v>
      </c>
      <c r="C139" s="4">
        <f ca="1">OFFSET(Otago_Reference,15,7)</f>
        <v>35.047520081000002</v>
      </c>
      <c r="D139" s="4">
        <f ca="1">OFFSET(Otago_Reference,16,7)</f>
        <v>36.840139030000003</v>
      </c>
      <c r="E139" s="4">
        <f ca="1">OFFSET(Otago_Reference,17,7)</f>
        <v>39.112777749999999</v>
      </c>
      <c r="F139" s="4">
        <f ca="1">OFFSET(Otago_Reference,18,7)</f>
        <v>41.222904395</v>
      </c>
      <c r="G139" s="4">
        <f ca="1">OFFSET(Otago_Reference,19,7)</f>
        <v>42.892199804000001</v>
      </c>
      <c r="H139" s="4">
        <f ca="1">OFFSET(Otago_Reference,20,7)</f>
        <v>44.458415834</v>
      </c>
      <c r="I139" s="1">
        <f ca="1">H139*('Updated Population'!I$136/'Updated Population'!H$136)</f>
        <v>45.741413818259957</v>
      </c>
      <c r="J139" s="1">
        <f ca="1">I139*('Updated Population'!J$136/'Updated Population'!I$136)</f>
        <v>46.913475199461956</v>
      </c>
      <c r="K139" s="1">
        <f ca="1">J139*('Updated Population'!K$136/'Updated Population'!J$136)</f>
        <v>48.014304182708088</v>
      </c>
    </row>
    <row r="140" spans="1:11" x14ac:dyDescent="0.2">
      <c r="A140" t="str">
        <f ca="1">OFFSET(Otago_Reference,21,2)</f>
        <v>Light Vehicle Passenger</v>
      </c>
      <c r="B140" s="4">
        <f ca="1">OFFSET(Otago_Reference,21,7)</f>
        <v>19.901766343999999</v>
      </c>
      <c r="C140" s="4">
        <f ca="1">OFFSET(Otago_Reference,22,7)</f>
        <v>20.814573263</v>
      </c>
      <c r="D140" s="4">
        <f ca="1">OFFSET(Otago_Reference,23,7)</f>
        <v>21.305235562</v>
      </c>
      <c r="E140" s="4">
        <f ca="1">OFFSET(Otago_Reference,24,7)</f>
        <v>21.899278296999999</v>
      </c>
      <c r="F140" s="4">
        <f ca="1">OFFSET(Otago_Reference,25,7)</f>
        <v>22.209506107999999</v>
      </c>
      <c r="G140" s="4">
        <f ca="1">OFFSET(Otago_Reference,26,7)</f>
        <v>22.584812460999999</v>
      </c>
      <c r="H140" s="4">
        <f ca="1">OFFSET(Otago_Reference,27,7)</f>
        <v>22.891949746000002</v>
      </c>
      <c r="I140" s="1">
        <f ca="1">H140*('Updated Population'!I$136/'Updated Population'!H$136)</f>
        <v>23.552574395550312</v>
      </c>
      <c r="J140" s="1">
        <f ca="1">I140*('Updated Population'!J$136/'Updated Population'!I$136)</f>
        <v>24.156077011070511</v>
      </c>
      <c r="K140" s="1">
        <f ca="1">J140*('Updated Population'!K$136/'Updated Population'!J$136)</f>
        <v>24.722901565897288</v>
      </c>
    </row>
    <row r="141" spans="1:11" x14ac:dyDescent="0.2">
      <c r="A141" t="str">
        <f ca="1">OFFSET(Otago_Reference,28,2)</f>
        <v>Taxi/Vehicle Share</v>
      </c>
      <c r="B141" s="4">
        <f ca="1">OFFSET(Otago_Reference,28,7)</f>
        <v>0.23496676969999999</v>
      </c>
      <c r="C141" s="4">
        <f ca="1">OFFSET(Otago_Reference,29,7)</f>
        <v>0.24310624889999999</v>
      </c>
      <c r="D141" s="4">
        <f ca="1">OFFSET(Otago_Reference,30,7)</f>
        <v>0.25261244109999997</v>
      </c>
      <c r="E141" s="4">
        <f ca="1">OFFSET(Otago_Reference,31,7)</f>
        <v>0.26113935179999997</v>
      </c>
      <c r="F141" s="4">
        <f ca="1">OFFSET(Otago_Reference,32,7)</f>
        <v>0.26837889459999997</v>
      </c>
      <c r="G141" s="4">
        <f ca="1">OFFSET(Otago_Reference,33,7)</f>
        <v>0.2614860973</v>
      </c>
      <c r="H141" s="4">
        <f ca="1">OFFSET(Otago_Reference,34,7)</f>
        <v>0.25097176630000001</v>
      </c>
      <c r="I141" s="1">
        <f ca="1">H141*('Updated Population'!I$136/'Updated Population'!H$136)</f>
        <v>0.25821440561201098</v>
      </c>
      <c r="J141" s="1">
        <f ca="1">I141*('Updated Population'!J$136/'Updated Population'!I$136)</f>
        <v>0.26483079779635255</v>
      </c>
      <c r="K141" s="1">
        <f ca="1">J141*('Updated Population'!K$136/'Updated Population'!J$136)</f>
        <v>0.27104507667104494</v>
      </c>
    </row>
    <row r="142" spans="1:11" x14ac:dyDescent="0.2">
      <c r="A142" t="str">
        <f ca="1">OFFSET(Otago_Reference,35,2)</f>
        <v>Motorcyclist</v>
      </c>
      <c r="B142" s="4">
        <f ca="1">OFFSET(Otago_Reference,35,7)</f>
        <v>0.42545310469999997</v>
      </c>
      <c r="C142" s="4">
        <f ca="1">OFFSET(Otago_Reference,36,7)</f>
        <v>0.45994761150000002</v>
      </c>
      <c r="D142" s="4">
        <f ca="1">OFFSET(Otago_Reference,37,7)</f>
        <v>0.47357988880000002</v>
      </c>
      <c r="E142" s="4">
        <f ca="1">OFFSET(Otago_Reference,38,7)</f>
        <v>0.48991933859999998</v>
      </c>
      <c r="F142" s="4">
        <f ca="1">OFFSET(Otago_Reference,39,7)</f>
        <v>0.49524430790000001</v>
      </c>
      <c r="G142" s="4">
        <f ca="1">OFFSET(Otago_Reference,40,7)</f>
        <v>0.48725169460000001</v>
      </c>
      <c r="H142" s="4">
        <f ca="1">OFFSET(Otago_Reference,41,7)</f>
        <v>0.47592469180000002</v>
      </c>
      <c r="I142" s="1">
        <f ca="1">H142*('Updated Population'!I$136/'Updated Population'!H$136)</f>
        <v>0.48965910875536012</v>
      </c>
      <c r="J142" s="1">
        <f ca="1">I142*('Updated Population'!J$136/'Updated Population'!I$136)</f>
        <v>0.50220595598675999</v>
      </c>
      <c r="K142" s="1">
        <f ca="1">J142*('Updated Population'!K$136/'Updated Population'!J$136)</f>
        <v>0.51399026464346331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OFFSET(Otago_Reference,42,7)</f>
        <v>1.347401772</v>
      </c>
      <c r="C144" s="4">
        <f ca="1">OFFSET(Otago_Reference,43,7)</f>
        <v>1.3509985983999999</v>
      </c>
      <c r="D144" s="4">
        <f ca="1">OFFSET(Otago_Reference,44,7)</f>
        <v>1.3486290107000001</v>
      </c>
      <c r="E144" s="4">
        <f ca="1">OFFSET(Otago_Reference,45,7)</f>
        <v>1.3363592676</v>
      </c>
      <c r="F144" s="4">
        <f ca="1">OFFSET(Otago_Reference,46,7)</f>
        <v>1.3180854303</v>
      </c>
      <c r="G144" s="4">
        <f ca="1">OFFSET(Otago_Reference,47,7)</f>
        <v>1.2772459717</v>
      </c>
      <c r="H144" s="4">
        <f ca="1">OFFSET(Otago_Reference,48,7)</f>
        <v>1.2327397449999999</v>
      </c>
      <c r="I144" s="1">
        <f ca="1">H144*('Updated Population'!I$136/'Updated Population'!H$136)</f>
        <v>1.2683146204939348</v>
      </c>
      <c r="J144" s="1">
        <f ca="1">I144*('Updated Population'!J$136/'Updated Population'!I$136)</f>
        <v>1.3008134538662735</v>
      </c>
      <c r="K144" s="1">
        <f ca="1">J144*('Updated Population'!K$136/'Updated Population'!J$136)</f>
        <v>1.3313371604500255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OFFSET(Otago_Reference,49,7)</f>
        <v>0.25154479130000001</v>
      </c>
      <c r="C146" s="4">
        <f ca="1">OFFSET(Otago_Reference,50,7)</f>
        <v>0.2781737937</v>
      </c>
      <c r="D146" s="4">
        <f ca="1">OFFSET(Otago_Reference,51,7)</f>
        <v>0.29983889730000002</v>
      </c>
      <c r="E146" s="4">
        <f ca="1">OFFSET(Otago_Reference,52,7)</f>
        <v>0.3095856944</v>
      </c>
      <c r="F146" s="4">
        <f ca="1">OFFSET(Otago_Reference,53,7)</f>
        <v>0.31346924840000001</v>
      </c>
      <c r="G146" s="4">
        <f ca="1">OFFSET(Otago_Reference,54,7)</f>
        <v>0.31921133740000002</v>
      </c>
      <c r="H146" s="4">
        <f ca="1">OFFSET(Otago_Reference,55,7)</f>
        <v>0.3272769854</v>
      </c>
      <c r="I146" s="1">
        <f ca="1">H146*('Updated Population'!I$136/'Updated Population'!H$136)</f>
        <v>0.33672166993690955</v>
      </c>
      <c r="J146" s="1">
        <f ca="1">I146*('Updated Population'!J$136/'Updated Population'!I$136)</f>
        <v>0.3453497037601525</v>
      </c>
      <c r="K146" s="1">
        <f ca="1">J146*('Updated Population'!K$136/'Updated Population'!J$136)</f>
        <v>0.35345336612236866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OFFSET(Southland_Reference,0,7)</f>
        <v>2.2528617661000001</v>
      </c>
      <c r="C148" s="4">
        <f ca="1">OFFSET(Southland_Reference,1,7)</f>
        <v>2.2900007799000002</v>
      </c>
      <c r="D148" s="4">
        <f ca="1">OFFSET(Southland_Reference,2,7)</f>
        <v>2.2881543997999998</v>
      </c>
      <c r="E148" s="4">
        <f ca="1">OFFSET(Southland_Reference,3,7)</f>
        <v>2.2681329990000001</v>
      </c>
      <c r="F148" s="4">
        <f ca="1">OFFSET(Southland_Reference,4,7)</f>
        <v>2.2186663391999999</v>
      </c>
      <c r="G148" s="4">
        <f ca="1">OFFSET(Southland_Reference,5,7)</f>
        <v>2.1547176957</v>
      </c>
      <c r="H148" s="4">
        <f ca="1">OFFSET(Southland_Reference,6,7)</f>
        <v>2.0776072186999999</v>
      </c>
      <c r="I148" s="1">
        <f ca="1">H148*('Updated Population'!I$147/'Updated Population'!H$147)</f>
        <v>2.0497764239206426</v>
      </c>
      <c r="J148" s="1">
        <f ca="1">I148*('Updated Population'!J$147/'Updated Population'!I$147)</f>
        <v>2.0158810512827365</v>
      </c>
      <c r="K148" s="1">
        <f ca="1">J148*('Updated Population'!K$147/'Updated Population'!J$147)</f>
        <v>1.9782855572117539</v>
      </c>
    </row>
    <row r="149" spans="1:11" x14ac:dyDescent="0.2">
      <c r="A149" t="str">
        <f ca="1">OFFSET(Southland_Reference,7,2)</f>
        <v>Cyclist</v>
      </c>
      <c r="B149" s="4">
        <f ca="1">OFFSET(Southland_Reference,7,7)</f>
        <v>0.50294231479999996</v>
      </c>
      <c r="C149" s="4">
        <f ca="1">OFFSET(Southland_Reference,8,7)</f>
        <v>0.54327120949999996</v>
      </c>
      <c r="D149" s="4">
        <f ca="1">OFFSET(Southland_Reference,9,7)</f>
        <v>0.54985889669999999</v>
      </c>
      <c r="E149" s="4">
        <f ca="1">OFFSET(Southland_Reference,10,7)</f>
        <v>0.51841312399999995</v>
      </c>
      <c r="F149" s="4">
        <f ca="1">OFFSET(Southland_Reference,11,7)</f>
        <v>0.49338115529999998</v>
      </c>
      <c r="G149" s="4">
        <f ca="1">OFFSET(Southland_Reference,12,7)</f>
        <v>0.4648141341</v>
      </c>
      <c r="H149" s="4">
        <f ca="1">OFFSET(Southland_Reference,13,7)</f>
        <v>0.43566768230000003</v>
      </c>
      <c r="I149" s="1">
        <f ca="1">H149*('Updated Population'!I$147/'Updated Population'!H$147)</f>
        <v>0.42983165239552346</v>
      </c>
      <c r="J149" s="1">
        <f ca="1">I149*('Updated Population'!J$147/'Updated Population'!I$147)</f>
        <v>0.42272389963795864</v>
      </c>
      <c r="K149" s="1">
        <f ca="1">J149*('Updated Population'!K$147/'Updated Population'!J$147)</f>
        <v>0.41484024308372452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OFFSET(Southland_Reference,14,7)</f>
        <v>14.603785903</v>
      </c>
      <c r="C150" s="4">
        <f ca="1">OFFSET(Southland_Reference,15,7)</f>
        <v>15.598775570999999</v>
      </c>
      <c r="D150" s="4">
        <f ca="1">OFFSET(Southland_Reference,16,7)</f>
        <v>16.006946580000001</v>
      </c>
      <c r="E150" s="4">
        <f ca="1">OFFSET(Southland_Reference,17,7)</f>
        <v>16.18229517</v>
      </c>
      <c r="F150" s="4">
        <f ca="1">OFFSET(Southland_Reference,18,7)</f>
        <v>16.369363885999999</v>
      </c>
      <c r="G150" s="4">
        <f ca="1">OFFSET(Southland_Reference,19,7)</f>
        <v>16.413260587</v>
      </c>
      <c r="H150" s="4">
        <f ca="1">OFFSET(Southland_Reference,20,7)</f>
        <v>16.406186461000001</v>
      </c>
      <c r="I150" s="1">
        <f ca="1">H150*('Updated Population'!I$147/'Updated Population'!H$147)</f>
        <v>16.18641575342917</v>
      </c>
      <c r="J150" s="1">
        <f ca="1">I150*('Updated Population'!J$147/'Updated Population'!I$147)</f>
        <v>15.918755052861078</v>
      </c>
      <c r="K150" s="1">
        <f ca="1">J150*('Updated Population'!K$147/'Updated Population'!J$147)</f>
        <v>15.621875700368307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OFFSET(Southland_Reference,21,7)</f>
        <v>7.5859087797999996</v>
      </c>
      <c r="C151" s="4">
        <f ca="1">OFFSET(Southland_Reference,22,7)</f>
        <v>7.6428176813000004</v>
      </c>
      <c r="D151" s="4">
        <f ca="1">OFFSET(Southland_Reference,23,7)</f>
        <v>7.6474535119000002</v>
      </c>
      <c r="E151" s="4">
        <f ca="1">OFFSET(Southland_Reference,24,7)</f>
        <v>7.5969260532999998</v>
      </c>
      <c r="F151" s="4">
        <f ca="1">OFFSET(Southland_Reference,25,7)</f>
        <v>7.4576810847999999</v>
      </c>
      <c r="G151" s="4">
        <f ca="1">OFFSET(Southland_Reference,26,7)</f>
        <v>7.2276557249</v>
      </c>
      <c r="H151" s="4">
        <f ca="1">OFFSET(Southland_Reference,27,7)</f>
        <v>6.9476836906999999</v>
      </c>
      <c r="I151" s="1">
        <f ca="1">H151*('Updated Population'!I$147/'Updated Population'!H$147)</f>
        <v>6.8546153006562118</v>
      </c>
      <c r="J151" s="1">
        <f ca="1">I151*('Updated Population'!J$147/'Updated Population'!I$147)</f>
        <v>6.7412664801732269</v>
      </c>
      <c r="K151" s="1">
        <f ca="1">J151*('Updated Population'!K$147/'Updated Population'!J$147)</f>
        <v>6.6155441594911615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OFFSET(Southland_Reference,28,7)</f>
        <v>6.6688903300000005E-2</v>
      </c>
      <c r="C152" s="4">
        <f ca="1">OFFSET(Southland_Reference,29,7)</f>
        <v>7.6017160099999995E-2</v>
      </c>
      <c r="D152" s="4">
        <f ca="1">OFFSET(Southland_Reference,30,7)</f>
        <v>8.2276099399999997E-2</v>
      </c>
      <c r="E152" s="4">
        <f ca="1">OFFSET(Southland_Reference,31,7)</f>
        <v>8.6782568000000004E-2</v>
      </c>
      <c r="F152" s="4">
        <f ca="1">OFFSET(Southland_Reference,32,7)</f>
        <v>9.0326621600000004E-2</v>
      </c>
      <c r="G152" s="4">
        <f ca="1">OFFSET(Southland_Reference,33,7)</f>
        <v>9.1902642100000001E-2</v>
      </c>
      <c r="H152" s="4">
        <f ca="1">OFFSET(Southland_Reference,34,7)</f>
        <v>9.3230077100000003E-2</v>
      </c>
      <c r="I152" s="1">
        <f ca="1">H152*('Updated Population'!I$147/'Updated Population'!H$147)</f>
        <v>9.1981204300714436E-2</v>
      </c>
      <c r="J152" s="1">
        <f ca="1">I152*('Updated Population'!J$147/'Updated Population'!I$147)</f>
        <v>9.0460191004301971E-2</v>
      </c>
      <c r="K152" s="1">
        <f ca="1">J152*('Updated Population'!K$147/'Updated Population'!J$147)</f>
        <v>8.8773139294381812E-2</v>
      </c>
    </row>
    <row r="153" spans="1:11" x14ac:dyDescent="0.2">
      <c r="A153" t="str">
        <f ca="1">OFFSET(Southland_Reference,35,2)</f>
        <v>Motorcyclist</v>
      </c>
      <c r="B153" s="4">
        <f ca="1">OFFSET(Southland_Reference,35,7)</f>
        <v>0.2609239458</v>
      </c>
      <c r="C153" s="4">
        <f ca="1">OFFSET(Southland_Reference,36,7)</f>
        <v>0.32989250710000001</v>
      </c>
      <c r="D153" s="4">
        <f ca="1">OFFSET(Southland_Reference,37,7)</f>
        <v>0.37843133969999998</v>
      </c>
      <c r="E153" s="4">
        <f ca="1">OFFSET(Southland_Reference,38,7)</f>
        <v>0.39929780209999999</v>
      </c>
      <c r="F153" s="4">
        <f ca="1">OFFSET(Southland_Reference,39,7)</f>
        <v>0.4043519605</v>
      </c>
      <c r="G153" s="4">
        <f ca="1">OFFSET(Southland_Reference,40,7)</f>
        <v>0.39878826319999999</v>
      </c>
      <c r="H153" s="4">
        <f ca="1">OFFSET(Southland_Reference,41,7)</f>
        <v>0.3902659872</v>
      </c>
      <c r="I153" s="1">
        <f ca="1">H153*('Updated Population'!I$147/'Updated Population'!H$147)</f>
        <v>0.38503814023192739</v>
      </c>
      <c r="J153" s="1">
        <f ca="1">I153*('Updated Population'!J$147/'Updated Population'!I$147)</f>
        <v>0.37867109888504497</v>
      </c>
      <c r="K153" s="1">
        <f ca="1">J153*('Updated Population'!K$147/'Updated Population'!J$147)</f>
        <v>0.37160901204022523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OFFSET(Southland_Reference,42,7)</f>
        <v>1.2152660816</v>
      </c>
      <c r="C155" s="4">
        <f ca="1">OFFSET(Southland_Reference,43,7)</f>
        <v>1.2126964949000001</v>
      </c>
      <c r="D155" s="4">
        <f ca="1">OFFSET(Southland_Reference,44,7)</f>
        <v>1.2298861237000001</v>
      </c>
      <c r="E155" s="4">
        <f ca="1">OFFSET(Southland_Reference,45,7)</f>
        <v>1.2547103308000001</v>
      </c>
      <c r="F155" s="4">
        <f ca="1">OFFSET(Southland_Reference,46,7)</f>
        <v>1.2230257926000001</v>
      </c>
      <c r="G155" s="4">
        <f ca="1">OFFSET(Southland_Reference,47,7)</f>
        <v>1.1808230655</v>
      </c>
      <c r="H155" s="4">
        <f ca="1">OFFSET(Southland_Reference,48,7)</f>
        <v>1.1314962729</v>
      </c>
      <c r="I155" s="1">
        <f ca="1">H155*('Updated Population'!I$147/'Updated Population'!H$147)</f>
        <v>1.1163392016878622</v>
      </c>
      <c r="J155" s="1">
        <f ca="1">I155*('Updated Population'!J$147/'Updated Population'!I$147)</f>
        <v>1.0978792697704396</v>
      </c>
      <c r="K155" s="1">
        <f ca="1">J155*('Updated Population'!K$147/'Updated Population'!J$147)</f>
        <v>1.0774041958314067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OFFSET(Southland_Reference,49,7)</f>
        <v>8.5162673699999997E-2</v>
      </c>
      <c r="C157" s="4">
        <f ca="1">OFFSET(Southland_Reference,50,7)</f>
        <v>9.4453581300000006E-2</v>
      </c>
      <c r="D157" s="4">
        <f ca="1">OFFSET(Southland_Reference,51,7)</f>
        <v>0.1006842183</v>
      </c>
      <c r="E157" s="4">
        <f ca="1">OFFSET(Southland_Reference,52,7)</f>
        <v>0.1067805802</v>
      </c>
      <c r="F157" s="4">
        <f ca="1">OFFSET(Southland_Reference,53,7)</f>
        <v>0.11265477459999999</v>
      </c>
      <c r="G157" s="4">
        <f ca="1">OFFSET(Southland_Reference,54,7)</f>
        <v>0.1137228052</v>
      </c>
      <c r="H157" s="4">
        <f ca="1">OFFSET(Southland_Reference,55,7)</f>
        <v>0.11215507199999999</v>
      </c>
      <c r="I157" s="1">
        <f ca="1">H157*('Updated Population'!I$147/'Updated Population'!H$147)</f>
        <v>0.11065268754339941</v>
      </c>
      <c r="J157" s="1">
        <f ca="1">I157*('Updated Population'!J$147/'Updated Population'!I$147)</f>
        <v>0.10882292014345271</v>
      </c>
      <c r="K157" s="1">
        <f ca="1">J157*('Updated Population'!K$147/'Updated Population'!J$147)</f>
        <v>0.10679340979787112</v>
      </c>
    </row>
    <row r="158" spans="1:11" x14ac:dyDescent="0.2">
      <c r="A158" t="s">
        <v>12</v>
      </c>
      <c r="I158" s="1"/>
      <c r="J158" s="1"/>
      <c r="K158" s="1"/>
    </row>
    <row r="159" spans="1:11" x14ac:dyDescent="0.2">
      <c r="A159" t="str">
        <f t="shared" ref="A159:A168" ca="1" si="0">A5</f>
        <v>Pedestrian</v>
      </c>
      <c r="B159" s="4">
        <f ca="1">B5+B16+B27+B38+B49+B60+B71+B82+B93+B104+B115+B126+B137+B148</f>
        <v>205.0143830817</v>
      </c>
      <c r="C159" s="4">
        <f t="shared" ref="C159:I159" ca="1" si="1">C5+C16+C27+C38+C49+C60+C71+C82+C93+C104+C115+C126+C137+C148</f>
        <v>215.0200845398</v>
      </c>
      <c r="D159" s="4">
        <f t="shared" ca="1" si="1"/>
        <v>220.33188891609996</v>
      </c>
      <c r="E159" s="4">
        <f t="shared" ca="1" si="1"/>
        <v>224.16397149349996</v>
      </c>
      <c r="F159" s="4">
        <f t="shared" ca="1" si="1"/>
        <v>226.13544971209998</v>
      </c>
      <c r="G159" s="4">
        <f t="shared" ca="1" si="1"/>
        <v>227.25786686989997</v>
      </c>
      <c r="H159" s="4">
        <f t="shared" ca="1" si="1"/>
        <v>227.50022261649994</v>
      </c>
      <c r="I159" s="1">
        <f t="shared" ca="1" si="1"/>
        <v>233.09813966235271</v>
      </c>
      <c r="J159" s="1">
        <f t="shared" ref="J159:K159" ca="1" si="2">J5+J16+J27+J38+J49+J60+J71+J82+J93+J104+J115+J126+J137+J148</f>
        <v>238.14590078194442</v>
      </c>
      <c r="K159" s="1">
        <f t="shared" ca="1" si="2"/>
        <v>242.85340373452669</v>
      </c>
    </row>
    <row r="160" spans="1:11" x14ac:dyDescent="0.2">
      <c r="A160" t="str">
        <f t="shared" ca="1" si="0"/>
        <v>Cyclist</v>
      </c>
      <c r="B160" s="4">
        <f t="shared" ref="B160:I168" ca="1" si="3">B6+B17+B28+B39+B50+B61+B72+B83+B94+B105+B116+B127+B138+B149</f>
        <v>24.928098629399997</v>
      </c>
      <c r="C160" s="4">
        <f t="shared" ca="1" si="3"/>
        <v>26.862328898999998</v>
      </c>
      <c r="D160" s="4">
        <f t="shared" ca="1" si="3"/>
        <v>27.827502454700003</v>
      </c>
      <c r="E160" s="4">
        <f t="shared" ca="1" si="3"/>
        <v>28.442317962299999</v>
      </c>
      <c r="F160" s="4">
        <f t="shared" ca="1" si="3"/>
        <v>29.3086851459</v>
      </c>
      <c r="G160" s="4">
        <f t="shared" ca="1" si="3"/>
        <v>30.483041257600004</v>
      </c>
      <c r="H160" s="4">
        <f t="shared" ca="1" si="3"/>
        <v>31.679230808500002</v>
      </c>
      <c r="I160" s="1">
        <f t="shared" ca="1" si="3"/>
        <v>32.430278704193377</v>
      </c>
      <c r="J160" s="1">
        <f t="shared" ref="J160:K160" ca="1" si="4">J6+J17+J28+J39+J50+J61+J72+J83+J94+J105+J116+J127+J138+J149</f>
        <v>33.104056258626613</v>
      </c>
      <c r="K160" s="1">
        <f t="shared" ca="1" si="4"/>
        <v>33.729921299402271</v>
      </c>
    </row>
    <row r="161" spans="1:11" x14ac:dyDescent="0.2">
      <c r="A161" t="str">
        <f t="shared" ca="1" si="0"/>
        <v>Light Vehicle Driver</v>
      </c>
      <c r="B161" s="4">
        <f t="shared" ca="1" si="3"/>
        <v>820.39837236829999</v>
      </c>
      <c r="C161" s="4">
        <f t="shared" ca="1" si="3"/>
        <v>889.90163969809987</v>
      </c>
      <c r="D161" s="4">
        <f t="shared" ca="1" si="3"/>
        <v>930.50913664589996</v>
      </c>
      <c r="E161" s="4">
        <f t="shared" ca="1" si="3"/>
        <v>973.49696687570008</v>
      </c>
      <c r="F161" s="4">
        <f t="shared" ca="1" si="3"/>
        <v>1013.6060478960001</v>
      </c>
      <c r="G161" s="4">
        <f t="shared" ca="1" si="3"/>
        <v>1044.4078406202</v>
      </c>
      <c r="H161" s="4">
        <f t="shared" ca="1" si="3"/>
        <v>1070.5539186824999</v>
      </c>
      <c r="I161" s="1">
        <f t="shared" ca="1" si="3"/>
        <v>1096.2226916038362</v>
      </c>
      <c r="J161" s="1">
        <f t="shared" ref="J161:K161" ca="1" si="5">J7+J18+J29+J40+J51+J62+J73+J84+J95+J106+J117+J128+J139+J150</f>
        <v>1119.2875566687114</v>
      </c>
      <c r="K161" s="1">
        <f t="shared" ca="1" si="5"/>
        <v>1140.7392504122261</v>
      </c>
    </row>
    <row r="162" spans="1:11" x14ac:dyDescent="0.2">
      <c r="A162" t="str">
        <f t="shared" ca="1" si="0"/>
        <v>Light Vehicle Passenger</v>
      </c>
      <c r="B162" s="4">
        <f t="shared" ca="1" si="3"/>
        <v>430.09037615619997</v>
      </c>
      <c r="C162" s="4">
        <f t="shared" ca="1" si="3"/>
        <v>447.02662392269997</v>
      </c>
      <c r="D162" s="4">
        <f t="shared" ca="1" si="3"/>
        <v>456.4658529088</v>
      </c>
      <c r="E162" s="4">
        <f t="shared" ca="1" si="3"/>
        <v>466.49608353550002</v>
      </c>
      <c r="F162" s="4">
        <f t="shared" ca="1" si="3"/>
        <v>474.17890534629998</v>
      </c>
      <c r="G162" s="4">
        <f t="shared" ca="1" si="3"/>
        <v>479.14697529649999</v>
      </c>
      <c r="H162" s="4">
        <f t="shared" ca="1" si="3"/>
        <v>481.68460122730005</v>
      </c>
      <c r="I162" s="1">
        <f t="shared" ca="1" si="3"/>
        <v>492.98741429688982</v>
      </c>
      <c r="J162" s="1">
        <f t="shared" ref="J162:K162" ca="1" si="6">J8+J19+J30+J41+J52+J63+J74+J85+J96+J107+J118+J129+J140+J151</f>
        <v>503.10907074539887</v>
      </c>
      <c r="K162" s="1">
        <f t="shared" ca="1" si="6"/>
        <v>512.49661445491938</v>
      </c>
    </row>
    <row r="163" spans="1:11" x14ac:dyDescent="0.2">
      <c r="A163" t="str">
        <f t="shared" ca="1" si="0"/>
        <v>Taxi/Vehicle Share</v>
      </c>
      <c r="B163" s="4">
        <f t="shared" ca="1" si="3"/>
        <v>4.6704390591000005</v>
      </c>
      <c r="C163" s="4">
        <f t="shared" ca="1" si="3"/>
        <v>5.2816369763000006</v>
      </c>
      <c r="D163" s="4">
        <f t="shared" ca="1" si="3"/>
        <v>5.7616648724999999</v>
      </c>
      <c r="E163" s="4">
        <f t="shared" ca="1" si="3"/>
        <v>6.2055127509000005</v>
      </c>
      <c r="F163" s="4">
        <f t="shared" ca="1" si="3"/>
        <v>6.5930895307999995</v>
      </c>
      <c r="G163" s="4">
        <f t="shared" ca="1" si="3"/>
        <v>6.8648711915999989</v>
      </c>
      <c r="H163" s="4">
        <f t="shared" ca="1" si="3"/>
        <v>7.1071100990000016</v>
      </c>
      <c r="I163" s="1">
        <f t="shared" ca="1" si="3"/>
        <v>7.2938131172173879</v>
      </c>
      <c r="J163" s="1">
        <f t="shared" ref="J163:K163" ca="1" si="7">J9+J20+J31+J42+J53+J64+J75+J86+J97+J108+J119+J130+J141+J152</f>
        <v>7.4640995541480963</v>
      </c>
      <c r="K163" s="1">
        <f t="shared" ca="1" si="7"/>
        <v>7.6244725311577559</v>
      </c>
    </row>
    <row r="164" spans="1:11" x14ac:dyDescent="0.2">
      <c r="A164" t="str">
        <f t="shared" ca="1" si="0"/>
        <v>Motorcyclist</v>
      </c>
      <c r="B164" s="4">
        <f t="shared" ca="1" si="3"/>
        <v>6.0136150244</v>
      </c>
      <c r="C164" s="4">
        <f t="shared" ca="1" si="3"/>
        <v>6.4167768385999997</v>
      </c>
      <c r="D164" s="4">
        <f t="shared" ca="1" si="3"/>
        <v>6.6120172757999995</v>
      </c>
      <c r="E164" s="4">
        <f t="shared" ca="1" si="3"/>
        <v>6.7866105664999985</v>
      </c>
      <c r="F164" s="4">
        <f t="shared" ca="1" si="3"/>
        <v>6.9340350858999997</v>
      </c>
      <c r="G164" s="4">
        <f t="shared" ca="1" si="3"/>
        <v>6.9823630740000011</v>
      </c>
      <c r="H164" s="4">
        <f t="shared" ca="1" si="3"/>
        <v>6.9886714640000003</v>
      </c>
      <c r="I164" s="1">
        <f t="shared" ca="1" si="3"/>
        <v>7.1297008954016841</v>
      </c>
      <c r="J164" s="1">
        <f t="shared" ref="J164:K164" ca="1" si="8">J10+J21+J32+J43+J54+J65+J76+J87+J98+J109+J120+J131+J142+J153</f>
        <v>7.2529125252478757</v>
      </c>
      <c r="K164" s="1">
        <f t="shared" ca="1" si="8"/>
        <v>7.3649190176868071</v>
      </c>
    </row>
    <row r="165" spans="1:11" x14ac:dyDescent="0.2">
      <c r="A165" t="str">
        <f t="shared" ca="1" si="0"/>
        <v>Local Train</v>
      </c>
      <c r="B165" s="4">
        <f t="shared" ca="1" si="3"/>
        <v>9.9999446903999978</v>
      </c>
      <c r="C165" s="4">
        <f t="shared" ca="1" si="3"/>
        <v>10.8419214415</v>
      </c>
      <c r="D165" s="4">
        <f t="shared" ca="1" si="3"/>
        <v>11.3779996173</v>
      </c>
      <c r="E165" s="4">
        <f t="shared" ca="1" si="3"/>
        <v>11.757204872700001</v>
      </c>
      <c r="F165" s="4">
        <f t="shared" ca="1" si="3"/>
        <v>11.974389638</v>
      </c>
      <c r="G165" s="4">
        <f t="shared" ca="1" si="3"/>
        <v>12.1643940849</v>
      </c>
      <c r="H165" s="4">
        <f t="shared" ca="1" si="3"/>
        <v>12.276788155599998</v>
      </c>
      <c r="I165" s="1">
        <f t="shared" ca="1" si="3"/>
        <v>12.602090753396249</v>
      </c>
      <c r="J165" s="1">
        <f t="shared" ref="J165:K165" ca="1" si="9">J11+J22+J33+J44+J55+J66+J77+J88+J99+J110+J121+J132+J143+J154</f>
        <v>12.898173162504628</v>
      </c>
      <c r="K165" s="1">
        <f t="shared" ca="1" si="9"/>
        <v>13.176269698690641</v>
      </c>
    </row>
    <row r="166" spans="1:11" x14ac:dyDescent="0.2">
      <c r="A166" t="str">
        <f t="shared" ca="1" si="0"/>
        <v>Local Bus</v>
      </c>
      <c r="B166" s="4">
        <f t="shared" ca="1" si="3"/>
        <v>54.150595508499997</v>
      </c>
      <c r="C166" s="4">
        <f t="shared" ca="1" si="3"/>
        <v>55.620954721299995</v>
      </c>
      <c r="D166" s="4">
        <f t="shared" ca="1" si="3"/>
        <v>55.866275090799995</v>
      </c>
      <c r="E166" s="4">
        <f t="shared" ca="1" si="3"/>
        <v>55.626552000600007</v>
      </c>
      <c r="F166" s="4">
        <f t="shared" ca="1" si="3"/>
        <v>54.435057704899997</v>
      </c>
      <c r="G166" s="4">
        <f t="shared" ca="1" si="3"/>
        <v>53.204271954699998</v>
      </c>
      <c r="H166" s="4">
        <f t="shared" ca="1" si="3"/>
        <v>51.677959543999997</v>
      </c>
      <c r="I166" s="1">
        <f t="shared" ca="1" si="3"/>
        <v>53.002236564395652</v>
      </c>
      <c r="J166" s="1">
        <f t="shared" ref="J166:K166" ca="1" si="10">J12+J23+J34+J45+J56+J67+J78+J89+J100+J111+J122+J133+J144+J155</f>
        <v>54.204011454269448</v>
      </c>
      <c r="K166" s="1">
        <f t="shared" ca="1" si="10"/>
        <v>55.330709585409068</v>
      </c>
    </row>
    <row r="167" spans="1:11" x14ac:dyDescent="0.2">
      <c r="A167" t="str">
        <f t="shared" ca="1" si="0"/>
        <v>Local Ferry</v>
      </c>
      <c r="B167" s="4">
        <f t="shared" ca="1" si="3"/>
        <v>1.3964695746999998</v>
      </c>
      <c r="C167" s="4">
        <f t="shared" ca="1" si="3"/>
        <v>1.5500437432</v>
      </c>
      <c r="D167" s="4">
        <f t="shared" ca="1" si="3"/>
        <v>1.6507737573999999</v>
      </c>
      <c r="E167" s="4">
        <f t="shared" ca="1" si="3"/>
        <v>1.7242244820999999</v>
      </c>
      <c r="F167" s="4">
        <f t="shared" ca="1" si="3"/>
        <v>1.777432699</v>
      </c>
      <c r="G167" s="4">
        <f t="shared" ca="1" si="3"/>
        <v>1.8602543423000002</v>
      </c>
      <c r="H167" s="4">
        <f t="shared" ca="1" si="3"/>
        <v>1.9286852693000001</v>
      </c>
      <c r="I167" s="1">
        <f t="shared" ca="1" si="3"/>
        <v>1.9880406221344018</v>
      </c>
      <c r="J167" s="1">
        <f t="shared" ref="J167:K167" ca="1" si="11">J13+J24+J35+J46+J57+J68+J79+J90+J101+J112+J123+J134+J145+J156</f>
        <v>2.0431967992363025</v>
      </c>
      <c r="K167" s="1">
        <f t="shared" ca="1" si="11"/>
        <v>2.0958728030235414</v>
      </c>
    </row>
    <row r="168" spans="1:11" x14ac:dyDescent="0.2">
      <c r="A168" t="str">
        <f t="shared" ca="1" si="0"/>
        <v>Other Household Travel</v>
      </c>
      <c r="B168" s="4">
        <f t="shared" ca="1" si="3"/>
        <v>5.6740244923000009</v>
      </c>
      <c r="C168" s="4">
        <f t="shared" ca="1" si="3"/>
        <v>6.1384887797000003</v>
      </c>
      <c r="D168" s="4">
        <f t="shared" ca="1" si="3"/>
        <v>6.4808757820999991</v>
      </c>
      <c r="E168" s="4">
        <f t="shared" ca="1" si="3"/>
        <v>6.7111447318999993</v>
      </c>
      <c r="F168" s="4">
        <f t="shared" ca="1" si="3"/>
        <v>6.8896133802000001</v>
      </c>
      <c r="G168" s="4">
        <f t="shared" ca="1" si="3"/>
        <v>7.0837947497</v>
      </c>
      <c r="H168" s="4">
        <f t="shared" ca="1" si="3"/>
        <v>7.2230331540999995</v>
      </c>
      <c r="I168" s="1">
        <f t="shared" ca="1" si="3"/>
        <v>7.4102632699396951</v>
      </c>
      <c r="J168" s="1">
        <f t="shared" ref="J168:K168" ca="1" si="12">J14+J25+J36+J47+J58+J69+J80+J91+J102+J113+J124+J135+J146+J157</f>
        <v>7.5803779899121952</v>
      </c>
      <c r="K168" s="1">
        <f t="shared" ca="1" si="12"/>
        <v>7.7399852214007367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H190"/>
  <sheetViews>
    <sheetView topLeftCell="A130" workbookViewId="0">
      <selection activeCell="H158" sqref="H158"/>
    </sheetView>
  </sheetViews>
  <sheetFormatPr defaultRowHeight="12.75" x14ac:dyDescent="0.2"/>
  <cols>
    <col min="1" max="1" width="26.140625" customWidth="1"/>
  </cols>
  <sheetData>
    <row r="2" spans="1:8" x14ac:dyDescent="0.2">
      <c r="A2" s="3" t="s">
        <v>15</v>
      </c>
    </row>
    <row r="3" spans="1:8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</row>
    <row r="4" spans="1:8" x14ac:dyDescent="0.2">
      <c r="A4" t="str">
        <f ca="1">OFFSET(Northland_Reference,0,0)</f>
        <v>01 NORTHLAND</v>
      </c>
      <c r="B4" s="5">
        <f>[3]Population!D4</f>
        <v>164700</v>
      </c>
      <c r="C4" s="5">
        <f>[3]Population!E4</f>
        <v>173877.05633753625</v>
      </c>
      <c r="D4" s="5">
        <f>[3]Population!F4</f>
        <v>180060.85711291956</v>
      </c>
      <c r="E4" s="5">
        <f>[3]Population!G4</f>
        <v>185847.5812930041</v>
      </c>
      <c r="F4" s="5">
        <f>[3]Population!H4</f>
        <v>190771.19904998079</v>
      </c>
      <c r="G4" s="5">
        <f>[3]Population!I4</f>
        <v>194317.69760050299</v>
      </c>
      <c r="H4" s="5">
        <f>[3]Population!J4</f>
        <v>197033.85141978972</v>
      </c>
    </row>
    <row r="5" spans="1:8" x14ac:dyDescent="0.2">
      <c r="A5" t="str">
        <f ca="1">OFFSET(Northland_Reference,0,2)</f>
        <v>Pedestrian</v>
      </c>
      <c r="B5" s="4"/>
      <c r="C5" s="4"/>
      <c r="D5" s="4"/>
      <c r="E5" s="4"/>
      <c r="F5" s="4"/>
      <c r="G5" s="4"/>
      <c r="H5" s="4"/>
    </row>
    <row r="6" spans="1:8" x14ac:dyDescent="0.2">
      <c r="A6" t="str">
        <f ca="1">OFFSET(Northland_Reference,7,2)</f>
        <v>Cyclist</v>
      </c>
      <c r="B6" s="4"/>
      <c r="C6" s="4"/>
      <c r="D6" s="4"/>
      <c r="E6" s="4"/>
      <c r="F6" s="4"/>
      <c r="G6" s="4"/>
      <c r="H6" s="4"/>
    </row>
    <row r="7" spans="1:8" x14ac:dyDescent="0.2">
      <c r="A7" t="str">
        <f ca="1">OFFSET(Northland_Reference,14,2)</f>
        <v>Light Vehicle Driver</v>
      </c>
      <c r="B7" s="4"/>
      <c r="C7" s="4"/>
      <c r="D7" s="4"/>
      <c r="E7" s="4"/>
      <c r="F7" s="4"/>
      <c r="G7" s="4"/>
      <c r="H7" s="4"/>
    </row>
    <row r="8" spans="1:8" x14ac:dyDescent="0.2">
      <c r="A8" t="str">
        <f ca="1">OFFSET(Northland_Reference,21,2)</f>
        <v>Light Vehicle Passenger</v>
      </c>
      <c r="B8" s="4"/>
      <c r="C8" s="4"/>
      <c r="D8" s="4"/>
      <c r="E8" s="4"/>
      <c r="F8" s="4"/>
      <c r="G8" s="4"/>
      <c r="H8" s="4"/>
    </row>
    <row r="9" spans="1:8" x14ac:dyDescent="0.2">
      <c r="A9" t="str">
        <f ca="1">OFFSET(Northland_Reference,28,2)</f>
        <v>Taxi/Vehicle Share</v>
      </c>
      <c r="B9" s="4"/>
      <c r="C9" s="4"/>
      <c r="D9" s="4"/>
      <c r="E9" s="4"/>
      <c r="F9" s="4"/>
      <c r="G9" s="4"/>
      <c r="H9" s="4"/>
    </row>
    <row r="10" spans="1:8" x14ac:dyDescent="0.2">
      <c r="A10" t="str">
        <f ca="1">OFFSET(Northland_Reference,35,2)</f>
        <v>Motorcyclist</v>
      </c>
      <c r="B10" s="4"/>
      <c r="C10" s="4"/>
      <c r="D10" s="4"/>
      <c r="E10" s="4"/>
      <c r="F10" s="4"/>
      <c r="G10" s="4"/>
      <c r="H10" s="4"/>
    </row>
    <row r="11" spans="1:8" x14ac:dyDescent="0.2">
      <c r="A11" t="str">
        <f ca="1">OFFSET(Auckland_Reference,42,2)</f>
        <v>Local Train</v>
      </c>
      <c r="B11" s="4"/>
      <c r="C11" s="4"/>
      <c r="D11" s="4"/>
      <c r="E11" s="4"/>
      <c r="F11" s="4"/>
      <c r="G11" s="4"/>
      <c r="H11" s="4"/>
    </row>
    <row r="12" spans="1:8" x14ac:dyDescent="0.2">
      <c r="A12" t="str">
        <f ca="1">OFFSET(Northland_Reference,42,2)</f>
        <v>Local Bus</v>
      </c>
      <c r="B12" s="4"/>
      <c r="C12" s="4"/>
      <c r="D12" s="4"/>
      <c r="E12" s="4"/>
      <c r="F12" s="4"/>
      <c r="G12" s="4"/>
      <c r="H12" s="4"/>
    </row>
    <row r="13" spans="1:8" x14ac:dyDescent="0.2">
      <c r="A13" t="str">
        <f ca="1">OFFSET(Northland_Reference,49,2)</f>
        <v>Local Ferry</v>
      </c>
      <c r="B13" s="4"/>
      <c r="C13" s="4"/>
      <c r="D13" s="4"/>
      <c r="E13" s="4"/>
      <c r="F13" s="4"/>
      <c r="G13" s="4"/>
      <c r="H13" s="4"/>
    </row>
    <row r="14" spans="1:8" x14ac:dyDescent="0.2">
      <c r="A14" t="str">
        <f ca="1">OFFSET(Northland_Reference,56,2)</f>
        <v>Other Household Travel</v>
      </c>
      <c r="B14" s="4"/>
      <c r="C14" s="4"/>
      <c r="D14" s="4"/>
      <c r="E14" s="4"/>
      <c r="F14" s="4"/>
      <c r="G14" s="4"/>
      <c r="H14" s="4"/>
    </row>
    <row r="15" spans="1:8" x14ac:dyDescent="0.2">
      <c r="A15" t="str">
        <f ca="1">OFFSET(Auckland_Reference,0,0)</f>
        <v>02 AUCKLAND</v>
      </c>
      <c r="B15">
        <f>[3]Population!D5</f>
        <v>1493200</v>
      </c>
      <c r="C15">
        <f>[3]Population!E5</f>
        <v>1612318.0468722712</v>
      </c>
      <c r="D15">
        <f>[3]Population!F5</f>
        <v>1703012.5667982257</v>
      </c>
      <c r="E15">
        <f>[3]Population!G5</f>
        <v>1793759.239984632</v>
      </c>
      <c r="F15">
        <f>[3]Population!H5</f>
        <v>1879812.1197303622</v>
      </c>
      <c r="G15">
        <f>[3]Population!I5</f>
        <v>1959137.2288777898</v>
      </c>
      <c r="H15">
        <f>[3]Population!J5</f>
        <v>2032569.0195941462</v>
      </c>
    </row>
    <row r="16" spans="1:8" x14ac:dyDescent="0.2">
      <c r="A16" t="str">
        <f ca="1">OFFSET(Auckland_Reference,0,2)</f>
        <v>Pedestrian</v>
      </c>
      <c r="B16" s="4"/>
      <c r="C16" s="4"/>
      <c r="D16" s="4"/>
      <c r="E16" s="4"/>
      <c r="F16" s="4"/>
      <c r="G16" s="4"/>
      <c r="H16" s="4"/>
    </row>
    <row r="17" spans="1:8" x14ac:dyDescent="0.2">
      <c r="A17" t="str">
        <f ca="1">OFFSET(Auckland_Reference,7,2)</f>
        <v>Cyclist</v>
      </c>
      <c r="B17" s="4"/>
      <c r="C17" s="4"/>
      <c r="D17" s="4"/>
      <c r="E17" s="4"/>
      <c r="F17" s="4"/>
      <c r="G17" s="4"/>
      <c r="H17" s="4"/>
    </row>
    <row r="18" spans="1:8" x14ac:dyDescent="0.2">
      <c r="A18" t="str">
        <f ca="1">OFFSET(Auckland_Reference,14,2)</f>
        <v>Light Vehicle Driver</v>
      </c>
      <c r="B18" s="4"/>
      <c r="C18" s="4"/>
      <c r="D18" s="4"/>
      <c r="E18" s="4"/>
      <c r="F18" s="4"/>
      <c r="G18" s="4"/>
      <c r="H18" s="4"/>
    </row>
    <row r="19" spans="1:8" x14ac:dyDescent="0.2">
      <c r="A19" t="str">
        <f ca="1">OFFSET(Auckland_Reference,21,2)</f>
        <v>Light Vehicle Passenger</v>
      </c>
      <c r="B19" s="4"/>
      <c r="C19" s="4"/>
      <c r="D19" s="4"/>
      <c r="E19" s="4"/>
      <c r="F19" s="4"/>
      <c r="G19" s="4"/>
      <c r="H19" s="4"/>
    </row>
    <row r="20" spans="1:8" x14ac:dyDescent="0.2">
      <c r="A20" t="str">
        <f ca="1">OFFSET(Auckland_Reference,28,2)</f>
        <v>Taxi/Vehicle Share</v>
      </c>
      <c r="B20" s="4"/>
      <c r="C20" s="4"/>
      <c r="D20" s="4"/>
      <c r="E20" s="4"/>
      <c r="F20" s="4"/>
      <c r="G20" s="4"/>
      <c r="H20" s="4"/>
    </row>
    <row r="21" spans="1:8" x14ac:dyDescent="0.2">
      <c r="A21" t="str">
        <f ca="1">OFFSET(Auckland_Reference,35,2)</f>
        <v>Motorcyclist</v>
      </c>
      <c r="B21" s="4"/>
      <c r="C21" s="4"/>
      <c r="D21" s="4"/>
      <c r="E21" s="4"/>
      <c r="F21" s="4"/>
      <c r="G21" s="4"/>
      <c r="H21" s="4"/>
    </row>
    <row r="22" spans="1:8" x14ac:dyDescent="0.2">
      <c r="A22" t="str">
        <f ca="1">OFFSET(Auckland_Reference,42,2)</f>
        <v>Local Train</v>
      </c>
      <c r="B22" s="4"/>
      <c r="C22" s="4"/>
      <c r="D22" s="4"/>
      <c r="E22" s="4"/>
      <c r="F22" s="4"/>
      <c r="G22" s="4"/>
      <c r="H22" s="4"/>
    </row>
    <row r="23" spans="1:8" x14ac:dyDescent="0.2">
      <c r="A23" t="str">
        <f ca="1">OFFSET(Auckland_Reference,49,2)</f>
        <v>Local Bus</v>
      </c>
      <c r="B23" s="4"/>
      <c r="C23" s="4"/>
      <c r="D23" s="4"/>
      <c r="E23" s="4"/>
      <c r="F23" s="4"/>
      <c r="G23" s="4"/>
      <c r="H23" s="4"/>
    </row>
    <row r="24" spans="1:8" x14ac:dyDescent="0.2">
      <c r="A24" t="str">
        <f ca="1">OFFSET(Auckland_Reference,56,2)</f>
        <v>Local Ferry</v>
      </c>
      <c r="B24" s="4"/>
      <c r="C24" s="4"/>
      <c r="D24" s="4"/>
      <c r="E24" s="4"/>
      <c r="F24" s="4"/>
      <c r="G24" s="4"/>
      <c r="H24" s="4"/>
    </row>
    <row r="25" spans="1:8" x14ac:dyDescent="0.2">
      <c r="A25" t="str">
        <f ca="1">OFFSET(Auckland_Reference,63,2)</f>
        <v>Other Household Travel</v>
      </c>
      <c r="B25" s="4"/>
      <c r="C25" s="4"/>
      <c r="D25" s="4"/>
      <c r="E25" s="4"/>
      <c r="F25" s="4"/>
      <c r="G25" s="4"/>
      <c r="H25" s="4"/>
    </row>
    <row r="26" spans="1:8" x14ac:dyDescent="0.2">
      <c r="A26" t="str">
        <f ca="1">OFFSET(Waikato_Reference,0,0)</f>
        <v>03 WAIKATO</v>
      </c>
      <c r="B26">
        <f>[3]Population!D6</f>
        <v>424600</v>
      </c>
      <c r="C26">
        <f>[3]Population!E6</f>
        <v>447882.00551849394</v>
      </c>
      <c r="D26">
        <f>[3]Population!F6</f>
        <v>464004.90726834547</v>
      </c>
      <c r="E26">
        <f>[3]Population!G6</f>
        <v>478833.05508015794</v>
      </c>
      <c r="F26">
        <f>[3]Population!H6</f>
        <v>491489.05731549719</v>
      </c>
      <c r="G26">
        <f>[3]Population!I6</f>
        <v>501368.31755789183</v>
      </c>
      <c r="H26">
        <f>[3]Population!J6</f>
        <v>508954.77279871469</v>
      </c>
    </row>
    <row r="27" spans="1:8" x14ac:dyDescent="0.2">
      <c r="A27" t="str">
        <f ca="1">OFFSET(Waikato_Reference,0,2)</f>
        <v>Pedestrian</v>
      </c>
      <c r="B27" s="4"/>
      <c r="C27" s="4"/>
      <c r="D27" s="4"/>
      <c r="E27" s="4"/>
      <c r="F27" s="4"/>
      <c r="G27" s="4"/>
      <c r="H27" s="4"/>
    </row>
    <row r="28" spans="1:8" x14ac:dyDescent="0.2">
      <c r="A28" t="str">
        <f ca="1">OFFSET(Waikato_Reference,7,2)</f>
        <v>Cyclist</v>
      </c>
      <c r="B28" s="4"/>
      <c r="C28" s="4"/>
      <c r="D28" s="4"/>
      <c r="E28" s="4"/>
      <c r="F28" s="4"/>
      <c r="G28" s="4"/>
      <c r="H28" s="4"/>
    </row>
    <row r="29" spans="1:8" x14ac:dyDescent="0.2">
      <c r="A29" t="str">
        <f ca="1">OFFSET(Waikato_Reference,14,2)</f>
        <v>Light Vehicle Driver</v>
      </c>
      <c r="B29" s="4"/>
      <c r="C29" s="4"/>
      <c r="D29" s="4"/>
      <c r="E29" s="4"/>
      <c r="F29" s="4"/>
      <c r="G29" s="4"/>
      <c r="H29" s="4"/>
    </row>
    <row r="30" spans="1:8" x14ac:dyDescent="0.2">
      <c r="A30" t="str">
        <f ca="1">OFFSET(Waikato_Reference,21,2)</f>
        <v>Light Vehicle Passenger</v>
      </c>
      <c r="B30" s="4"/>
      <c r="C30" s="4"/>
      <c r="D30" s="4"/>
      <c r="E30" s="4"/>
      <c r="F30" s="4"/>
      <c r="G30" s="4"/>
      <c r="H30" s="4"/>
    </row>
    <row r="31" spans="1:8" x14ac:dyDescent="0.2">
      <c r="A31" t="str">
        <f ca="1">OFFSET(Waikato_Reference,28,2)</f>
        <v>Taxi/Vehicle Share</v>
      </c>
      <c r="B31" s="4"/>
      <c r="C31" s="4"/>
      <c r="D31" s="4"/>
      <c r="E31" s="4"/>
      <c r="F31" s="4"/>
      <c r="G31" s="4"/>
      <c r="H31" s="4"/>
    </row>
    <row r="32" spans="1:8" x14ac:dyDescent="0.2">
      <c r="A32" t="str">
        <f ca="1">OFFSET(Waikato_Reference,35,2)</f>
        <v>Motorcyclist</v>
      </c>
      <c r="B32" s="4"/>
      <c r="C32" s="4"/>
      <c r="D32" s="4"/>
      <c r="E32" s="4"/>
      <c r="F32" s="4"/>
      <c r="G32" s="4"/>
      <c r="H32" s="4"/>
    </row>
    <row r="33" spans="1:8" x14ac:dyDescent="0.2">
      <c r="A33" t="str">
        <f ca="1">OFFSET(Waikato_Reference,42,2)</f>
        <v>Local Train</v>
      </c>
      <c r="B33" s="4"/>
      <c r="C33" s="4"/>
      <c r="D33" s="4"/>
      <c r="E33" s="4"/>
      <c r="F33" s="4"/>
      <c r="G33" s="4"/>
      <c r="H33" s="4"/>
    </row>
    <row r="34" spans="1:8" x14ac:dyDescent="0.2">
      <c r="A34" t="str">
        <f ca="1">OFFSET(Waikato_Reference,49,2)</f>
        <v>Local Bus</v>
      </c>
      <c r="B34" s="4"/>
      <c r="C34" s="4"/>
      <c r="D34" s="4"/>
      <c r="E34" s="4"/>
      <c r="F34" s="4"/>
      <c r="G34" s="4"/>
      <c r="H34" s="4"/>
    </row>
    <row r="35" spans="1:8" x14ac:dyDescent="0.2">
      <c r="A35" t="str">
        <f ca="1">OFFSET(Waikato_Reference,56,2)</f>
        <v>Local Ferry</v>
      </c>
      <c r="B35" s="4"/>
      <c r="C35" s="4"/>
      <c r="D35" s="4"/>
      <c r="E35" s="4"/>
      <c r="F35" s="4"/>
      <c r="G35" s="4"/>
      <c r="H35" s="4"/>
    </row>
    <row r="36" spans="1:8" x14ac:dyDescent="0.2">
      <c r="A36" t="str">
        <f ca="1">OFFSET(Waikato_Reference,63,2)</f>
        <v>Other Household Travel</v>
      </c>
      <c r="B36" s="4"/>
      <c r="C36" s="4"/>
      <c r="D36" s="4"/>
      <c r="E36" s="4"/>
      <c r="F36" s="4"/>
      <c r="G36" s="4"/>
      <c r="H36" s="4"/>
    </row>
    <row r="37" spans="1:8" x14ac:dyDescent="0.2">
      <c r="A37" t="str">
        <f ca="1">OFFSET(BOP_Reference,0,0)</f>
        <v>04 BAY OF PLENTY</v>
      </c>
      <c r="B37">
        <f>[3]Population!D7</f>
        <v>279700</v>
      </c>
      <c r="C37">
        <f>[3]Population!E7</f>
        <v>291356.88589291327</v>
      </c>
      <c r="D37">
        <f>[3]Population!F7</f>
        <v>299633.34148300794</v>
      </c>
      <c r="E37">
        <f>[3]Population!G7</f>
        <v>307213.98134888755</v>
      </c>
      <c r="F37">
        <f>[3]Population!H7</f>
        <v>313218.03639411827</v>
      </c>
      <c r="G37">
        <f>[3]Population!I7</f>
        <v>317282.31986308546</v>
      </c>
      <c r="H37">
        <f>[3]Population!J7</f>
        <v>319673.78016834898</v>
      </c>
    </row>
    <row r="38" spans="1:8" x14ac:dyDescent="0.2">
      <c r="A38" t="str">
        <f ca="1">OFFSET(BOP_Reference,0,2)</f>
        <v>Pedestrian</v>
      </c>
      <c r="B38" s="4"/>
      <c r="C38" s="4"/>
      <c r="D38" s="4"/>
      <c r="E38" s="4"/>
      <c r="F38" s="4"/>
      <c r="G38" s="4"/>
      <c r="H38" s="4"/>
    </row>
    <row r="39" spans="1:8" x14ac:dyDescent="0.2">
      <c r="A39" t="str">
        <f ca="1">OFFSET(BOP_Reference,7,2)</f>
        <v>Cyclist</v>
      </c>
      <c r="B39" s="4"/>
      <c r="C39" s="4"/>
      <c r="D39" s="4"/>
      <c r="E39" s="4"/>
      <c r="F39" s="4"/>
      <c r="G39" s="4"/>
      <c r="H39" s="4"/>
    </row>
    <row r="40" spans="1:8" x14ac:dyDescent="0.2">
      <c r="A40" t="str">
        <f ca="1">OFFSET(BOP_Reference,14,2)</f>
        <v>Light Vehicle Driver</v>
      </c>
      <c r="B40" s="4"/>
      <c r="C40" s="4"/>
      <c r="D40" s="4"/>
      <c r="E40" s="4"/>
      <c r="F40" s="4"/>
      <c r="G40" s="4"/>
      <c r="H40" s="4"/>
    </row>
    <row r="41" spans="1:8" x14ac:dyDescent="0.2">
      <c r="A41" t="str">
        <f ca="1">OFFSET(BOP_Reference,21,2)</f>
        <v>Light Vehicle Passenger</v>
      </c>
      <c r="B41" s="4"/>
      <c r="C41" s="4"/>
      <c r="D41" s="4"/>
      <c r="E41" s="4"/>
      <c r="F41" s="4"/>
      <c r="G41" s="4"/>
      <c r="H41" s="4"/>
    </row>
    <row r="42" spans="1:8" x14ac:dyDescent="0.2">
      <c r="A42" t="str">
        <f ca="1">OFFSET(BOP_Reference,28,2)</f>
        <v>Taxi/Vehicle Share</v>
      </c>
      <c r="B42" s="4"/>
      <c r="C42" s="4"/>
      <c r="D42" s="4"/>
      <c r="E42" s="4"/>
      <c r="F42" s="4"/>
      <c r="G42" s="4"/>
      <c r="H42" s="4"/>
    </row>
    <row r="43" spans="1:8" x14ac:dyDescent="0.2">
      <c r="A43" t="str">
        <f ca="1">OFFSET(BOP_Reference,35,2)</f>
        <v>Motorcyclist</v>
      </c>
      <c r="B43" s="4"/>
      <c r="C43" s="4"/>
      <c r="D43" s="4"/>
      <c r="E43" s="4"/>
      <c r="F43" s="4"/>
      <c r="G43" s="4"/>
      <c r="H43" s="4"/>
    </row>
    <row r="44" spans="1:8" x14ac:dyDescent="0.2">
      <c r="A44" t="str">
        <f ca="1">OFFSET(Auckland_Reference,42,2)</f>
        <v>Local Train</v>
      </c>
      <c r="B44" s="4"/>
      <c r="C44" s="4"/>
      <c r="D44" s="4"/>
      <c r="E44" s="4"/>
      <c r="F44" s="4"/>
      <c r="G44" s="4"/>
      <c r="H44" s="4"/>
    </row>
    <row r="45" spans="1:8" x14ac:dyDescent="0.2">
      <c r="A45" t="str">
        <f ca="1">OFFSET(BOP_Reference,42,2)</f>
        <v>Local Bus</v>
      </c>
      <c r="B45" s="4"/>
      <c r="C45" s="4"/>
      <c r="D45" s="4"/>
      <c r="E45" s="4"/>
      <c r="F45" s="4"/>
      <c r="G45" s="4"/>
      <c r="H45" s="4"/>
    </row>
    <row r="46" spans="1:8" x14ac:dyDescent="0.2">
      <c r="A46" t="str">
        <f ca="1">OFFSET(Waikato_Reference,56,2)</f>
        <v>Local Ferry</v>
      </c>
      <c r="B46" s="4"/>
      <c r="C46" s="4"/>
      <c r="D46" s="4"/>
      <c r="E46" s="4"/>
      <c r="F46" s="4"/>
      <c r="G46" s="4"/>
      <c r="H46" s="4"/>
    </row>
    <row r="47" spans="1:8" x14ac:dyDescent="0.2">
      <c r="A47" t="str">
        <f ca="1">OFFSET(BOP_Reference,49,2)</f>
        <v>Other Household Travel</v>
      </c>
      <c r="B47" s="4"/>
      <c r="C47" s="4"/>
      <c r="D47" s="4"/>
      <c r="E47" s="4"/>
      <c r="F47" s="4"/>
      <c r="G47" s="4"/>
      <c r="H47" s="4"/>
    </row>
    <row r="48" spans="1:8" x14ac:dyDescent="0.2">
      <c r="A48" t="str">
        <f ca="1">OFFSET(Gisborne_Reference,0,0)</f>
        <v>05 GISBORNE</v>
      </c>
      <c r="B48">
        <f>[3]Population!D8</f>
        <v>47000</v>
      </c>
      <c r="C48">
        <f>[3]Population!E8</f>
        <v>47800</v>
      </c>
      <c r="D48">
        <f>[3]Population!F8</f>
        <v>48300</v>
      </c>
      <c r="E48">
        <f>[3]Population!G8</f>
        <v>48600</v>
      </c>
      <c r="F48">
        <f>[3]Population!H8</f>
        <v>48600</v>
      </c>
      <c r="G48">
        <f>[3]Population!I8</f>
        <v>48200</v>
      </c>
      <c r="H48">
        <f>[3]Population!J8</f>
        <v>47600</v>
      </c>
    </row>
    <row r="49" spans="1:8" x14ac:dyDescent="0.2">
      <c r="A49" t="str">
        <f ca="1">OFFSET(Gisborne_Reference,0,2)</f>
        <v>Pedestrian</v>
      </c>
      <c r="B49" s="4"/>
      <c r="C49" s="4"/>
      <c r="D49" s="4"/>
      <c r="E49" s="4"/>
      <c r="F49" s="4"/>
      <c r="G49" s="4"/>
      <c r="H49" s="4"/>
    </row>
    <row r="50" spans="1:8" x14ac:dyDescent="0.2">
      <c r="A50" t="str">
        <f ca="1">OFFSET(Gisborne_Reference,7,2)</f>
        <v>Cyclist</v>
      </c>
      <c r="B50" s="4"/>
      <c r="C50" s="4"/>
      <c r="D50" s="4"/>
      <c r="E50" s="4"/>
      <c r="F50" s="4"/>
      <c r="G50" s="4"/>
      <c r="H50" s="4"/>
    </row>
    <row r="51" spans="1:8" x14ac:dyDescent="0.2">
      <c r="A51" t="str">
        <f ca="1">OFFSET(Gisborne_Reference,14,2)</f>
        <v>Light Vehicle Driver</v>
      </c>
      <c r="B51" s="4"/>
      <c r="C51" s="4"/>
      <c r="D51" s="4"/>
      <c r="E51" s="4"/>
      <c r="F51" s="4"/>
      <c r="G51" s="4"/>
      <c r="H51" s="4"/>
    </row>
    <row r="52" spans="1:8" x14ac:dyDescent="0.2">
      <c r="A52" t="str">
        <f ca="1">OFFSET(Gisborne_Reference,21,2)</f>
        <v>Light Vehicle Passenger</v>
      </c>
      <c r="B52" s="4"/>
      <c r="C52" s="4"/>
      <c r="D52" s="4"/>
      <c r="E52" s="4"/>
      <c r="F52" s="4"/>
      <c r="G52" s="4"/>
      <c r="H52" s="4"/>
    </row>
    <row r="53" spans="1:8" x14ac:dyDescent="0.2">
      <c r="A53" t="str">
        <f ca="1">OFFSET(Gisborne_Reference,28,2)</f>
        <v>Taxi/Vehicle Share</v>
      </c>
      <c r="B53" s="4"/>
      <c r="C53" s="4"/>
      <c r="D53" s="4"/>
      <c r="E53" s="4"/>
      <c r="F53" s="4"/>
      <c r="G53" s="4"/>
      <c r="H53" s="4"/>
    </row>
    <row r="54" spans="1:8" x14ac:dyDescent="0.2">
      <c r="A54" t="str">
        <f ca="1">OFFSET(Gisborne_Reference,35,2)</f>
        <v>Motorcyclist</v>
      </c>
      <c r="B54" s="4"/>
      <c r="C54" s="4"/>
      <c r="D54" s="4"/>
      <c r="E54" s="4"/>
      <c r="F54" s="4"/>
      <c r="G54" s="4"/>
      <c r="H54" s="4"/>
    </row>
    <row r="55" spans="1:8" x14ac:dyDescent="0.2">
      <c r="A55" t="str">
        <f ca="1">OFFSET(Gisborne_Reference,42,2)</f>
        <v>Local Train</v>
      </c>
      <c r="B55" s="4"/>
      <c r="C55" s="4"/>
      <c r="D55" s="4"/>
      <c r="E55" s="4"/>
      <c r="F55" s="4"/>
      <c r="G55" s="4"/>
      <c r="H55" s="4"/>
    </row>
    <row r="56" spans="1:8" x14ac:dyDescent="0.2">
      <c r="A56" t="str">
        <f ca="1">OFFSET(Gisborne_Reference,49,2)</f>
        <v>Local Bus</v>
      </c>
      <c r="B56" s="4"/>
      <c r="C56" s="4"/>
      <c r="D56" s="4"/>
      <c r="E56" s="4"/>
      <c r="F56" s="4"/>
      <c r="G56" s="4"/>
      <c r="H56" s="4"/>
    </row>
    <row r="57" spans="1:8" x14ac:dyDescent="0.2">
      <c r="A57" t="str">
        <f ca="1">OFFSET(Gisborne_Reference,56,2)</f>
        <v>Local Ferry</v>
      </c>
      <c r="B57" s="4"/>
      <c r="C57" s="4"/>
      <c r="D57" s="4"/>
      <c r="E57" s="4"/>
      <c r="F57" s="4"/>
      <c r="G57" s="4"/>
      <c r="H57" s="4"/>
    </row>
    <row r="58" spans="1:8" x14ac:dyDescent="0.2">
      <c r="A58" t="str">
        <f ca="1">OFFSET(Gisborne_Reference,63,2)</f>
        <v>Other Household Travel</v>
      </c>
      <c r="B58" s="4"/>
      <c r="C58" s="4"/>
      <c r="D58" s="4"/>
      <c r="E58" s="4"/>
      <c r="F58" s="4"/>
      <c r="G58" s="4"/>
      <c r="H58" s="4"/>
    </row>
    <row r="59" spans="1:8" x14ac:dyDescent="0.2">
      <c r="A59" t="str">
        <f ca="1">OFFSET(Hawkes_Bay_Reference,0,0)</f>
        <v>06 HAWKE`S BAY</v>
      </c>
      <c r="B59">
        <f>[3]Population!D9</f>
        <v>158000</v>
      </c>
      <c r="C59">
        <f>[3]Population!E9</f>
        <v>165718.64063427754</v>
      </c>
      <c r="D59">
        <f>[3]Population!F9</f>
        <v>170977.27288603262</v>
      </c>
      <c r="E59">
        <f>[3]Population!G9</f>
        <v>175938.58405225107</v>
      </c>
      <c r="F59">
        <f>[3]Population!H9</f>
        <v>179958.79291676852</v>
      </c>
      <c r="G59">
        <f>[3]Population!I9</f>
        <v>183033.42181551468</v>
      </c>
      <c r="H59">
        <f>[3]Population!J9</f>
        <v>185405.33337990288</v>
      </c>
    </row>
    <row r="60" spans="1:8" x14ac:dyDescent="0.2">
      <c r="A60" t="str">
        <f ca="1">OFFSET(Hawkes_Bay_Reference,0,2)</f>
        <v>Pedestrian</v>
      </c>
      <c r="B60" s="4"/>
      <c r="C60" s="4"/>
      <c r="D60" s="4"/>
      <c r="E60" s="4"/>
      <c r="F60" s="4"/>
      <c r="G60" s="4"/>
      <c r="H60" s="4"/>
    </row>
    <row r="61" spans="1:8" x14ac:dyDescent="0.2">
      <c r="A61" t="str">
        <f ca="1">OFFSET(Hawkes_Bay_Reference,7,2)</f>
        <v>Cyclist</v>
      </c>
      <c r="B61" s="4"/>
      <c r="C61" s="4"/>
      <c r="D61" s="4"/>
      <c r="E61" s="4"/>
      <c r="F61" s="4"/>
      <c r="G61" s="4"/>
      <c r="H61" s="4"/>
    </row>
    <row r="62" spans="1:8" x14ac:dyDescent="0.2">
      <c r="A62" t="str">
        <f ca="1">OFFSET(Hawkes_Bay_Reference,14,2)</f>
        <v>Light Vehicle Driver</v>
      </c>
      <c r="B62" s="4"/>
      <c r="C62" s="4"/>
      <c r="D62" s="4"/>
      <c r="E62" s="4"/>
      <c r="F62" s="4"/>
      <c r="G62" s="4"/>
      <c r="H62" s="4"/>
    </row>
    <row r="63" spans="1:8" x14ac:dyDescent="0.2">
      <c r="A63" t="str">
        <f ca="1">OFFSET(Hawkes_Bay_Reference,21,2)</f>
        <v>Light Vehicle Passenger</v>
      </c>
      <c r="B63" s="4"/>
      <c r="C63" s="4"/>
      <c r="D63" s="4"/>
      <c r="E63" s="4"/>
      <c r="F63" s="4"/>
      <c r="G63" s="4"/>
      <c r="H63" s="4"/>
    </row>
    <row r="64" spans="1:8" x14ac:dyDescent="0.2">
      <c r="A64" t="str">
        <f ca="1">OFFSET(Hawkes_Bay_Reference,28,2)</f>
        <v>Taxi/Vehicle Share</v>
      </c>
      <c r="B64" s="4"/>
      <c r="C64" s="4"/>
      <c r="D64" s="4"/>
      <c r="E64" s="4"/>
      <c r="F64" s="4"/>
      <c r="G64" s="4"/>
      <c r="H64" s="4"/>
    </row>
    <row r="65" spans="1:8" x14ac:dyDescent="0.2">
      <c r="A65" t="str">
        <f ca="1">OFFSET(Hawkes_Bay_Reference,35,2)</f>
        <v>Motorcyclist</v>
      </c>
      <c r="B65" s="4"/>
      <c r="C65" s="4"/>
      <c r="D65" s="4"/>
      <c r="E65" s="4"/>
      <c r="F65" s="4"/>
      <c r="G65" s="4"/>
      <c r="H65" s="4"/>
    </row>
    <row r="66" spans="1:8" x14ac:dyDescent="0.2">
      <c r="A66" t="str">
        <f ca="1">OFFSET(Auckland_Reference,42,2)</f>
        <v>Local Train</v>
      </c>
      <c r="B66" s="4"/>
      <c r="C66" s="4"/>
      <c r="D66" s="4"/>
      <c r="E66" s="4"/>
      <c r="F66" s="4"/>
      <c r="G66" s="4"/>
      <c r="H66" s="4"/>
    </row>
    <row r="67" spans="1:8" x14ac:dyDescent="0.2">
      <c r="A67" t="str">
        <f ca="1">OFFSET(Hawkes_Bay_Reference,42,2)</f>
        <v>Local Bus</v>
      </c>
      <c r="B67" s="4"/>
      <c r="C67" s="4"/>
      <c r="D67" s="4"/>
      <c r="E67" s="4"/>
      <c r="F67" s="4"/>
      <c r="G67" s="4"/>
      <c r="H67" s="4"/>
    </row>
    <row r="68" spans="1:8" x14ac:dyDescent="0.2">
      <c r="A68" t="str">
        <f ca="1">OFFSET(Waikato_Reference,56,2)</f>
        <v>Local Ferry</v>
      </c>
      <c r="B68" s="4"/>
      <c r="C68" s="4"/>
      <c r="D68" s="4"/>
      <c r="E68" s="4"/>
      <c r="F68" s="4"/>
      <c r="G68" s="4"/>
      <c r="H68" s="4"/>
    </row>
    <row r="69" spans="1:8" x14ac:dyDescent="0.2">
      <c r="A69" t="str">
        <f ca="1">OFFSET(Hawkes_Bay_Reference,49,2)</f>
        <v>Other Household Travel</v>
      </c>
      <c r="B69" s="4"/>
      <c r="C69" s="4"/>
      <c r="D69" s="4"/>
      <c r="E69" s="4"/>
      <c r="F69" s="4"/>
      <c r="G69" s="4"/>
      <c r="H69" s="4"/>
    </row>
    <row r="70" spans="1:8" x14ac:dyDescent="0.2">
      <c r="A70" t="str">
        <f ca="1">OFFSET(Taranaki_Reference,0,0)</f>
        <v>07 TARANAKI</v>
      </c>
      <c r="B70">
        <f>[3]Population!D10</f>
        <v>113600</v>
      </c>
      <c r="C70">
        <f>[3]Population!E10</f>
        <v>120250.55010303517</v>
      </c>
      <c r="D70">
        <f>[3]Population!F10</f>
        <v>125133.47769899759</v>
      </c>
      <c r="E70">
        <f>[3]Population!G10</f>
        <v>129919.0981802941</v>
      </c>
      <c r="F70">
        <f>[3]Population!H10</f>
        <v>134262.35898152352</v>
      </c>
      <c r="G70">
        <f>[3]Population!I10</f>
        <v>138058.23757465684</v>
      </c>
      <c r="H70">
        <f>[3]Population!J10</f>
        <v>141349.82012503929</v>
      </c>
    </row>
    <row r="71" spans="1:8" x14ac:dyDescent="0.2">
      <c r="A71" t="str">
        <f ca="1">OFFSET(Taranaki_Reference,0,2)</f>
        <v>Pedestrian</v>
      </c>
      <c r="B71" s="4"/>
      <c r="C71" s="4"/>
      <c r="D71" s="4"/>
      <c r="E71" s="4"/>
      <c r="F71" s="4"/>
      <c r="G71" s="4"/>
      <c r="H71" s="4"/>
    </row>
    <row r="72" spans="1:8" x14ac:dyDescent="0.2">
      <c r="A72" t="str">
        <f ca="1">OFFSET(Taranaki_Reference,7,2)</f>
        <v>Cyclist</v>
      </c>
      <c r="B72" s="4"/>
      <c r="C72" s="4"/>
      <c r="D72" s="4"/>
      <c r="E72" s="4"/>
      <c r="F72" s="4"/>
      <c r="G72" s="4"/>
      <c r="H72" s="4"/>
    </row>
    <row r="73" spans="1:8" x14ac:dyDescent="0.2">
      <c r="A73" t="str">
        <f ca="1">OFFSET(Taranaki_Reference,14,2)</f>
        <v>Light Vehicle Driver</v>
      </c>
      <c r="B73" s="4"/>
      <c r="C73" s="4"/>
      <c r="D73" s="4"/>
      <c r="E73" s="4"/>
      <c r="F73" s="4"/>
      <c r="G73" s="4"/>
      <c r="H73" s="4"/>
    </row>
    <row r="74" spans="1:8" x14ac:dyDescent="0.2">
      <c r="A74" t="str">
        <f ca="1">OFFSET(Taranaki_Reference,21,2)</f>
        <v>Light Vehicle Passenger</v>
      </c>
      <c r="B74" s="4"/>
      <c r="C74" s="4"/>
      <c r="D74" s="4"/>
      <c r="E74" s="4"/>
      <c r="F74" s="4"/>
      <c r="G74" s="4"/>
      <c r="H74" s="4"/>
    </row>
    <row r="75" spans="1:8" x14ac:dyDescent="0.2">
      <c r="A75" t="str">
        <f ca="1">OFFSET(Taranaki_Reference,28,2)</f>
        <v>Taxi/Vehicle Share</v>
      </c>
      <c r="B75" s="4"/>
      <c r="C75" s="4"/>
      <c r="D75" s="4"/>
      <c r="E75" s="4"/>
      <c r="F75" s="4"/>
      <c r="G75" s="4"/>
      <c r="H75" s="4"/>
    </row>
    <row r="76" spans="1:8" x14ac:dyDescent="0.2">
      <c r="A76" t="str">
        <f ca="1">OFFSET(Taranaki_Reference,35,2)</f>
        <v>Motorcyclist</v>
      </c>
      <c r="B76" s="4"/>
      <c r="C76" s="4"/>
      <c r="D76" s="4"/>
      <c r="E76" s="4"/>
      <c r="F76" s="4"/>
      <c r="G76" s="4"/>
      <c r="H76" s="4"/>
    </row>
    <row r="77" spans="1:8" x14ac:dyDescent="0.2">
      <c r="A77" t="str">
        <f ca="1">OFFSET(Taranaki_Reference,42,2)</f>
        <v>Local Train</v>
      </c>
      <c r="B77" s="4"/>
      <c r="C77" s="4"/>
      <c r="D77" s="4"/>
      <c r="E77" s="4"/>
      <c r="F77" s="4"/>
      <c r="G77" s="4"/>
      <c r="H77" s="4"/>
    </row>
    <row r="78" spans="1:8" x14ac:dyDescent="0.2">
      <c r="A78" t="str">
        <f ca="1">OFFSET(Taranaki_Reference,49,2)</f>
        <v>Local Bus</v>
      </c>
      <c r="B78" s="4"/>
      <c r="C78" s="4"/>
      <c r="D78" s="4"/>
      <c r="E78" s="4"/>
      <c r="F78" s="4"/>
      <c r="G78" s="4"/>
      <c r="H78" s="4"/>
    </row>
    <row r="79" spans="1:8" x14ac:dyDescent="0.2">
      <c r="A79" t="str">
        <f ca="1">OFFSET(Waikato_Reference,56,2)</f>
        <v>Local Ferry</v>
      </c>
      <c r="B79" s="4"/>
      <c r="C79" s="4"/>
      <c r="D79" s="4"/>
      <c r="E79" s="4"/>
      <c r="F79" s="4"/>
      <c r="G79" s="4"/>
      <c r="H79" s="4"/>
    </row>
    <row r="80" spans="1:8" x14ac:dyDescent="0.2">
      <c r="A80" t="str">
        <f ca="1">OFFSET(Taranaki_Reference,56,2)</f>
        <v>Other Household Travel</v>
      </c>
      <c r="B80" s="4"/>
      <c r="C80" s="4"/>
      <c r="D80" s="4"/>
      <c r="E80" s="4"/>
      <c r="F80" s="4"/>
      <c r="G80" s="4"/>
      <c r="H80" s="4"/>
    </row>
    <row r="81" spans="1:8" x14ac:dyDescent="0.2">
      <c r="A81" t="str">
        <f ca="1">OFFSET(Manawatu_Reference,0,0)</f>
        <v>08 MANAWATU-WANGANUI</v>
      </c>
      <c r="B81">
        <f>[3]Population!D11</f>
        <v>231200</v>
      </c>
      <c r="C81">
        <f>[3]Population!E11</f>
        <v>238161.10160315741</v>
      </c>
      <c r="D81">
        <f>[3]Population!F11</f>
        <v>242632.75470643706</v>
      </c>
      <c r="E81">
        <f>[3]Population!G11</f>
        <v>246507.32422898256</v>
      </c>
      <c r="F81">
        <f>[3]Population!H11</f>
        <v>249019.4160176033</v>
      </c>
      <c r="G81">
        <f>[3]Population!I11</f>
        <v>249955.28972093185</v>
      </c>
      <c r="H81">
        <f>[3]Population!J11</f>
        <v>249561.60804722155</v>
      </c>
    </row>
    <row r="82" spans="1:8" x14ac:dyDescent="0.2">
      <c r="A82" t="str">
        <f ca="1">OFFSET(Manawatu_Reference,0,2)</f>
        <v>Pedestrian</v>
      </c>
      <c r="B82" s="4"/>
      <c r="C82" s="4"/>
      <c r="D82" s="4"/>
      <c r="E82" s="4"/>
      <c r="F82" s="4"/>
      <c r="G82" s="4"/>
      <c r="H82" s="4"/>
    </row>
    <row r="83" spans="1:8" x14ac:dyDescent="0.2">
      <c r="A83" t="str">
        <f ca="1">OFFSET(Manawatu_Reference,7,2)</f>
        <v>Cyclist</v>
      </c>
      <c r="B83" s="4"/>
      <c r="C83" s="4"/>
      <c r="D83" s="4"/>
      <c r="E83" s="4"/>
      <c r="F83" s="4"/>
      <c r="G83" s="4"/>
      <c r="H83" s="4"/>
    </row>
    <row r="84" spans="1:8" x14ac:dyDescent="0.2">
      <c r="A84" t="str">
        <f ca="1">OFFSET(Manawatu_Reference,14,2)</f>
        <v>Light Vehicle Driver</v>
      </c>
      <c r="B84" s="4"/>
      <c r="C84" s="4"/>
      <c r="D84" s="4"/>
      <c r="E84" s="4"/>
      <c r="F84" s="4"/>
      <c r="G84" s="4"/>
      <c r="H84" s="4"/>
    </row>
    <row r="85" spans="1:8" x14ac:dyDescent="0.2">
      <c r="A85" t="str">
        <f ca="1">OFFSET(Manawatu_Reference,21,2)</f>
        <v>Light Vehicle Passenger</v>
      </c>
      <c r="B85" s="4"/>
      <c r="C85" s="4"/>
      <c r="D85" s="4"/>
      <c r="E85" s="4"/>
      <c r="F85" s="4"/>
      <c r="G85" s="4"/>
      <c r="H85" s="4"/>
    </row>
    <row r="86" spans="1:8" x14ac:dyDescent="0.2">
      <c r="A86" t="str">
        <f ca="1">OFFSET(Manawatu_Reference,28,2)</f>
        <v>Taxi/Vehicle Share</v>
      </c>
      <c r="B86" s="4"/>
      <c r="C86" s="4"/>
      <c r="D86" s="4"/>
      <c r="E86" s="4"/>
      <c r="F86" s="4"/>
      <c r="G86" s="4"/>
      <c r="H86" s="4"/>
    </row>
    <row r="87" spans="1:8" x14ac:dyDescent="0.2">
      <c r="A87" t="str">
        <f ca="1">OFFSET(Manawatu_Reference,35,2)</f>
        <v>Motorcyclist</v>
      </c>
      <c r="B87" s="4"/>
      <c r="C87" s="4"/>
      <c r="D87" s="4"/>
      <c r="E87" s="4"/>
      <c r="F87" s="4"/>
      <c r="G87" s="4"/>
      <c r="H87" s="4"/>
    </row>
    <row r="88" spans="1:8" x14ac:dyDescent="0.2">
      <c r="A88" t="str">
        <f ca="1">OFFSET(Taranaki_Reference,42,2)</f>
        <v>Local Train</v>
      </c>
      <c r="B88" s="4"/>
      <c r="C88" s="4"/>
      <c r="D88" s="4"/>
      <c r="E88" s="4"/>
      <c r="F88" s="4"/>
      <c r="G88" s="4"/>
      <c r="H88" s="4"/>
    </row>
    <row r="89" spans="1:8" x14ac:dyDescent="0.2">
      <c r="A89" t="str">
        <f ca="1">OFFSET(Manawatu_Reference,42,2)</f>
        <v>Local Bus</v>
      </c>
      <c r="B89" s="4"/>
      <c r="C89" s="4"/>
      <c r="D89" s="4"/>
      <c r="E89" s="4"/>
      <c r="F89" s="4"/>
      <c r="G89" s="4"/>
      <c r="H89" s="4"/>
    </row>
    <row r="90" spans="1:8" x14ac:dyDescent="0.2">
      <c r="A90" t="str">
        <f ca="1">OFFSET(Manawatu_Reference,49,2)</f>
        <v>Local Ferry</v>
      </c>
      <c r="B90" s="4"/>
      <c r="C90" s="4"/>
      <c r="D90" s="4"/>
      <c r="E90" s="4"/>
      <c r="F90" s="4"/>
      <c r="G90" s="4"/>
      <c r="H90" s="4"/>
    </row>
    <row r="91" spans="1:8" x14ac:dyDescent="0.2">
      <c r="A91" t="str">
        <f ca="1">OFFSET(Manawatu_Reference,56,2)</f>
        <v>Other Household Travel</v>
      </c>
      <c r="B91" s="4"/>
      <c r="C91" s="4"/>
      <c r="D91" s="4"/>
      <c r="E91" s="4"/>
      <c r="F91" s="4"/>
      <c r="G91" s="4"/>
      <c r="H91" s="4"/>
    </row>
    <row r="92" spans="1:8" x14ac:dyDescent="0.2">
      <c r="A92" t="str">
        <f ca="1">OFFSET(Wellington_Reference,0,0)</f>
        <v>09 WELLINGTON</v>
      </c>
      <c r="B92">
        <f>[3]Population!D12</f>
        <v>486700</v>
      </c>
      <c r="C92">
        <f>[3]Population!E12</f>
        <v>518228.39579476789</v>
      </c>
      <c r="D92">
        <f>[3]Population!F12</f>
        <v>541070.94408158981</v>
      </c>
      <c r="E92">
        <f>[3]Population!G12</f>
        <v>563023.92511613283</v>
      </c>
      <c r="F92">
        <f>[3]Population!H12</f>
        <v>582937.95885578566</v>
      </c>
      <c r="G92">
        <f>[3]Population!I12</f>
        <v>600106.1681394293</v>
      </c>
      <c r="H92">
        <f>[3]Population!J12</f>
        <v>614895.47693059966</v>
      </c>
    </row>
    <row r="93" spans="1:8" x14ac:dyDescent="0.2">
      <c r="A93" t="str">
        <f ca="1">OFFSET(Wellington_Reference,0,2)</f>
        <v>Pedestrian</v>
      </c>
      <c r="B93" s="4"/>
      <c r="C93" s="4"/>
      <c r="D93" s="4"/>
      <c r="E93" s="4"/>
      <c r="F93" s="4"/>
      <c r="G93" s="4"/>
      <c r="H93" s="4"/>
    </row>
    <row r="94" spans="1:8" x14ac:dyDescent="0.2">
      <c r="A94" t="str">
        <f ca="1">OFFSET(Wellington_Reference,7,2)</f>
        <v>Cyclist</v>
      </c>
      <c r="B94" s="4"/>
      <c r="C94" s="4"/>
      <c r="D94" s="4"/>
      <c r="E94" s="4"/>
      <c r="F94" s="4"/>
      <c r="G94" s="4"/>
      <c r="H94" s="4"/>
    </row>
    <row r="95" spans="1:8" x14ac:dyDescent="0.2">
      <c r="A95" t="str">
        <f ca="1">OFFSET(Wellington_Reference,14,2)</f>
        <v>Light Vehicle Driver</v>
      </c>
      <c r="B95" s="4"/>
      <c r="C95" s="4"/>
      <c r="D95" s="4"/>
      <c r="E95" s="4"/>
      <c r="F95" s="4"/>
      <c r="G95" s="4"/>
      <c r="H95" s="4"/>
    </row>
    <row r="96" spans="1:8" x14ac:dyDescent="0.2">
      <c r="A96" t="str">
        <f ca="1">OFFSET(Wellington_Reference,21,2)</f>
        <v>Light Vehicle Passenger</v>
      </c>
      <c r="B96" s="4"/>
      <c r="C96" s="4"/>
      <c r="D96" s="4"/>
      <c r="E96" s="4"/>
      <c r="F96" s="4"/>
      <c r="G96" s="4"/>
      <c r="H96" s="4"/>
    </row>
    <row r="97" spans="1:8" x14ac:dyDescent="0.2">
      <c r="A97" t="str">
        <f ca="1">OFFSET(Wellington_Reference,28,2)</f>
        <v>Taxi/Vehicle Share</v>
      </c>
      <c r="B97" s="4"/>
      <c r="C97" s="4"/>
      <c r="D97" s="4"/>
      <c r="E97" s="4"/>
      <c r="F97" s="4"/>
      <c r="G97" s="4"/>
      <c r="H97" s="4"/>
    </row>
    <row r="98" spans="1:8" x14ac:dyDescent="0.2">
      <c r="A98" t="str">
        <f ca="1">OFFSET(Wellington_Reference,35,2)</f>
        <v>Motorcyclist</v>
      </c>
      <c r="B98" s="4"/>
      <c r="C98" s="4"/>
      <c r="D98" s="4"/>
      <c r="E98" s="4"/>
      <c r="F98" s="4"/>
      <c r="G98" s="4"/>
      <c r="H98" s="4"/>
    </row>
    <row r="99" spans="1:8" x14ac:dyDescent="0.2">
      <c r="A99" t="str">
        <f ca="1">OFFSET(Wellington_Reference,42,2)</f>
        <v>Local Train</v>
      </c>
      <c r="B99" s="4"/>
      <c r="C99" s="4"/>
      <c r="D99" s="4"/>
      <c r="E99" s="4"/>
      <c r="F99" s="4"/>
      <c r="G99" s="4"/>
      <c r="H99" s="4"/>
    </row>
    <row r="100" spans="1:8" x14ac:dyDescent="0.2">
      <c r="A100" t="str">
        <f ca="1">OFFSET(Wellington_Reference,49,2)</f>
        <v>Local Bus</v>
      </c>
      <c r="B100" s="4"/>
      <c r="C100" s="4"/>
      <c r="D100" s="4"/>
      <c r="E100" s="4"/>
      <c r="F100" s="4"/>
      <c r="G100" s="4"/>
      <c r="H100" s="4"/>
    </row>
    <row r="101" spans="1:8" x14ac:dyDescent="0.2">
      <c r="A101" t="str">
        <f ca="1">OFFSET(Wellington_Reference,56,2)</f>
        <v>Local Ferry</v>
      </c>
      <c r="B101" s="4"/>
      <c r="C101" s="4"/>
      <c r="D101" s="4"/>
      <c r="E101" s="4"/>
      <c r="F101" s="4"/>
      <c r="G101" s="4"/>
      <c r="H101" s="4"/>
    </row>
    <row r="102" spans="1:8" x14ac:dyDescent="0.2">
      <c r="A102" t="str">
        <f ca="1">OFFSET(Wellington_Reference,63,2)</f>
        <v>Other Household Travel</v>
      </c>
      <c r="B102" s="4"/>
      <c r="C102" s="4"/>
      <c r="D102" s="4"/>
      <c r="E102" s="4"/>
      <c r="F102" s="4"/>
      <c r="G102" s="4"/>
      <c r="H102" s="4"/>
    </row>
    <row r="103" spans="1:8" x14ac:dyDescent="0.2">
      <c r="A103" t="str">
        <f ca="1">OFFSET(Nelson_Reference,0,0)</f>
        <v>10 NELS-MARLB-TAS</v>
      </c>
      <c r="B103">
        <f>[3]Population!D13</f>
        <v>142200</v>
      </c>
      <c r="C103">
        <f>[3]Population!E13</f>
        <v>147900</v>
      </c>
      <c r="D103">
        <f>[3]Population!F13</f>
        <v>151500</v>
      </c>
      <c r="E103">
        <f>[3]Population!G13</f>
        <v>154400</v>
      </c>
      <c r="F103">
        <f>[3]Population!H13</f>
        <v>156200</v>
      </c>
      <c r="G103">
        <f>[3]Population!I13</f>
        <v>156900</v>
      </c>
      <c r="H103">
        <f>[3]Population!J13</f>
        <v>156600</v>
      </c>
    </row>
    <row r="104" spans="1:8" x14ac:dyDescent="0.2">
      <c r="A104" t="str">
        <f ca="1">OFFSET(Nelson_Reference,0,2)</f>
        <v>Pedestrian</v>
      </c>
      <c r="B104" s="4"/>
      <c r="C104" s="4"/>
      <c r="D104" s="4"/>
      <c r="E104" s="4"/>
      <c r="F104" s="4"/>
      <c r="G104" s="4"/>
      <c r="H104" s="4"/>
    </row>
    <row r="105" spans="1:8" x14ac:dyDescent="0.2">
      <c r="A105" t="str">
        <f ca="1">OFFSET(Nelson_Reference,7,2)</f>
        <v>Cyclist</v>
      </c>
      <c r="B105" s="4"/>
      <c r="C105" s="4"/>
      <c r="D105" s="4"/>
      <c r="E105" s="4"/>
      <c r="F105" s="4"/>
      <c r="G105" s="4"/>
      <c r="H105" s="4"/>
    </row>
    <row r="106" spans="1:8" x14ac:dyDescent="0.2">
      <c r="A106" t="str">
        <f ca="1">OFFSET(Nelson_Reference,14,2)</f>
        <v>Light Vehicle Driver</v>
      </c>
      <c r="B106" s="4"/>
      <c r="C106" s="4"/>
      <c r="D106" s="4"/>
      <c r="E106" s="4"/>
      <c r="F106" s="4"/>
      <c r="G106" s="4"/>
      <c r="H106" s="4"/>
    </row>
    <row r="107" spans="1:8" x14ac:dyDescent="0.2">
      <c r="A107" t="str">
        <f ca="1">OFFSET(Nelson_Reference,21,2)</f>
        <v>Light Vehicle Passenger</v>
      </c>
      <c r="B107" s="4"/>
      <c r="C107" s="4"/>
      <c r="D107" s="4"/>
      <c r="E107" s="4"/>
      <c r="F107" s="4"/>
      <c r="G107" s="4"/>
      <c r="H107" s="4"/>
    </row>
    <row r="108" spans="1:8" x14ac:dyDescent="0.2">
      <c r="A108" t="str">
        <f ca="1">OFFSET(Nelson_Reference,28,2)</f>
        <v>Taxi/Vehicle Share</v>
      </c>
      <c r="B108" s="4"/>
      <c r="C108" s="4"/>
      <c r="D108" s="4"/>
      <c r="E108" s="4"/>
      <c r="F108" s="4"/>
      <c r="G108" s="4"/>
      <c r="H108" s="4"/>
    </row>
    <row r="109" spans="1:8" x14ac:dyDescent="0.2">
      <c r="A109" t="str">
        <f ca="1">OFFSET(Nelson_Reference,35,2)</f>
        <v>Motorcyclist</v>
      </c>
      <c r="B109" s="4"/>
      <c r="C109" s="4"/>
      <c r="D109" s="4"/>
      <c r="E109" s="4"/>
      <c r="F109" s="4"/>
      <c r="G109" s="4"/>
      <c r="H109" s="4"/>
    </row>
    <row r="110" spans="1:8" x14ac:dyDescent="0.2">
      <c r="A110" t="str">
        <f ca="1">OFFSET(Nelson_Reference,42,2)</f>
        <v>Local Train</v>
      </c>
      <c r="B110" s="4"/>
      <c r="C110" s="4"/>
      <c r="D110" s="4"/>
      <c r="E110" s="4"/>
      <c r="F110" s="4"/>
      <c r="G110" s="4"/>
      <c r="H110" s="4"/>
    </row>
    <row r="111" spans="1:8" x14ac:dyDescent="0.2">
      <c r="A111" t="str">
        <f ca="1">OFFSET(Nelson_Reference,49,2)</f>
        <v>Local Bus</v>
      </c>
      <c r="B111" s="4"/>
      <c r="C111" s="4"/>
      <c r="D111" s="4"/>
      <c r="E111" s="4"/>
      <c r="F111" s="4"/>
      <c r="G111" s="4"/>
      <c r="H111" s="4"/>
    </row>
    <row r="112" spans="1:8" x14ac:dyDescent="0.2">
      <c r="A112" t="str">
        <f ca="1">OFFSET(Wellington_Reference,56,2)</f>
        <v>Local Ferry</v>
      </c>
      <c r="B112" s="4"/>
      <c r="C112" s="4"/>
      <c r="D112" s="4"/>
      <c r="E112" s="4"/>
      <c r="F112" s="4"/>
      <c r="G112" s="4"/>
      <c r="H112" s="4"/>
    </row>
    <row r="113" spans="1:8" x14ac:dyDescent="0.2">
      <c r="A113" t="str">
        <f ca="1">OFFSET(Nelson_Reference,56,2)</f>
        <v>Other Household Travel</v>
      </c>
      <c r="B113" s="4"/>
      <c r="C113" s="4"/>
      <c r="D113" s="4"/>
      <c r="E113" s="4"/>
      <c r="F113" s="4"/>
      <c r="G113" s="4"/>
      <c r="H113" s="4"/>
    </row>
    <row r="114" spans="1:8" x14ac:dyDescent="0.2">
      <c r="A114" t="str">
        <f ca="1">OFFSET(West_Coast_Reference,0,0)</f>
        <v>12 WEST COAST</v>
      </c>
      <c r="B114">
        <f>[3]Population!D14</f>
        <v>33000</v>
      </c>
      <c r="C114">
        <f>[3]Population!E14</f>
        <v>33800</v>
      </c>
      <c r="D114">
        <f>[3]Population!F14</f>
        <v>34000</v>
      </c>
      <c r="E114">
        <f>[3]Population!G14</f>
        <v>34100</v>
      </c>
      <c r="F114">
        <f>[3]Population!H14</f>
        <v>34000</v>
      </c>
      <c r="G114">
        <f>[3]Population!I14</f>
        <v>33700</v>
      </c>
      <c r="H114">
        <f>[3]Population!J14</f>
        <v>33200</v>
      </c>
    </row>
    <row r="115" spans="1:8" x14ac:dyDescent="0.2">
      <c r="A115" t="str">
        <f ca="1">OFFSET(West_Coast_Reference,0,2)</f>
        <v>Pedestrian</v>
      </c>
      <c r="B115" s="4"/>
      <c r="C115" s="4"/>
      <c r="D115" s="4"/>
      <c r="E115" s="4"/>
      <c r="F115" s="4"/>
      <c r="G115" s="4"/>
      <c r="H115" s="4"/>
    </row>
    <row r="116" spans="1:8" x14ac:dyDescent="0.2">
      <c r="A116" t="str">
        <f ca="1">OFFSET(West_Coast_Reference,7,2)</f>
        <v>Cyclist</v>
      </c>
      <c r="B116" s="4"/>
      <c r="C116" s="4"/>
      <c r="D116" s="4"/>
      <c r="E116" s="4"/>
      <c r="F116" s="4"/>
      <c r="G116" s="4"/>
      <c r="H116" s="4"/>
    </row>
    <row r="117" spans="1:8" x14ac:dyDescent="0.2">
      <c r="A117" t="str">
        <f ca="1">OFFSET(West_Coast_Reference,14,2)</f>
        <v>Light Vehicle Driver</v>
      </c>
      <c r="B117" s="4"/>
      <c r="C117" s="4"/>
      <c r="D117" s="4"/>
      <c r="E117" s="4"/>
      <c r="F117" s="4"/>
      <c r="G117" s="4"/>
      <c r="H117" s="4"/>
    </row>
    <row r="118" spans="1:8" x14ac:dyDescent="0.2">
      <c r="A118" t="str">
        <f ca="1">OFFSET(West_Coast_Reference,21,2)</f>
        <v>Light Vehicle Passenger</v>
      </c>
      <c r="B118" s="4"/>
      <c r="C118" s="4"/>
      <c r="D118" s="4"/>
      <c r="E118" s="4"/>
      <c r="F118" s="4"/>
      <c r="G118" s="4"/>
      <c r="H118" s="4"/>
    </row>
    <row r="119" spans="1:8" x14ac:dyDescent="0.2">
      <c r="A119" t="str">
        <f ca="1">OFFSET(West_Coast_Reference,28,2)</f>
        <v>Taxi/Vehicle Share</v>
      </c>
      <c r="B119" s="4"/>
      <c r="C119" s="4"/>
      <c r="D119" s="4"/>
      <c r="E119" s="4"/>
      <c r="F119" s="4"/>
      <c r="G119" s="4"/>
      <c r="H119" s="4"/>
    </row>
    <row r="120" spans="1:8" x14ac:dyDescent="0.2">
      <c r="A120" t="str">
        <f ca="1">OFFSET(West_Coast_Reference,35,2)</f>
        <v>Motorcyclist</v>
      </c>
      <c r="B120" s="4"/>
      <c r="C120" s="4"/>
      <c r="D120" s="4"/>
      <c r="E120" s="4"/>
      <c r="F120" s="4"/>
      <c r="G120" s="4"/>
      <c r="H120" s="4"/>
    </row>
    <row r="121" spans="1:8" x14ac:dyDescent="0.2">
      <c r="A121" t="str">
        <f ca="1">OFFSET(Nelson_Reference,42,2)</f>
        <v>Local Train</v>
      </c>
      <c r="B121" s="4"/>
      <c r="C121" s="4"/>
      <c r="D121" s="4"/>
      <c r="E121" s="4"/>
      <c r="F121" s="4"/>
      <c r="G121" s="4"/>
      <c r="H121" s="4"/>
    </row>
    <row r="122" spans="1:8" x14ac:dyDescent="0.2">
      <c r="A122" t="str">
        <f ca="1">OFFSET(West_Coast_Reference,42,2)</f>
        <v>Local Bus</v>
      </c>
      <c r="B122" s="4"/>
      <c r="C122" s="4"/>
      <c r="D122" s="4"/>
      <c r="E122" s="4"/>
      <c r="F122" s="4"/>
      <c r="G122" s="4"/>
      <c r="H122" s="4"/>
    </row>
    <row r="123" spans="1:8" x14ac:dyDescent="0.2">
      <c r="A123" t="str">
        <f ca="1">OFFSET(Wellington_Reference,56,2)</f>
        <v>Local Ferry</v>
      </c>
      <c r="B123" s="4"/>
      <c r="C123" s="4"/>
      <c r="D123" s="4"/>
      <c r="E123" s="4"/>
      <c r="F123" s="4"/>
      <c r="G123" s="4"/>
      <c r="H123" s="4"/>
    </row>
    <row r="124" spans="1:8" x14ac:dyDescent="0.2">
      <c r="A124" t="str">
        <f ca="1">OFFSET(West_Coast_Reference,49,2)</f>
        <v>Other Household Travel</v>
      </c>
      <c r="B124" s="4"/>
      <c r="C124" s="4"/>
      <c r="D124" s="4"/>
      <c r="E124" s="4"/>
      <c r="F124" s="4"/>
      <c r="G124" s="4"/>
      <c r="H124" s="4"/>
    </row>
    <row r="125" spans="1:8" x14ac:dyDescent="0.2">
      <c r="A125" t="str">
        <f ca="1">OFFSET(Canterbury_Reference,0,0)</f>
        <v>13 CANTERBURY</v>
      </c>
      <c r="B125">
        <f>[3]Population!D15</f>
        <v>562900</v>
      </c>
      <c r="C125">
        <f>[3]Population!E15</f>
        <v>617655.26876462577</v>
      </c>
      <c r="D125">
        <f>[3]Population!F15</f>
        <v>652620.64196151029</v>
      </c>
      <c r="E125">
        <f>[3]Population!G15</f>
        <v>687398.47368237237</v>
      </c>
      <c r="F125">
        <f>[3]Population!H15</f>
        <v>720255.03824525862</v>
      </c>
      <c r="G125">
        <f>[3]Population!I15</f>
        <v>750304.45321504655</v>
      </c>
      <c r="H125">
        <f>[3]Population!J15</f>
        <v>777946.05497537646</v>
      </c>
    </row>
    <row r="126" spans="1:8" x14ac:dyDescent="0.2">
      <c r="A126" t="str">
        <f ca="1">OFFSET(Canterbury_Reference,0,2)</f>
        <v>Pedestrian</v>
      </c>
      <c r="B126" s="4"/>
      <c r="C126" s="4"/>
      <c r="D126" s="4"/>
      <c r="E126" s="4"/>
      <c r="F126" s="4"/>
      <c r="G126" s="4"/>
      <c r="H126" s="4"/>
    </row>
    <row r="127" spans="1:8" x14ac:dyDescent="0.2">
      <c r="A127" t="str">
        <f ca="1">OFFSET(Canterbury_Reference,7,2)</f>
        <v>Cyclist</v>
      </c>
      <c r="B127" s="4"/>
      <c r="C127" s="4"/>
      <c r="D127" s="4"/>
      <c r="E127" s="4"/>
      <c r="F127" s="4"/>
      <c r="G127" s="4"/>
      <c r="H127" s="4"/>
    </row>
    <row r="128" spans="1:8" x14ac:dyDescent="0.2">
      <c r="A128" t="str">
        <f ca="1">OFFSET(Canterbury_Reference,14,2)</f>
        <v>Light Vehicle Driver</v>
      </c>
      <c r="B128" s="4"/>
      <c r="C128" s="4"/>
      <c r="D128" s="4"/>
      <c r="E128" s="4"/>
      <c r="F128" s="4"/>
      <c r="G128" s="4"/>
      <c r="H128" s="4"/>
    </row>
    <row r="129" spans="1:8" x14ac:dyDescent="0.2">
      <c r="A129" t="str">
        <f ca="1">OFFSET(Canterbury_Reference,21,2)</f>
        <v>Light Vehicle Passenger</v>
      </c>
      <c r="B129" s="4"/>
      <c r="C129" s="4"/>
      <c r="D129" s="4"/>
      <c r="E129" s="4"/>
      <c r="F129" s="4"/>
      <c r="G129" s="4"/>
      <c r="H129" s="4"/>
    </row>
    <row r="130" spans="1:8" x14ac:dyDescent="0.2">
      <c r="A130" t="str">
        <f ca="1">OFFSET(Canterbury_Reference,28,2)</f>
        <v>Taxi/Vehicle Share</v>
      </c>
      <c r="B130" s="4"/>
      <c r="C130" s="4"/>
      <c r="D130" s="4"/>
      <c r="E130" s="4"/>
      <c r="F130" s="4"/>
      <c r="G130" s="4"/>
      <c r="H130" s="4"/>
    </row>
    <row r="131" spans="1:8" x14ac:dyDescent="0.2">
      <c r="A131" t="str">
        <f ca="1">OFFSET(Canterbury_Reference,35,2)</f>
        <v>Motorcyclist</v>
      </c>
      <c r="B131" s="4"/>
      <c r="C131" s="4"/>
      <c r="D131" s="4"/>
      <c r="E131" s="4"/>
      <c r="F131" s="4"/>
      <c r="G131" s="4"/>
      <c r="H131" s="4"/>
    </row>
    <row r="132" spans="1:8" x14ac:dyDescent="0.2">
      <c r="A132" t="str">
        <f ca="1">OFFSET(Canterbury_Reference,42,2)</f>
        <v>Local Train</v>
      </c>
      <c r="B132" s="4"/>
      <c r="C132" s="4"/>
      <c r="D132" s="4"/>
      <c r="E132" s="4"/>
      <c r="F132" s="4"/>
      <c r="G132" s="4"/>
      <c r="H132" s="4"/>
    </row>
    <row r="133" spans="1:8" x14ac:dyDescent="0.2">
      <c r="A133" t="str">
        <f ca="1">OFFSET(Canterbury_Reference,49,2)</f>
        <v>Local Bus</v>
      </c>
      <c r="B133" s="4"/>
      <c r="C133" s="4"/>
      <c r="D133" s="4"/>
      <c r="E133" s="4"/>
      <c r="F133" s="4"/>
      <c r="G133" s="4"/>
      <c r="H133" s="4"/>
    </row>
    <row r="134" spans="1:8" x14ac:dyDescent="0.2">
      <c r="A134" t="str">
        <f ca="1">OFFSET(Wellington_Reference,56,2)</f>
        <v>Local Ferry</v>
      </c>
      <c r="B134" s="4"/>
      <c r="C134" s="4"/>
      <c r="D134" s="4"/>
      <c r="E134" s="4"/>
      <c r="F134" s="4"/>
      <c r="G134" s="4"/>
      <c r="H134" s="4"/>
    </row>
    <row r="135" spans="1:8" x14ac:dyDescent="0.2">
      <c r="A135" t="str">
        <f ca="1">OFFSET(Canterbury_Reference,56,2)</f>
        <v>Other Household Travel</v>
      </c>
      <c r="B135" s="4"/>
      <c r="C135" s="4"/>
      <c r="D135" s="4"/>
      <c r="E135" s="4"/>
      <c r="F135" s="4"/>
      <c r="G135" s="4"/>
      <c r="H135" s="4"/>
    </row>
    <row r="136" spans="1:8" x14ac:dyDescent="0.2">
      <c r="A136" t="str">
        <f ca="1">OFFSET(Otago_Reference,0,0)</f>
        <v>14 OTAGO</v>
      </c>
      <c r="B136">
        <f>[3]Population!D16</f>
        <v>208800</v>
      </c>
      <c r="C136">
        <f>[3]Population!E16</f>
        <v>224552.04847892141</v>
      </c>
      <c r="D136">
        <f>[3]Population!F16</f>
        <v>236253.23600293387</v>
      </c>
      <c r="E136">
        <f>[3]Population!G16</f>
        <v>247758.73703328561</v>
      </c>
      <c r="F136">
        <f>[3]Population!H16</f>
        <v>258476.02249310189</v>
      </c>
      <c r="G136">
        <f>[3]Population!I16</f>
        <v>268236.86563515069</v>
      </c>
      <c r="H136">
        <f>[3]Population!J16</f>
        <v>277210.28256086062</v>
      </c>
    </row>
    <row r="137" spans="1:8" x14ac:dyDescent="0.2">
      <c r="A137" t="str">
        <f ca="1">OFFSET(Otago_Reference,0,2)</f>
        <v>Pedestrian</v>
      </c>
      <c r="B137" s="4"/>
      <c r="C137" s="4"/>
      <c r="D137" s="4"/>
      <c r="E137" s="4"/>
      <c r="F137" s="4"/>
      <c r="G137" s="4"/>
      <c r="H137" s="4"/>
    </row>
    <row r="138" spans="1:8" x14ac:dyDescent="0.2">
      <c r="A138" t="str">
        <f ca="1">OFFSET(Otago_Reference,7,2)</f>
        <v>Cyclist</v>
      </c>
      <c r="B138" s="4"/>
      <c r="C138" s="4"/>
      <c r="D138" s="4"/>
      <c r="E138" s="4"/>
      <c r="F138" s="4"/>
      <c r="G138" s="4"/>
      <c r="H138" s="4"/>
    </row>
    <row r="139" spans="1:8" x14ac:dyDescent="0.2">
      <c r="A139" t="str">
        <f ca="1">OFFSET(Otago_Reference,14,2)</f>
        <v>Light Vehicle Driver</v>
      </c>
      <c r="B139" s="4"/>
      <c r="C139" s="4"/>
      <c r="D139" s="4"/>
      <c r="E139" s="4"/>
      <c r="F139" s="4"/>
      <c r="G139" s="4"/>
      <c r="H139" s="4"/>
    </row>
    <row r="140" spans="1:8" x14ac:dyDescent="0.2">
      <c r="A140" t="str">
        <f ca="1">OFFSET(Otago_Reference,21,2)</f>
        <v>Light Vehicle Passenger</v>
      </c>
      <c r="B140" s="4"/>
      <c r="C140" s="4"/>
      <c r="D140" s="4"/>
      <c r="E140" s="4"/>
      <c r="F140" s="4"/>
      <c r="G140" s="4"/>
      <c r="H140" s="4"/>
    </row>
    <row r="141" spans="1:8" x14ac:dyDescent="0.2">
      <c r="A141" t="str">
        <f ca="1">OFFSET(Otago_Reference,28,2)</f>
        <v>Taxi/Vehicle Share</v>
      </c>
      <c r="B141" s="4"/>
      <c r="C141" s="4"/>
      <c r="D141" s="4"/>
      <c r="E141" s="4"/>
      <c r="F141" s="4"/>
      <c r="G141" s="4"/>
      <c r="H141" s="4"/>
    </row>
    <row r="142" spans="1:8" x14ac:dyDescent="0.2">
      <c r="A142" t="str">
        <f ca="1">OFFSET(Otago_Reference,35,2)</f>
        <v>Motorcyclist</v>
      </c>
      <c r="B142" s="4"/>
      <c r="C142" s="4"/>
      <c r="D142" s="4"/>
      <c r="E142" s="4"/>
      <c r="F142" s="4"/>
      <c r="G142" s="4"/>
      <c r="H142" s="4"/>
    </row>
    <row r="143" spans="1:8" x14ac:dyDescent="0.2">
      <c r="A143" t="str">
        <f ca="1">OFFSET(Canterbury_Reference,42,2)</f>
        <v>Local Train</v>
      </c>
      <c r="B143" s="4"/>
      <c r="C143" s="4"/>
      <c r="D143" s="4"/>
      <c r="E143" s="4"/>
      <c r="F143" s="4"/>
      <c r="G143" s="4"/>
      <c r="H143" s="4"/>
    </row>
    <row r="144" spans="1:8" x14ac:dyDescent="0.2">
      <c r="A144" t="str">
        <f ca="1">OFFSET(Otago_Reference,42,2)</f>
        <v>Local Bus</v>
      </c>
      <c r="B144" s="4"/>
      <c r="C144" s="4"/>
      <c r="D144" s="4"/>
      <c r="E144" s="4"/>
      <c r="F144" s="4"/>
      <c r="G144" s="4"/>
      <c r="H144" s="4"/>
    </row>
    <row r="145" spans="1:8" x14ac:dyDescent="0.2">
      <c r="A145" t="str">
        <f ca="1">OFFSET(Wellington_Reference,56,2)</f>
        <v>Local Ferry</v>
      </c>
      <c r="B145" s="4"/>
      <c r="C145" s="4"/>
      <c r="D145" s="4"/>
      <c r="E145" s="4"/>
      <c r="F145" s="4"/>
      <c r="G145" s="4"/>
      <c r="H145" s="4"/>
    </row>
    <row r="146" spans="1:8" x14ac:dyDescent="0.2">
      <c r="A146" t="str">
        <f ca="1">OFFSET(Otago_Reference,49,2)</f>
        <v>Other Household Travel</v>
      </c>
      <c r="B146" s="4"/>
      <c r="C146" s="4"/>
      <c r="D146" s="4"/>
      <c r="E146" s="4"/>
      <c r="F146" s="4"/>
      <c r="G146" s="4"/>
      <c r="H146" s="4"/>
    </row>
    <row r="147" spans="1:8" x14ac:dyDescent="0.2">
      <c r="A147" t="str">
        <f ca="1">OFFSET(Southland_Reference,0,0)</f>
        <v>15 SOUTHLAND</v>
      </c>
      <c r="B147">
        <f>[3]Population!D17</f>
        <v>96000</v>
      </c>
      <c r="C147">
        <f>[3]Population!E17</f>
        <v>98400</v>
      </c>
      <c r="D147">
        <f>[3]Population!F17</f>
        <v>98900</v>
      </c>
      <c r="E147">
        <f>[3]Population!G17</f>
        <v>99200</v>
      </c>
      <c r="F147">
        <f>[3]Population!H17</f>
        <v>98900</v>
      </c>
      <c r="G147">
        <f>[3]Population!I17</f>
        <v>98000</v>
      </c>
      <c r="H147">
        <f>[3]Population!J17</f>
        <v>96800</v>
      </c>
    </row>
    <row r="148" spans="1:8" x14ac:dyDescent="0.2">
      <c r="A148" t="str">
        <f ca="1">OFFSET(Southland_Reference,0,2)</f>
        <v>Pedestrian</v>
      </c>
      <c r="B148" s="4"/>
      <c r="C148" s="4"/>
      <c r="D148" s="4"/>
      <c r="E148" s="4"/>
      <c r="F148" s="4"/>
      <c r="G148" s="4"/>
      <c r="H148" s="4"/>
    </row>
    <row r="149" spans="1:8" x14ac:dyDescent="0.2">
      <c r="A149" t="str">
        <f ca="1">OFFSET(Southland_Reference,7,2)</f>
        <v>Cyclist</v>
      </c>
      <c r="B149" s="4"/>
      <c r="C149" s="4"/>
      <c r="D149" s="4"/>
      <c r="E149" s="4"/>
      <c r="F149" s="4"/>
      <c r="G149" s="4"/>
      <c r="H149" s="4"/>
    </row>
    <row r="150" spans="1:8" x14ac:dyDescent="0.2">
      <c r="A150" t="str">
        <f ca="1">OFFSET(Southland_Reference,14,2)</f>
        <v>Light Vehicle Driver</v>
      </c>
      <c r="B150" s="4"/>
      <c r="C150" s="4"/>
      <c r="D150" s="4"/>
      <c r="E150" s="4"/>
      <c r="F150" s="4"/>
      <c r="G150" s="4"/>
      <c r="H150" s="4"/>
    </row>
    <row r="151" spans="1:8" x14ac:dyDescent="0.2">
      <c r="A151" t="str">
        <f ca="1">OFFSET(Southland_Reference,21,2)</f>
        <v>Light Vehicle Passenger</v>
      </c>
      <c r="B151" s="4"/>
      <c r="C151" s="4"/>
      <c r="D151" s="4"/>
      <c r="E151" s="4"/>
      <c r="F151" s="4"/>
      <c r="G151" s="4"/>
      <c r="H151" s="4"/>
    </row>
    <row r="152" spans="1:8" x14ac:dyDescent="0.2">
      <c r="A152" t="str">
        <f ca="1">OFFSET(Southland_Reference,28,2)</f>
        <v>Taxi/Vehicle Share</v>
      </c>
      <c r="B152" s="4"/>
      <c r="C152" s="4"/>
      <c r="D152" s="4"/>
      <c r="E152" s="4"/>
      <c r="F152" s="4"/>
      <c r="G152" s="4"/>
      <c r="H152" s="4"/>
    </row>
    <row r="153" spans="1:8" x14ac:dyDescent="0.2">
      <c r="A153" t="str">
        <f ca="1">OFFSET(Southland_Reference,35,2)</f>
        <v>Motorcyclist</v>
      </c>
      <c r="B153" s="4"/>
      <c r="C153" s="4"/>
      <c r="D153" s="4"/>
      <c r="E153" s="4"/>
      <c r="F153" s="4"/>
      <c r="G153" s="4"/>
      <c r="H153" s="4"/>
    </row>
    <row r="154" spans="1:8" x14ac:dyDescent="0.2">
      <c r="A154" t="str">
        <f ca="1">OFFSET(Canterbury_Reference,42,2)</f>
        <v>Local Train</v>
      </c>
      <c r="B154" s="4"/>
      <c r="C154" s="4"/>
      <c r="D154" s="4"/>
      <c r="E154" s="4"/>
      <c r="F154" s="4"/>
      <c r="G154" s="4"/>
      <c r="H154" s="4"/>
    </row>
    <row r="155" spans="1:8" x14ac:dyDescent="0.2">
      <c r="A155" t="str">
        <f ca="1">OFFSET(Southland_Reference,42,2)</f>
        <v>Local Bus</v>
      </c>
      <c r="B155" s="4"/>
      <c r="C155" s="4"/>
      <c r="D155" s="4"/>
      <c r="E155" s="4"/>
      <c r="F155" s="4"/>
      <c r="G155" s="4"/>
      <c r="H155" s="4"/>
    </row>
    <row r="156" spans="1:8" x14ac:dyDescent="0.2">
      <c r="A156" t="str">
        <f ca="1">OFFSET(Wellington_Reference,56,2)</f>
        <v>Local Ferry</v>
      </c>
      <c r="B156" s="4"/>
      <c r="C156" s="4"/>
      <c r="D156" s="4"/>
      <c r="E156" s="4"/>
      <c r="F156" s="4"/>
      <c r="G156" s="4"/>
      <c r="H156" s="4"/>
    </row>
    <row r="157" spans="1:8" x14ac:dyDescent="0.2">
      <c r="A157" t="str">
        <f ca="1">OFFSET(Southland_Reference,49,2)</f>
        <v>Other Household Travel</v>
      </c>
      <c r="B157" s="4"/>
      <c r="C157" s="4"/>
      <c r="D157" s="4"/>
      <c r="E157" s="4"/>
      <c r="F157" s="4"/>
      <c r="G157" s="4"/>
      <c r="H157" s="4"/>
    </row>
    <row r="158" spans="1:8" x14ac:dyDescent="0.2">
      <c r="A158" t="s">
        <v>12</v>
      </c>
      <c r="B158">
        <f>[3]Population!D18</f>
        <v>4441600</v>
      </c>
      <c r="C158">
        <f>[3]Population!E18</f>
        <v>4737900</v>
      </c>
      <c r="D158">
        <f>[3]Population!F18</f>
        <v>4948100.0000000009</v>
      </c>
      <c r="E158">
        <f>[3]Population!G18</f>
        <v>5152500</v>
      </c>
      <c r="F158">
        <f>[3]Population!H18</f>
        <v>5337900</v>
      </c>
      <c r="G158">
        <f>[3]Population!I18</f>
        <v>5498600.0000000009</v>
      </c>
      <c r="H158">
        <f>[3]Population!J18</f>
        <v>5638800</v>
      </c>
    </row>
    <row r="159" spans="1:8" x14ac:dyDescent="0.2">
      <c r="A159" t="str">
        <f t="shared" ref="A159:A168" ca="1" si="0">A5</f>
        <v>Pedestrian</v>
      </c>
      <c r="B159" s="4"/>
      <c r="C159" s="4"/>
      <c r="D159" s="4"/>
      <c r="E159" s="4"/>
      <c r="F159" s="4"/>
      <c r="G159" s="4"/>
      <c r="H159" s="4"/>
    </row>
    <row r="160" spans="1:8" x14ac:dyDescent="0.2">
      <c r="A160" t="str">
        <f t="shared" ca="1" si="0"/>
        <v>Cyclist</v>
      </c>
      <c r="B160" s="4"/>
      <c r="C160" s="4"/>
      <c r="D160" s="4"/>
      <c r="E160" s="4"/>
      <c r="F160" s="4"/>
      <c r="G160" s="4"/>
      <c r="H160" s="4"/>
    </row>
    <row r="161" spans="1:8" x14ac:dyDescent="0.2">
      <c r="A161" t="str">
        <f t="shared" ca="1" si="0"/>
        <v>Light Vehicle Driver</v>
      </c>
      <c r="B161" s="4"/>
      <c r="C161" s="4"/>
      <c r="D161" s="4"/>
      <c r="E161" s="4"/>
      <c r="F161" s="4"/>
      <c r="G161" s="4"/>
      <c r="H161" s="4"/>
    </row>
    <row r="162" spans="1:8" x14ac:dyDescent="0.2">
      <c r="A162" t="str">
        <f t="shared" ca="1" si="0"/>
        <v>Light Vehicle Passenger</v>
      </c>
      <c r="B162" s="4"/>
      <c r="C162" s="4"/>
      <c r="D162" s="4"/>
      <c r="E162" s="4"/>
      <c r="F162" s="4"/>
      <c r="G162" s="4"/>
      <c r="H162" s="4"/>
    </row>
    <row r="163" spans="1:8" x14ac:dyDescent="0.2">
      <c r="A163" t="str">
        <f t="shared" ca="1" si="0"/>
        <v>Taxi/Vehicle Share</v>
      </c>
      <c r="B163" s="4"/>
      <c r="C163" s="4"/>
      <c r="D163" s="4"/>
      <c r="E163" s="4"/>
      <c r="F163" s="4"/>
      <c r="G163" s="4"/>
      <c r="H163" s="4"/>
    </row>
    <row r="164" spans="1:8" x14ac:dyDescent="0.2">
      <c r="A164" t="str">
        <f t="shared" ca="1" si="0"/>
        <v>Motorcyclist</v>
      </c>
      <c r="B164" s="4"/>
      <c r="C164" s="4"/>
      <c r="D164" s="4"/>
      <c r="E164" s="4"/>
      <c r="F164" s="4"/>
      <c r="G164" s="4"/>
      <c r="H164" s="4"/>
    </row>
    <row r="165" spans="1:8" x14ac:dyDescent="0.2">
      <c r="A165" t="str">
        <f t="shared" ca="1" si="0"/>
        <v>Local Train</v>
      </c>
      <c r="B165" s="4"/>
      <c r="C165" s="4"/>
      <c r="D165" s="4"/>
      <c r="E165" s="4"/>
      <c r="F165" s="4"/>
      <c r="G165" s="4"/>
      <c r="H165" s="4"/>
    </row>
    <row r="166" spans="1:8" x14ac:dyDescent="0.2">
      <c r="A166" t="str">
        <f t="shared" ca="1" si="0"/>
        <v>Local Bus</v>
      </c>
      <c r="B166" s="4"/>
      <c r="C166" s="4"/>
      <c r="D166" s="4"/>
      <c r="E166" s="4"/>
      <c r="F166" s="4"/>
      <c r="G166" s="4"/>
      <c r="H166" s="4"/>
    </row>
    <row r="167" spans="1:8" x14ac:dyDescent="0.2">
      <c r="A167" t="str">
        <f t="shared" ca="1" si="0"/>
        <v>Local Ferry</v>
      </c>
      <c r="B167" s="4"/>
      <c r="C167" s="4"/>
      <c r="D167" s="4"/>
      <c r="E167" s="4"/>
      <c r="F167" s="4"/>
      <c r="G167" s="4"/>
      <c r="H167" s="4"/>
    </row>
    <row r="168" spans="1:8" x14ac:dyDescent="0.2">
      <c r="A168" t="str">
        <f t="shared" ca="1" si="0"/>
        <v>Other Household Travel</v>
      </c>
      <c r="B168" s="4"/>
      <c r="C168" s="4"/>
      <c r="D168" s="4"/>
      <c r="E168" s="4"/>
      <c r="F168" s="4"/>
      <c r="G168" s="4"/>
      <c r="H168" s="4"/>
    </row>
    <row r="169" spans="1:8" x14ac:dyDescent="0.2">
      <c r="A169" t="s">
        <v>111</v>
      </c>
      <c r="B169" s="5">
        <f>B4+B26+B37+B48+B59+B70+B81+B103+B114+B136+B147</f>
        <v>1898800</v>
      </c>
      <c r="C169">
        <f t="shared" ref="C169:H169" si="1">C4+C26+C37+C48+C59+C70+C81+C103+C114+C136+C147</f>
        <v>1989698.2885683351</v>
      </c>
      <c r="D169">
        <f t="shared" si="1"/>
        <v>2051395.8471586742</v>
      </c>
      <c r="E169">
        <f t="shared" si="1"/>
        <v>2108318.3612168627</v>
      </c>
      <c r="F169">
        <f t="shared" si="1"/>
        <v>2154894.8831685935</v>
      </c>
      <c r="G169">
        <f t="shared" si="1"/>
        <v>2189052.1497677346</v>
      </c>
      <c r="H169">
        <f t="shared" si="1"/>
        <v>2213389.4484998775</v>
      </c>
    </row>
    <row r="170" spans="1:8" x14ac:dyDescent="0.2">
      <c r="B170" s="4"/>
      <c r="C170" s="4"/>
      <c r="D170" s="4"/>
      <c r="E170" s="4"/>
      <c r="F170" s="4"/>
      <c r="G170" s="4"/>
      <c r="H170" s="4"/>
    </row>
    <row r="171" spans="1:8" x14ac:dyDescent="0.2">
      <c r="B171" s="4"/>
      <c r="C171" s="4"/>
      <c r="D171" s="4"/>
      <c r="E171" s="4"/>
      <c r="F171" s="4"/>
      <c r="G171" s="4"/>
      <c r="H171" s="4"/>
    </row>
    <row r="172" spans="1:8" x14ac:dyDescent="0.2">
      <c r="B172" s="4"/>
      <c r="C172" s="4"/>
      <c r="D172" s="4"/>
      <c r="E172" s="4"/>
      <c r="F172" s="4"/>
      <c r="G172" s="4"/>
      <c r="H172" s="4"/>
    </row>
    <row r="173" spans="1:8" x14ac:dyDescent="0.2">
      <c r="B173" s="4"/>
      <c r="C173" s="4"/>
      <c r="D173" s="4"/>
      <c r="E173" s="4"/>
      <c r="F173" s="4"/>
      <c r="G173" s="4"/>
      <c r="H173" s="4"/>
    </row>
    <row r="174" spans="1:8" x14ac:dyDescent="0.2">
      <c r="B174" s="4"/>
      <c r="C174" s="4"/>
      <c r="D174" s="4"/>
      <c r="E174" s="4"/>
      <c r="F174" s="4"/>
      <c r="G174" s="4"/>
      <c r="H174" s="4"/>
    </row>
    <row r="175" spans="1:8" x14ac:dyDescent="0.2">
      <c r="B175" s="4"/>
      <c r="C175" s="4"/>
      <c r="D175" s="4"/>
      <c r="E175" s="4"/>
      <c r="F175" s="4"/>
      <c r="G175" s="4"/>
      <c r="H175" s="4"/>
    </row>
    <row r="176" spans="1:8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K190"/>
  <sheetViews>
    <sheetView workbookViewId="0">
      <pane xSplit="1" ySplit="3" topLeftCell="B133" activePane="bottomRight" state="frozen"/>
      <selection pane="topRight" activeCell="B1" sqref="B1"/>
      <selection pane="bottomLeft" activeCell="A4" sqref="A4"/>
      <selection pane="bottomRight" activeCell="H158" sqref="H158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15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  <c r="B4" s="5">
        <f>[4]Population!D4</f>
        <v>164700</v>
      </c>
      <c r="C4" s="5">
        <f>[4]Population!E4</f>
        <v>178402.87799937133</v>
      </c>
      <c r="D4" s="5">
        <f>[4]Population!F4</f>
        <v>187531.95138136984</v>
      </c>
      <c r="E4" s="5">
        <f>[4]Population!G4</f>
        <v>194636.72243372566</v>
      </c>
      <c r="F4" s="5">
        <f>[4]Population!H4</f>
        <v>200417.5998044078</v>
      </c>
      <c r="G4" s="5">
        <f>[4]Population!I4</f>
        <v>204957.64730536833</v>
      </c>
      <c r="H4" s="5">
        <f>[4]Population!J4</f>
        <v>208429.34581397788</v>
      </c>
      <c r="I4" s="5">
        <f>[4]Population!K4</f>
        <v>211315.9462645202</v>
      </c>
      <c r="J4" s="5">
        <f>[4]Population!L4</f>
        <v>213646.21217469987</v>
      </c>
      <c r="K4" s="5">
        <f>[4]Population!M4</f>
        <v>215626.03804451777</v>
      </c>
    </row>
    <row r="5" spans="1:11" x14ac:dyDescent="0.2">
      <c r="A5" t="str">
        <f ca="1">OFFSET(Northland_Reference,0,2)</f>
        <v>Pedestrian</v>
      </c>
      <c r="B5" s="4"/>
      <c r="C5" s="4"/>
      <c r="D5" s="4"/>
      <c r="E5" s="4"/>
      <c r="F5" s="4"/>
      <c r="G5" s="4"/>
      <c r="H5" s="4"/>
      <c r="I5" s="5"/>
      <c r="J5" s="5"/>
      <c r="K5" s="5"/>
    </row>
    <row r="6" spans="1:11" x14ac:dyDescent="0.2">
      <c r="A6" t="str">
        <f ca="1">OFFSET(Northland_Reference,7,2)</f>
        <v>Cyclist</v>
      </c>
      <c r="B6" s="4"/>
      <c r="C6" s="4"/>
      <c r="D6" s="4"/>
      <c r="E6" s="4"/>
      <c r="F6" s="4"/>
      <c r="G6" s="4"/>
      <c r="H6" s="4"/>
      <c r="I6" s="5"/>
      <c r="J6" s="5"/>
      <c r="K6" s="5"/>
    </row>
    <row r="7" spans="1:11" x14ac:dyDescent="0.2">
      <c r="A7" t="str">
        <f ca="1">OFFSET(Northland_Reference,14,2)</f>
        <v>Light Vehicle Driver</v>
      </c>
      <c r="B7" s="4"/>
      <c r="C7" s="4"/>
      <c r="D7" s="4"/>
      <c r="E7" s="4"/>
      <c r="F7" s="4"/>
      <c r="G7" s="4"/>
      <c r="H7" s="4"/>
      <c r="I7" s="5"/>
      <c r="J7" s="5"/>
      <c r="K7" s="5"/>
    </row>
    <row r="8" spans="1:11" x14ac:dyDescent="0.2">
      <c r="A8" t="str">
        <f ca="1">OFFSET(Northland_Reference,21,2)</f>
        <v>Light Vehicle Passenger</v>
      </c>
      <c r="B8" s="4"/>
      <c r="C8" s="4"/>
      <c r="D8" s="4"/>
      <c r="E8" s="4"/>
      <c r="F8" s="4"/>
      <c r="G8" s="4"/>
      <c r="H8" s="4"/>
      <c r="I8" s="5"/>
      <c r="J8" s="5"/>
      <c r="K8" s="5"/>
    </row>
    <row r="9" spans="1:11" x14ac:dyDescent="0.2">
      <c r="A9" t="str">
        <f ca="1">OFFSET(Northland_Reference,28,2)</f>
        <v>Taxi/Vehicle Share</v>
      </c>
      <c r="B9" s="4"/>
      <c r="C9" s="4"/>
      <c r="D9" s="4"/>
      <c r="E9" s="4"/>
      <c r="F9" s="4"/>
      <c r="G9" s="4"/>
      <c r="H9" s="4"/>
      <c r="I9" s="5"/>
      <c r="J9" s="5"/>
      <c r="K9" s="5"/>
    </row>
    <row r="10" spans="1:11" x14ac:dyDescent="0.2">
      <c r="A10" t="str">
        <f ca="1">OFFSET(Northland_Reference,35,2)</f>
        <v>Motorcyclist</v>
      </c>
      <c r="B10" s="4"/>
      <c r="C10" s="4"/>
      <c r="D10" s="4"/>
      <c r="E10" s="4"/>
      <c r="F10" s="4"/>
      <c r="G10" s="4"/>
      <c r="H10" s="4"/>
      <c r="I10" s="5"/>
      <c r="J10" s="5"/>
      <c r="K10" s="5"/>
    </row>
    <row r="11" spans="1:11" x14ac:dyDescent="0.2">
      <c r="A11" t="str">
        <f ca="1">OFFSET(Auckland_Reference,42,2)</f>
        <v>Local Train</v>
      </c>
      <c r="B11" s="4"/>
      <c r="C11" s="4"/>
      <c r="D11" s="4"/>
      <c r="E11" s="4"/>
      <c r="F11" s="4"/>
      <c r="G11" s="4"/>
      <c r="H11" s="4"/>
      <c r="I11" s="5"/>
      <c r="J11" s="5"/>
      <c r="K11" s="5"/>
    </row>
    <row r="12" spans="1:11" x14ac:dyDescent="0.2">
      <c r="A12" t="str">
        <f ca="1">OFFSET(Northland_Reference,42,2)</f>
        <v>Local Bus</v>
      </c>
      <c r="B12" s="4"/>
      <c r="C12" s="4"/>
      <c r="D12" s="4"/>
      <c r="E12" s="4"/>
      <c r="F12" s="4"/>
      <c r="G12" s="4"/>
      <c r="H12" s="4"/>
      <c r="I12" s="5"/>
      <c r="J12" s="5"/>
      <c r="K12" s="5"/>
    </row>
    <row r="13" spans="1:11" x14ac:dyDescent="0.2">
      <c r="A13" t="str">
        <f ca="1">OFFSET(Northland_Reference,49,2)</f>
        <v>Local Ferry</v>
      </c>
      <c r="B13" s="4"/>
      <c r="C13" s="4"/>
      <c r="D13" s="4"/>
      <c r="E13" s="4"/>
      <c r="F13" s="4"/>
      <c r="G13" s="4"/>
      <c r="H13" s="4"/>
      <c r="I13" s="5"/>
      <c r="J13" s="5"/>
      <c r="K13" s="5"/>
    </row>
    <row r="14" spans="1:11" x14ac:dyDescent="0.2">
      <c r="A14" t="str">
        <f ca="1">OFFSET(Northland_Reference,56,2)</f>
        <v>Other Household Travel</v>
      </c>
      <c r="B14" s="4"/>
      <c r="C14" s="4"/>
      <c r="D14" s="4"/>
      <c r="E14" s="4"/>
      <c r="F14" s="4"/>
      <c r="G14" s="4"/>
      <c r="H14" s="4"/>
      <c r="I14" s="5"/>
      <c r="J14" s="5"/>
      <c r="K14" s="5"/>
    </row>
    <row r="15" spans="1:11" x14ac:dyDescent="0.2">
      <c r="A15" t="str">
        <f ca="1">OFFSET(Auckland_Reference,0,0)</f>
        <v>02 AUCKLAND</v>
      </c>
      <c r="B15">
        <f>[4]Population!D5</f>
        <v>1493200</v>
      </c>
      <c r="C15" s="5">
        <f>[4]Population!E5</f>
        <v>1657378.4639027626</v>
      </c>
      <c r="D15" s="5">
        <f>[4]Population!F5</f>
        <v>1779208.4803185361</v>
      </c>
      <c r="E15" s="5">
        <f>[4]Population!G5</f>
        <v>1877413.0697495723</v>
      </c>
      <c r="F15" s="5">
        <f>[4]Population!H5</f>
        <v>1968055.4364150744</v>
      </c>
      <c r="G15" s="5">
        <f>[4]Population!I5</f>
        <v>2049049.4498969652</v>
      </c>
      <c r="H15" s="5">
        <f>[4]Population!J5</f>
        <v>2123472.1525619086</v>
      </c>
      <c r="I15" s="5">
        <f>[4]Population!K5</f>
        <v>2193546.6575697772</v>
      </c>
      <c r="J15" s="5">
        <f>[4]Population!L5</f>
        <v>2259222.0470752073</v>
      </c>
      <c r="K15" s="5">
        <f>[4]Population!M5</f>
        <v>2322368.166869136</v>
      </c>
    </row>
    <row r="16" spans="1:11" x14ac:dyDescent="0.2">
      <c r="A16" t="str">
        <f ca="1">OFFSET(Auckland_Reference,0,2)</f>
        <v>Pedestrian</v>
      </c>
      <c r="B16" s="4"/>
      <c r="C16" s="4"/>
      <c r="D16" s="4"/>
      <c r="E16" s="4"/>
      <c r="F16" s="4"/>
      <c r="G16" s="4"/>
      <c r="H16" s="4"/>
      <c r="I16" s="5"/>
      <c r="J16" s="5"/>
      <c r="K16" s="5"/>
    </row>
    <row r="17" spans="1:11" x14ac:dyDescent="0.2">
      <c r="A17" t="str">
        <f ca="1">OFFSET(Auckland_Reference,7,2)</f>
        <v>Cyclist</v>
      </c>
      <c r="B17" s="4"/>
      <c r="C17" s="4"/>
      <c r="D17" s="4"/>
      <c r="E17" s="4"/>
      <c r="F17" s="4"/>
      <c r="G17" s="4"/>
      <c r="H17" s="4"/>
      <c r="I17" s="5"/>
      <c r="J17" s="5"/>
      <c r="K17" s="5"/>
    </row>
    <row r="18" spans="1:11" x14ac:dyDescent="0.2">
      <c r="A18" t="str">
        <f ca="1">OFFSET(Auckland_Reference,14,2)</f>
        <v>Light Vehicle Driver</v>
      </c>
      <c r="B18" s="4"/>
      <c r="C18" s="4"/>
      <c r="D18" s="4"/>
      <c r="E18" s="4"/>
      <c r="F18" s="4"/>
      <c r="G18" s="4"/>
      <c r="H18" s="4"/>
      <c r="I18" s="5"/>
      <c r="J18" s="5"/>
      <c r="K18" s="5"/>
    </row>
    <row r="19" spans="1:11" x14ac:dyDescent="0.2">
      <c r="A19" t="str">
        <f ca="1">OFFSET(Auckland_Reference,21,2)</f>
        <v>Light Vehicle Passenger</v>
      </c>
      <c r="B19" s="4"/>
      <c r="C19" s="4"/>
      <c r="D19" s="4"/>
      <c r="E19" s="4"/>
      <c r="F19" s="4"/>
      <c r="G19" s="4"/>
      <c r="H19" s="4"/>
      <c r="I19" s="5"/>
      <c r="J19" s="5"/>
      <c r="K19" s="5"/>
    </row>
    <row r="20" spans="1:11" x14ac:dyDescent="0.2">
      <c r="A20" t="str">
        <f ca="1">OFFSET(Auckland_Reference,28,2)</f>
        <v>Taxi/Vehicle Share</v>
      </c>
      <c r="B20" s="4"/>
      <c r="C20" s="4"/>
      <c r="D20" s="4"/>
      <c r="E20" s="4"/>
      <c r="F20" s="4"/>
      <c r="G20" s="4"/>
      <c r="H20" s="4"/>
      <c r="I20" s="5"/>
      <c r="J20" s="5"/>
      <c r="K20" s="5"/>
    </row>
    <row r="21" spans="1:11" x14ac:dyDescent="0.2">
      <c r="A21" t="str">
        <f ca="1">OFFSET(Auckland_Reference,35,2)</f>
        <v>Motorcyclist</v>
      </c>
      <c r="B21" s="4"/>
      <c r="C21" s="4"/>
      <c r="D21" s="4"/>
      <c r="E21" s="4"/>
      <c r="F21" s="4"/>
      <c r="G21" s="4"/>
      <c r="H21" s="4"/>
      <c r="I21" s="5"/>
      <c r="J21" s="5"/>
      <c r="K21" s="5"/>
    </row>
    <row r="22" spans="1:11" x14ac:dyDescent="0.2">
      <c r="A22" t="str">
        <f ca="1">OFFSET(Auckland_Reference,42,2)</f>
        <v>Local Train</v>
      </c>
      <c r="B22" s="4"/>
      <c r="C22" s="4"/>
      <c r="D22" s="4"/>
      <c r="E22" s="4"/>
      <c r="F22" s="4"/>
      <c r="G22" s="4"/>
      <c r="H22" s="4"/>
      <c r="I22" s="5"/>
      <c r="J22" s="5"/>
      <c r="K22" s="5"/>
    </row>
    <row r="23" spans="1:11" x14ac:dyDescent="0.2">
      <c r="A23" t="str">
        <f ca="1">OFFSET(Auckland_Reference,49,2)</f>
        <v>Local Bus</v>
      </c>
      <c r="B23" s="4"/>
      <c r="C23" s="4"/>
      <c r="D23" s="4"/>
      <c r="E23" s="4"/>
      <c r="F23" s="4"/>
      <c r="G23" s="4"/>
      <c r="H23" s="4"/>
      <c r="I23" s="5"/>
      <c r="J23" s="5"/>
      <c r="K23" s="5"/>
    </row>
    <row r="24" spans="1:11" x14ac:dyDescent="0.2">
      <c r="A24" t="str">
        <f ca="1">OFFSET(Auckland_Reference,56,2)</f>
        <v>Local Ferry</v>
      </c>
      <c r="B24" s="4"/>
      <c r="C24" s="4"/>
      <c r="D24" s="4"/>
      <c r="E24" s="4"/>
      <c r="F24" s="4"/>
      <c r="G24" s="4"/>
      <c r="H24" s="4"/>
      <c r="I24" s="5"/>
      <c r="J24" s="5"/>
      <c r="K24" s="5"/>
    </row>
    <row r="25" spans="1:11" x14ac:dyDescent="0.2">
      <c r="A25" t="str">
        <f ca="1">OFFSET(Auckland_Reference,63,2)</f>
        <v>Other Household Travel</v>
      </c>
      <c r="B25" s="4"/>
      <c r="C25" s="4"/>
      <c r="D25" s="4"/>
      <c r="E25" s="4"/>
      <c r="F25" s="4"/>
      <c r="G25" s="4"/>
      <c r="H25" s="4"/>
      <c r="I25" s="5"/>
      <c r="J25" s="5"/>
      <c r="K25" s="5"/>
    </row>
    <row r="26" spans="1:11" x14ac:dyDescent="0.2">
      <c r="A26" t="str">
        <f ca="1">OFFSET(Waikato_Reference,0,0)</f>
        <v>03 WAIKATO</v>
      </c>
      <c r="B26">
        <f>[4]Population!D6</f>
        <v>424600</v>
      </c>
      <c r="C26" s="5">
        <f>[4]Population!E6</f>
        <v>465214.60305263521</v>
      </c>
      <c r="D26" s="5">
        <f>[4]Population!F6</f>
        <v>490369.40379309142</v>
      </c>
      <c r="E26" s="5">
        <f>[4]Population!G6</f>
        <v>509947.73846529983</v>
      </c>
      <c r="F26" s="5">
        <f>[4]Population!H6</f>
        <v>526565.39415319054</v>
      </c>
      <c r="G26" s="5">
        <f>[4]Population!I6</f>
        <v>539912.52837833122</v>
      </c>
      <c r="H26" s="5">
        <f>[4]Population!J6</f>
        <v>550898.65879640949</v>
      </c>
      <c r="I26" s="5">
        <f>[4]Population!K6</f>
        <v>560141.05292459682</v>
      </c>
      <c r="J26" s="5">
        <f>[4]Population!L6</f>
        <v>567683.95084338856</v>
      </c>
      <c r="K26" s="5">
        <f>[4]Population!M6</f>
        <v>574048.07355348067</v>
      </c>
    </row>
    <row r="27" spans="1:11" x14ac:dyDescent="0.2">
      <c r="A27" t="str">
        <f ca="1">OFFSET(Waikato_Reference,0,2)</f>
        <v>Pedestrian</v>
      </c>
      <c r="B27" s="4"/>
      <c r="C27" s="4"/>
      <c r="D27" s="4"/>
      <c r="E27" s="4"/>
      <c r="F27" s="4"/>
      <c r="G27" s="4"/>
      <c r="H27" s="4"/>
      <c r="I27" s="5"/>
      <c r="J27" s="5"/>
      <c r="K27" s="5"/>
    </row>
    <row r="28" spans="1:11" x14ac:dyDescent="0.2">
      <c r="A28" t="str">
        <f ca="1">OFFSET(Waikato_Reference,7,2)</f>
        <v>Cyclist</v>
      </c>
      <c r="B28" s="4"/>
      <c r="C28" s="4"/>
      <c r="D28" s="4"/>
      <c r="E28" s="4"/>
      <c r="F28" s="4"/>
      <c r="G28" s="4"/>
      <c r="H28" s="4"/>
      <c r="I28" s="5"/>
      <c r="J28" s="5"/>
      <c r="K28" s="5"/>
    </row>
    <row r="29" spans="1:11" x14ac:dyDescent="0.2">
      <c r="A29" t="str">
        <f ca="1">OFFSET(Waikato_Reference,14,2)</f>
        <v>Light Vehicle Driver</v>
      </c>
      <c r="B29" s="4"/>
      <c r="C29" s="4"/>
      <c r="D29" s="4"/>
      <c r="E29" s="4"/>
      <c r="F29" s="4"/>
      <c r="G29" s="4"/>
      <c r="H29" s="4"/>
      <c r="I29" s="5"/>
      <c r="J29" s="5"/>
      <c r="K29" s="5"/>
    </row>
    <row r="30" spans="1:11" x14ac:dyDescent="0.2">
      <c r="A30" t="str">
        <f ca="1">OFFSET(Waikato_Reference,21,2)</f>
        <v>Light Vehicle Passenger</v>
      </c>
      <c r="B30" s="4"/>
      <c r="C30" s="4"/>
      <c r="D30" s="4"/>
      <c r="E30" s="4"/>
      <c r="F30" s="4"/>
      <c r="G30" s="4"/>
      <c r="H30" s="4"/>
      <c r="I30" s="5"/>
      <c r="J30" s="5"/>
      <c r="K30" s="5"/>
    </row>
    <row r="31" spans="1:11" x14ac:dyDescent="0.2">
      <c r="A31" t="str">
        <f ca="1">OFFSET(Waikato_Reference,28,2)</f>
        <v>Taxi/Vehicle Share</v>
      </c>
      <c r="B31" s="4"/>
      <c r="C31" s="4"/>
      <c r="D31" s="4"/>
      <c r="E31" s="4"/>
      <c r="F31" s="4"/>
      <c r="G31" s="4"/>
      <c r="H31" s="4"/>
      <c r="I31" s="5"/>
      <c r="J31" s="5"/>
      <c r="K31" s="5"/>
    </row>
    <row r="32" spans="1:11" x14ac:dyDescent="0.2">
      <c r="A32" t="str">
        <f ca="1">OFFSET(Waikato_Reference,35,2)</f>
        <v>Motorcyclist</v>
      </c>
      <c r="B32" s="4"/>
      <c r="C32" s="4"/>
      <c r="D32" s="4"/>
      <c r="E32" s="4"/>
      <c r="F32" s="4"/>
      <c r="G32" s="4"/>
      <c r="H32" s="4"/>
      <c r="I32" s="5"/>
      <c r="J32" s="5"/>
      <c r="K32" s="5"/>
    </row>
    <row r="33" spans="1:11" x14ac:dyDescent="0.2">
      <c r="A33" t="str">
        <f ca="1">OFFSET(Waikato_Reference,42,2)</f>
        <v>Local Train</v>
      </c>
      <c r="B33" s="4"/>
      <c r="C33" s="4"/>
      <c r="D33" s="4"/>
      <c r="E33" s="4"/>
      <c r="F33" s="4"/>
      <c r="G33" s="4"/>
      <c r="H33" s="4"/>
      <c r="I33" s="5"/>
      <c r="J33" s="5"/>
      <c r="K33" s="5"/>
    </row>
    <row r="34" spans="1:11" x14ac:dyDescent="0.2">
      <c r="A34" t="str">
        <f ca="1">OFFSET(Waikato_Reference,49,2)</f>
        <v>Local Bus</v>
      </c>
      <c r="B34" s="4"/>
      <c r="C34" s="4"/>
      <c r="D34" s="4"/>
      <c r="E34" s="4"/>
      <c r="F34" s="4"/>
      <c r="G34" s="4"/>
      <c r="H34" s="4"/>
      <c r="I34" s="5"/>
      <c r="J34" s="5"/>
      <c r="K34" s="5"/>
    </row>
    <row r="35" spans="1:11" x14ac:dyDescent="0.2">
      <c r="A35" t="str">
        <f ca="1">OFFSET(Waikato_Reference,56,2)</f>
        <v>Local Ferry</v>
      </c>
      <c r="B35" s="4"/>
      <c r="C35" s="4"/>
      <c r="D35" s="4"/>
      <c r="E35" s="4"/>
      <c r="F35" s="4"/>
      <c r="G35" s="4"/>
      <c r="H35" s="4"/>
      <c r="I35" s="5"/>
      <c r="J35" s="5"/>
      <c r="K35" s="5"/>
    </row>
    <row r="36" spans="1:11" x14ac:dyDescent="0.2">
      <c r="A36" t="str">
        <f ca="1">OFFSET(Waikato_Reference,63,2)</f>
        <v>Other Household Travel</v>
      </c>
      <c r="B36" s="4"/>
      <c r="C36" s="4"/>
      <c r="D36" s="4"/>
      <c r="E36" s="4"/>
      <c r="F36" s="4"/>
      <c r="G36" s="4"/>
      <c r="H36" s="4"/>
      <c r="I36" s="5"/>
      <c r="J36" s="5"/>
      <c r="K36" s="5"/>
    </row>
    <row r="37" spans="1:11" x14ac:dyDescent="0.2">
      <c r="A37" t="str">
        <f ca="1">OFFSET(BOP_Reference,0,0)</f>
        <v>04 BAY OF PLENTY</v>
      </c>
      <c r="B37">
        <f>[4]Population!D7</f>
        <v>279700</v>
      </c>
      <c r="C37" s="5">
        <f>[4]Population!E7</f>
        <v>301872.10017114319</v>
      </c>
      <c r="D37" s="5">
        <f>[4]Population!F7</f>
        <v>315346.56840487581</v>
      </c>
      <c r="E37" s="5">
        <f>[4]Population!G7</f>
        <v>325525.55970800878</v>
      </c>
      <c r="F37" s="5">
        <f>[4]Population!H7</f>
        <v>333697.83102231845</v>
      </c>
      <c r="G37" s="5">
        <f>[4]Population!I7</f>
        <v>339596.01131640526</v>
      </c>
      <c r="H37" s="5">
        <f>[4]Population!J7</f>
        <v>343966.97286158358</v>
      </c>
      <c r="I37" s="5">
        <f>[4]Population!K7</f>
        <v>347156.44062817976</v>
      </c>
      <c r="J37" s="5">
        <f>[4]Population!L7</f>
        <v>349215.38596491166</v>
      </c>
      <c r="K37" s="5">
        <f>[4]Population!M7</f>
        <v>350484.83398531139</v>
      </c>
    </row>
    <row r="38" spans="1:11" x14ac:dyDescent="0.2">
      <c r="A38" t="str">
        <f ca="1">OFFSET(BOP_Reference,0,2)</f>
        <v>Pedestrian</v>
      </c>
      <c r="B38" s="4"/>
      <c r="C38" s="4"/>
      <c r="D38" s="4"/>
      <c r="E38" s="4"/>
      <c r="F38" s="4"/>
      <c r="G38" s="4"/>
      <c r="H38" s="4"/>
      <c r="I38" s="5"/>
      <c r="J38" s="5"/>
      <c r="K38" s="5"/>
    </row>
    <row r="39" spans="1:11" x14ac:dyDescent="0.2">
      <c r="A39" t="str">
        <f ca="1">OFFSET(BOP_Reference,7,2)</f>
        <v>Cyclist</v>
      </c>
      <c r="B39" s="4"/>
      <c r="C39" s="4"/>
      <c r="D39" s="4"/>
      <c r="E39" s="4"/>
      <c r="F39" s="4"/>
      <c r="G39" s="4"/>
      <c r="H39" s="4"/>
      <c r="I39" s="5"/>
      <c r="J39" s="5"/>
      <c r="K39" s="5"/>
    </row>
    <row r="40" spans="1:11" x14ac:dyDescent="0.2">
      <c r="A40" t="str">
        <f ca="1">OFFSET(BOP_Reference,14,2)</f>
        <v>Light Vehicle Driver</v>
      </c>
      <c r="B40" s="4"/>
      <c r="C40" s="4"/>
      <c r="D40" s="4"/>
      <c r="E40" s="4"/>
      <c r="F40" s="4"/>
      <c r="G40" s="4"/>
      <c r="H40" s="4"/>
      <c r="I40" s="5"/>
      <c r="J40" s="5"/>
      <c r="K40" s="5"/>
    </row>
    <row r="41" spans="1:11" x14ac:dyDescent="0.2">
      <c r="A41" t="str">
        <f ca="1">OFFSET(BOP_Reference,21,2)</f>
        <v>Light Vehicle Passenger</v>
      </c>
      <c r="B41" s="4"/>
      <c r="C41" s="4"/>
      <c r="D41" s="4"/>
      <c r="E41" s="4"/>
      <c r="F41" s="4"/>
      <c r="G41" s="4"/>
      <c r="H41" s="4"/>
      <c r="I41" s="5"/>
      <c r="J41" s="5"/>
      <c r="K41" s="5"/>
    </row>
    <row r="42" spans="1:11" x14ac:dyDescent="0.2">
      <c r="A42" t="str">
        <f ca="1">OFFSET(BOP_Reference,28,2)</f>
        <v>Taxi/Vehicle Share</v>
      </c>
      <c r="B42" s="4"/>
      <c r="C42" s="4"/>
      <c r="D42" s="4"/>
      <c r="E42" s="4"/>
      <c r="F42" s="4"/>
      <c r="G42" s="4"/>
      <c r="H42" s="4"/>
      <c r="I42" s="5"/>
      <c r="J42" s="5"/>
      <c r="K42" s="5"/>
    </row>
    <row r="43" spans="1:11" x14ac:dyDescent="0.2">
      <c r="A43" t="str">
        <f ca="1">OFFSET(BOP_Reference,35,2)</f>
        <v>Motorcyclist</v>
      </c>
      <c r="B43" s="4"/>
      <c r="C43" s="4"/>
      <c r="D43" s="4"/>
      <c r="E43" s="4"/>
      <c r="F43" s="4"/>
      <c r="G43" s="4"/>
      <c r="H43" s="4"/>
      <c r="I43" s="5"/>
      <c r="J43" s="5"/>
      <c r="K43" s="5"/>
    </row>
    <row r="44" spans="1:11" x14ac:dyDescent="0.2">
      <c r="A44" t="str">
        <f ca="1">OFFSET(Auckland_Reference,42,2)</f>
        <v>Local Train</v>
      </c>
      <c r="B44" s="4"/>
      <c r="C44" s="4"/>
      <c r="D44" s="4"/>
      <c r="E44" s="4"/>
      <c r="F44" s="4"/>
      <c r="G44" s="4"/>
      <c r="H44" s="4"/>
      <c r="I44" s="5"/>
      <c r="J44" s="5"/>
      <c r="K44" s="5"/>
    </row>
    <row r="45" spans="1:11" x14ac:dyDescent="0.2">
      <c r="A45" t="str">
        <f ca="1">OFFSET(BOP_Reference,42,2)</f>
        <v>Local Bus</v>
      </c>
      <c r="B45" s="4"/>
      <c r="C45" s="4"/>
      <c r="D45" s="4"/>
      <c r="E45" s="4"/>
      <c r="F45" s="4"/>
      <c r="G45" s="4"/>
      <c r="H45" s="4"/>
      <c r="I45" s="5"/>
      <c r="J45" s="5"/>
      <c r="K45" s="5"/>
    </row>
    <row r="46" spans="1:11" x14ac:dyDescent="0.2">
      <c r="A46" t="str">
        <f ca="1">OFFSET(Waikato_Reference,56,2)</f>
        <v>Local Ferry</v>
      </c>
      <c r="B46" s="4"/>
      <c r="C46" s="4"/>
      <c r="D46" s="4"/>
      <c r="E46" s="4"/>
      <c r="F46" s="4"/>
      <c r="G46" s="4"/>
      <c r="H46" s="4"/>
      <c r="I46" s="5"/>
      <c r="J46" s="5"/>
      <c r="K46" s="5"/>
    </row>
    <row r="47" spans="1:11" x14ac:dyDescent="0.2">
      <c r="A47" t="str">
        <f ca="1">OFFSET(BOP_Reference,49,2)</f>
        <v>Other Household Travel</v>
      </c>
      <c r="B47" s="4"/>
      <c r="C47" s="4"/>
      <c r="D47" s="4"/>
      <c r="E47" s="4"/>
      <c r="F47" s="4"/>
      <c r="G47" s="4"/>
      <c r="H47" s="4"/>
      <c r="I47" s="5"/>
      <c r="J47" s="5"/>
      <c r="K47" s="5"/>
    </row>
    <row r="48" spans="1:11" x14ac:dyDescent="0.2">
      <c r="A48" t="str">
        <f ca="1">OFFSET(Gisborne_Reference,0,0)</f>
        <v>05 GISBORNE</v>
      </c>
      <c r="B48">
        <f>[4]Population!D8</f>
        <v>47000</v>
      </c>
      <c r="C48" s="5">
        <f>[4]Population!E8</f>
        <v>48500</v>
      </c>
      <c r="D48" s="5">
        <f>[4]Population!F8</f>
        <v>49400</v>
      </c>
      <c r="E48" s="5">
        <f>[4]Population!G8</f>
        <v>50000</v>
      </c>
      <c r="F48" s="5">
        <f>[4]Population!H8</f>
        <v>50300</v>
      </c>
      <c r="G48" s="5">
        <f>[4]Population!I8</f>
        <v>50200</v>
      </c>
      <c r="H48" s="5">
        <f>[4]Population!J8</f>
        <v>49900</v>
      </c>
      <c r="I48" s="5">
        <f>[4]Population!K8</f>
        <v>49431.663701127458</v>
      </c>
      <c r="J48" s="5">
        <f>[4]Population!L8</f>
        <v>48811.850271600131</v>
      </c>
      <c r="K48" s="5">
        <f>[4]Population!M8</f>
        <v>48096.224053239421</v>
      </c>
    </row>
    <row r="49" spans="1:11" x14ac:dyDescent="0.2">
      <c r="A49" t="str">
        <f ca="1">OFFSET(Gisborne_Reference,0,2)</f>
        <v>Pedestrian</v>
      </c>
      <c r="B49" s="4"/>
      <c r="C49" s="4"/>
      <c r="D49" s="4"/>
      <c r="E49" s="4"/>
      <c r="F49" s="4"/>
      <c r="G49" s="4"/>
      <c r="H49" s="4"/>
      <c r="I49" s="5"/>
      <c r="J49" s="5"/>
      <c r="K49" s="5"/>
    </row>
    <row r="50" spans="1:11" x14ac:dyDescent="0.2">
      <c r="A50" t="str">
        <f ca="1">OFFSET(Gisborne_Reference,7,2)</f>
        <v>Cyclist</v>
      </c>
      <c r="B50" s="4"/>
      <c r="C50" s="4"/>
      <c r="D50" s="4"/>
      <c r="E50" s="4"/>
      <c r="F50" s="4"/>
      <c r="G50" s="4"/>
      <c r="H50" s="4"/>
      <c r="I50" s="5"/>
      <c r="J50" s="5"/>
      <c r="K50" s="5"/>
    </row>
    <row r="51" spans="1:11" x14ac:dyDescent="0.2">
      <c r="A51" t="str">
        <f ca="1">OFFSET(Gisborne_Reference,14,2)</f>
        <v>Light Vehicle Driver</v>
      </c>
      <c r="B51" s="4"/>
      <c r="C51" s="4"/>
      <c r="D51" s="4"/>
      <c r="E51" s="4"/>
      <c r="F51" s="4"/>
      <c r="G51" s="4"/>
      <c r="H51" s="4"/>
      <c r="I51" s="5"/>
      <c r="J51" s="5"/>
      <c r="K51" s="5"/>
    </row>
    <row r="52" spans="1:11" x14ac:dyDescent="0.2">
      <c r="A52" t="str">
        <f ca="1">OFFSET(Gisborne_Reference,21,2)</f>
        <v>Light Vehicle Passenger</v>
      </c>
      <c r="B52" s="4"/>
      <c r="C52" s="4"/>
      <c r="D52" s="4"/>
      <c r="E52" s="4"/>
      <c r="F52" s="4"/>
      <c r="G52" s="4"/>
      <c r="H52" s="4"/>
      <c r="I52" s="5"/>
      <c r="J52" s="5"/>
      <c r="K52" s="5"/>
    </row>
    <row r="53" spans="1:11" x14ac:dyDescent="0.2">
      <c r="A53" t="str">
        <f ca="1">OFFSET(Gisborne_Reference,28,2)</f>
        <v>Taxi/Vehicle Share</v>
      </c>
      <c r="B53" s="4"/>
      <c r="C53" s="4"/>
      <c r="D53" s="4"/>
      <c r="E53" s="4"/>
      <c r="F53" s="4"/>
      <c r="G53" s="4"/>
      <c r="H53" s="4"/>
      <c r="I53" s="5"/>
      <c r="J53" s="5"/>
      <c r="K53" s="5"/>
    </row>
    <row r="54" spans="1:11" x14ac:dyDescent="0.2">
      <c r="A54" t="str">
        <f ca="1">OFFSET(Gisborne_Reference,35,2)</f>
        <v>Motorcyclist</v>
      </c>
      <c r="B54" s="4"/>
      <c r="C54" s="4"/>
      <c r="D54" s="4"/>
      <c r="E54" s="4"/>
      <c r="F54" s="4"/>
      <c r="G54" s="4"/>
      <c r="H54" s="4"/>
      <c r="I54" s="5"/>
      <c r="J54" s="5"/>
      <c r="K54" s="5"/>
    </row>
    <row r="55" spans="1:11" x14ac:dyDescent="0.2">
      <c r="A55" t="str">
        <f ca="1">OFFSET(Gisborne_Reference,42,2)</f>
        <v>Local Train</v>
      </c>
      <c r="B55" s="4"/>
      <c r="C55" s="4"/>
      <c r="D55" s="4"/>
      <c r="E55" s="4"/>
      <c r="F55" s="4"/>
      <c r="G55" s="4"/>
      <c r="H55" s="4"/>
      <c r="I55" s="5"/>
      <c r="J55" s="5"/>
      <c r="K55" s="5"/>
    </row>
    <row r="56" spans="1:11" x14ac:dyDescent="0.2">
      <c r="A56" t="str">
        <f ca="1">OFFSET(Gisborne_Reference,49,2)</f>
        <v>Local Bus</v>
      </c>
      <c r="B56" s="4"/>
      <c r="C56" s="4"/>
      <c r="D56" s="4"/>
      <c r="E56" s="4"/>
      <c r="F56" s="4"/>
      <c r="G56" s="4"/>
      <c r="H56" s="4"/>
      <c r="I56" s="5"/>
      <c r="J56" s="5"/>
      <c r="K56" s="5"/>
    </row>
    <row r="57" spans="1:11" x14ac:dyDescent="0.2">
      <c r="A57" t="str">
        <f ca="1">OFFSET(Gisborne_Reference,56,2)</f>
        <v>Local Ferry</v>
      </c>
      <c r="B57" s="4"/>
      <c r="C57" s="4"/>
      <c r="D57" s="4"/>
      <c r="E57" s="4"/>
      <c r="F57" s="4"/>
      <c r="G57" s="4"/>
      <c r="H57" s="4"/>
      <c r="I57" s="5"/>
      <c r="J57" s="5"/>
      <c r="K57" s="5"/>
    </row>
    <row r="58" spans="1:11" x14ac:dyDescent="0.2">
      <c r="A58" t="str">
        <f ca="1">OFFSET(Gisborne_Reference,63,2)</f>
        <v>Other Household Travel</v>
      </c>
      <c r="B58" s="4"/>
      <c r="C58" s="4"/>
      <c r="D58" s="4"/>
      <c r="E58" s="4"/>
      <c r="F58" s="4"/>
      <c r="G58" s="4"/>
      <c r="H58" s="4"/>
      <c r="I58" s="5"/>
      <c r="J58" s="5"/>
      <c r="K58" s="5"/>
    </row>
    <row r="59" spans="1:11" x14ac:dyDescent="0.2">
      <c r="A59" t="str">
        <f ca="1">OFFSET(Hawkes_Bay_Reference,0,0)</f>
        <v>06 HAWKE`S BAY</v>
      </c>
      <c r="B59">
        <f>[4]Population!D9</f>
        <v>158000</v>
      </c>
      <c r="C59" s="5">
        <f>[4]Population!E9</f>
        <v>169233.22273060668</v>
      </c>
      <c r="D59" s="5">
        <f>[4]Population!F9</f>
        <v>176691.16691697808</v>
      </c>
      <c r="E59" s="5">
        <f>[4]Population!G9</f>
        <v>182435.56285145471</v>
      </c>
      <c r="F59" s="5">
        <f>[4]Population!H9</f>
        <v>187091.51618874643</v>
      </c>
      <c r="G59" s="5">
        <f>[4]Population!I9</f>
        <v>190651.8703503196</v>
      </c>
      <c r="H59" s="5">
        <f>[4]Population!J9</f>
        <v>193574.68128951138</v>
      </c>
      <c r="I59" s="5">
        <f>[4]Population!K9</f>
        <v>195988.45255466783</v>
      </c>
      <c r="J59" s="5">
        <f>[4]Population!L9</f>
        <v>197922.97763326025</v>
      </c>
      <c r="K59" s="5">
        <f>[4]Population!M9</f>
        <v>199571.06941746542</v>
      </c>
    </row>
    <row r="60" spans="1:11" x14ac:dyDescent="0.2">
      <c r="A60" t="str">
        <f ca="1">OFFSET(Hawkes_Bay_Reference,0,2)</f>
        <v>Pedestrian</v>
      </c>
      <c r="B60" s="4"/>
      <c r="C60" s="4"/>
      <c r="D60" s="4"/>
      <c r="E60" s="4"/>
      <c r="F60" s="4"/>
      <c r="G60" s="4"/>
      <c r="H60" s="4"/>
      <c r="I60" s="5"/>
      <c r="J60" s="5"/>
      <c r="K60" s="5"/>
    </row>
    <row r="61" spans="1:11" x14ac:dyDescent="0.2">
      <c r="A61" t="str">
        <f ca="1">OFFSET(Hawkes_Bay_Reference,7,2)</f>
        <v>Cyclist</v>
      </c>
      <c r="B61" s="4"/>
      <c r="C61" s="4"/>
      <c r="D61" s="4"/>
      <c r="E61" s="4"/>
      <c r="F61" s="4"/>
      <c r="G61" s="4"/>
      <c r="H61" s="4"/>
      <c r="I61" s="5"/>
      <c r="J61" s="5"/>
      <c r="K61" s="5"/>
    </row>
    <row r="62" spans="1:11" x14ac:dyDescent="0.2">
      <c r="A62" t="str">
        <f ca="1">OFFSET(Hawkes_Bay_Reference,14,2)</f>
        <v>Light Vehicle Driver</v>
      </c>
      <c r="B62" s="4"/>
      <c r="C62" s="4"/>
      <c r="D62" s="4"/>
      <c r="E62" s="4"/>
      <c r="F62" s="4"/>
      <c r="G62" s="4"/>
      <c r="H62" s="4"/>
      <c r="I62" s="5"/>
      <c r="J62" s="5"/>
      <c r="K62" s="5"/>
    </row>
    <row r="63" spans="1:11" x14ac:dyDescent="0.2">
      <c r="A63" t="str">
        <f ca="1">OFFSET(Hawkes_Bay_Reference,21,2)</f>
        <v>Light Vehicle Passenger</v>
      </c>
      <c r="B63" s="4"/>
      <c r="C63" s="4"/>
      <c r="D63" s="4"/>
      <c r="E63" s="4"/>
      <c r="F63" s="4"/>
      <c r="G63" s="4"/>
      <c r="H63" s="4"/>
      <c r="I63" s="5"/>
      <c r="J63" s="5"/>
      <c r="K63" s="5"/>
    </row>
    <row r="64" spans="1:11" x14ac:dyDescent="0.2">
      <c r="A64" t="str">
        <f ca="1">OFFSET(Hawkes_Bay_Reference,28,2)</f>
        <v>Taxi/Vehicle Share</v>
      </c>
      <c r="B64" s="4"/>
      <c r="C64" s="4"/>
      <c r="D64" s="4"/>
      <c r="E64" s="4"/>
      <c r="F64" s="4"/>
      <c r="G64" s="4"/>
      <c r="H64" s="4"/>
      <c r="I64" s="5"/>
      <c r="J64" s="5"/>
      <c r="K64" s="5"/>
    </row>
    <row r="65" spans="1:11" x14ac:dyDescent="0.2">
      <c r="A65" t="str">
        <f ca="1">OFFSET(Hawkes_Bay_Reference,35,2)</f>
        <v>Motorcyclist</v>
      </c>
      <c r="B65" s="4"/>
      <c r="C65" s="4"/>
      <c r="D65" s="4"/>
      <c r="E65" s="4"/>
      <c r="F65" s="4"/>
      <c r="G65" s="4"/>
      <c r="H65" s="4"/>
      <c r="I65" s="5"/>
      <c r="J65" s="5"/>
      <c r="K65" s="5"/>
    </row>
    <row r="66" spans="1:11" x14ac:dyDescent="0.2">
      <c r="A66" t="str">
        <f ca="1">OFFSET(Auckland_Reference,42,2)</f>
        <v>Local Train</v>
      </c>
      <c r="B66" s="4"/>
      <c r="C66" s="4"/>
      <c r="D66" s="4"/>
      <c r="E66" s="4"/>
      <c r="F66" s="4"/>
      <c r="G66" s="4"/>
      <c r="H66" s="4"/>
      <c r="I66" s="5"/>
      <c r="J66" s="5"/>
      <c r="K66" s="5"/>
    </row>
    <row r="67" spans="1:11" x14ac:dyDescent="0.2">
      <c r="A67" t="str">
        <f ca="1">OFFSET(Hawkes_Bay_Reference,42,2)</f>
        <v>Local Bus</v>
      </c>
      <c r="B67" s="4"/>
      <c r="C67" s="4"/>
      <c r="D67" s="4"/>
      <c r="E67" s="4"/>
      <c r="F67" s="4"/>
      <c r="G67" s="4"/>
      <c r="H67" s="4"/>
      <c r="I67" s="5"/>
      <c r="J67" s="5"/>
      <c r="K67" s="5"/>
    </row>
    <row r="68" spans="1:11" x14ac:dyDescent="0.2">
      <c r="A68" t="str">
        <f ca="1">OFFSET(Waikato_Reference,56,2)</f>
        <v>Local Ferry</v>
      </c>
      <c r="B68" s="4"/>
      <c r="C68" s="4"/>
      <c r="D68" s="4"/>
      <c r="E68" s="4"/>
      <c r="F68" s="4"/>
      <c r="G68" s="4"/>
      <c r="H68" s="4"/>
      <c r="I68" s="5"/>
      <c r="J68" s="5"/>
      <c r="K68" s="5"/>
    </row>
    <row r="69" spans="1:11" x14ac:dyDescent="0.2">
      <c r="A69" t="str">
        <f ca="1">OFFSET(Hawkes_Bay_Reference,49,2)</f>
        <v>Other Household Travel</v>
      </c>
      <c r="B69" s="4"/>
      <c r="C69" s="4"/>
      <c r="D69" s="4"/>
      <c r="E69" s="4"/>
      <c r="F69" s="4"/>
      <c r="G69" s="4"/>
      <c r="H69" s="4"/>
      <c r="I69" s="5"/>
      <c r="J69" s="5"/>
      <c r="K69" s="5"/>
    </row>
    <row r="70" spans="1:11" x14ac:dyDescent="0.2">
      <c r="A70" t="str">
        <f ca="1">OFFSET(Taranaki_Reference,0,0)</f>
        <v>07 TARANAKI</v>
      </c>
      <c r="B70">
        <f>[4]Population!D10</f>
        <v>113600</v>
      </c>
      <c r="C70" s="5">
        <f>[4]Population!E10</f>
        <v>122777.20303167895</v>
      </c>
      <c r="D70" s="5">
        <f>[4]Population!F10</f>
        <v>129267.7831720862</v>
      </c>
      <c r="E70" s="5">
        <f>[4]Population!G10</f>
        <v>134438.48625615591</v>
      </c>
      <c r="F70" s="5">
        <f>[4]Population!H10</f>
        <v>139018.72096678425</v>
      </c>
      <c r="G70" s="5">
        <f>[4]Population!I10</f>
        <v>142900.77189060807</v>
      </c>
      <c r="H70" s="5">
        <f>[4]Population!J10</f>
        <v>146343.51926233803</v>
      </c>
      <c r="I70" s="5">
        <f>[4]Population!K10</f>
        <v>149419.08180062534</v>
      </c>
      <c r="J70" s="5">
        <f>[4]Population!L10</f>
        <v>152138.92844993039</v>
      </c>
      <c r="K70" s="5">
        <f>[4]Population!M10</f>
        <v>154641.86265847328</v>
      </c>
    </row>
    <row r="71" spans="1:11" x14ac:dyDescent="0.2">
      <c r="A71" t="str">
        <f ca="1">OFFSET(Taranaki_Reference,0,2)</f>
        <v>Pedestrian</v>
      </c>
      <c r="B71" s="4"/>
      <c r="C71" s="4"/>
      <c r="D71" s="4"/>
      <c r="E71" s="4"/>
      <c r="F71" s="4"/>
      <c r="G71" s="4"/>
      <c r="H71" s="4"/>
      <c r="I71" s="5"/>
      <c r="J71" s="5"/>
      <c r="K71" s="5"/>
    </row>
    <row r="72" spans="1:11" x14ac:dyDescent="0.2">
      <c r="A72" t="str">
        <f ca="1">OFFSET(Taranaki_Reference,7,2)</f>
        <v>Cyclist</v>
      </c>
      <c r="B72" s="4"/>
      <c r="C72" s="4"/>
      <c r="D72" s="4"/>
      <c r="E72" s="4"/>
      <c r="F72" s="4"/>
      <c r="G72" s="4"/>
      <c r="H72" s="4"/>
      <c r="I72" s="5"/>
      <c r="J72" s="5"/>
      <c r="K72" s="5"/>
    </row>
    <row r="73" spans="1:11" x14ac:dyDescent="0.2">
      <c r="A73" t="str">
        <f ca="1">OFFSET(Taranaki_Reference,14,2)</f>
        <v>Light Vehicle Driver</v>
      </c>
      <c r="B73" s="4"/>
      <c r="C73" s="4"/>
      <c r="D73" s="4"/>
      <c r="E73" s="4"/>
      <c r="F73" s="4"/>
      <c r="G73" s="4"/>
      <c r="H73" s="4"/>
      <c r="I73" s="5"/>
      <c r="J73" s="5"/>
      <c r="K73" s="5"/>
    </row>
    <row r="74" spans="1:11" x14ac:dyDescent="0.2">
      <c r="A74" t="str">
        <f ca="1">OFFSET(Taranaki_Reference,21,2)</f>
        <v>Light Vehicle Passenger</v>
      </c>
      <c r="B74" s="4"/>
      <c r="C74" s="4"/>
      <c r="D74" s="4"/>
      <c r="E74" s="4"/>
      <c r="F74" s="4"/>
      <c r="G74" s="4"/>
      <c r="H74" s="4"/>
      <c r="I74" s="5"/>
      <c r="J74" s="5"/>
      <c r="K74" s="5"/>
    </row>
    <row r="75" spans="1:11" x14ac:dyDescent="0.2">
      <c r="A75" t="str">
        <f ca="1">OFFSET(Taranaki_Reference,28,2)</f>
        <v>Taxi/Vehicle Share</v>
      </c>
      <c r="B75" s="4"/>
      <c r="C75" s="4"/>
      <c r="D75" s="4"/>
      <c r="E75" s="4"/>
      <c r="F75" s="4"/>
      <c r="G75" s="4"/>
      <c r="H75" s="4"/>
      <c r="I75" s="5"/>
      <c r="J75" s="5"/>
      <c r="K75" s="5"/>
    </row>
    <row r="76" spans="1:11" x14ac:dyDescent="0.2">
      <c r="A76" t="str">
        <f ca="1">OFFSET(Taranaki_Reference,35,2)</f>
        <v>Motorcyclist</v>
      </c>
      <c r="B76" s="4"/>
      <c r="C76" s="4"/>
      <c r="D76" s="4"/>
      <c r="E76" s="4"/>
      <c r="F76" s="4"/>
      <c r="G76" s="4"/>
      <c r="H76" s="4"/>
      <c r="I76" s="5"/>
      <c r="J76" s="5"/>
      <c r="K76" s="5"/>
    </row>
    <row r="77" spans="1:11" x14ac:dyDescent="0.2">
      <c r="A77" t="str">
        <f ca="1">OFFSET(Taranaki_Reference,42,2)</f>
        <v>Local Train</v>
      </c>
      <c r="B77" s="4"/>
      <c r="C77" s="4"/>
      <c r="D77" s="4"/>
      <c r="E77" s="4"/>
      <c r="F77" s="4"/>
      <c r="G77" s="4"/>
      <c r="H77" s="4"/>
      <c r="I77" s="5"/>
      <c r="J77" s="5"/>
      <c r="K77" s="5"/>
    </row>
    <row r="78" spans="1:11" x14ac:dyDescent="0.2">
      <c r="A78" t="str">
        <f ca="1">OFFSET(Taranaki_Reference,49,2)</f>
        <v>Local Bus</v>
      </c>
      <c r="B78" s="4"/>
      <c r="C78" s="4"/>
      <c r="D78" s="4"/>
      <c r="E78" s="4"/>
      <c r="F78" s="4"/>
      <c r="G78" s="4"/>
      <c r="H78" s="4"/>
      <c r="I78" s="5"/>
      <c r="J78" s="5"/>
      <c r="K78" s="5"/>
    </row>
    <row r="79" spans="1:11" x14ac:dyDescent="0.2">
      <c r="A79" t="str">
        <f ca="1">OFFSET(Waikato_Reference,56,2)</f>
        <v>Local Ferry</v>
      </c>
      <c r="B79" s="4"/>
      <c r="C79" s="4"/>
      <c r="D79" s="4"/>
      <c r="E79" s="4"/>
      <c r="F79" s="4"/>
      <c r="G79" s="4"/>
      <c r="H79" s="4"/>
      <c r="I79" s="5"/>
      <c r="J79" s="5"/>
      <c r="K79" s="5"/>
    </row>
    <row r="80" spans="1:11" x14ac:dyDescent="0.2">
      <c r="A80" t="str">
        <f ca="1">OFFSET(Taranaki_Reference,56,2)</f>
        <v>Other Household Travel</v>
      </c>
      <c r="B80" s="4"/>
      <c r="C80" s="4"/>
      <c r="D80" s="4"/>
      <c r="E80" s="4"/>
      <c r="F80" s="4"/>
      <c r="G80" s="4"/>
      <c r="H80" s="4"/>
      <c r="I80" s="5"/>
      <c r="J80" s="5"/>
      <c r="K80" s="5"/>
    </row>
    <row r="81" spans="1:11" x14ac:dyDescent="0.2">
      <c r="A81" t="str">
        <f ca="1">OFFSET(Manawatu_Reference,0,0)</f>
        <v>08 MANAWATU-WANGANUI</v>
      </c>
      <c r="B81">
        <f>[4]Population!D11</f>
        <v>231200</v>
      </c>
      <c r="C81" s="5">
        <f>[4]Population!E11</f>
        <v>244980.88784883521</v>
      </c>
      <c r="D81" s="5">
        <f>[4]Population!F11</f>
        <v>252693.64325381583</v>
      </c>
      <c r="E81" s="5">
        <f>[4]Population!G11</f>
        <v>258285.26073137508</v>
      </c>
      <c r="F81" s="5">
        <f>[4]Population!H11</f>
        <v>262253.99741538893</v>
      </c>
      <c r="G81" s="5">
        <f>[4]Population!I11</f>
        <v>264583.19653522404</v>
      </c>
      <c r="H81" s="5">
        <f>[4]Population!J11</f>
        <v>265644.92682756454</v>
      </c>
      <c r="I81" s="5">
        <f>[4]Population!K11</f>
        <v>265939.64051175449</v>
      </c>
      <c r="J81" s="5">
        <f>[4]Population!L11</f>
        <v>265535.70869954414</v>
      </c>
      <c r="K81" s="5">
        <f>[4]Population!M11</f>
        <v>264715.80752770253</v>
      </c>
    </row>
    <row r="82" spans="1:11" x14ac:dyDescent="0.2">
      <c r="A82" t="str">
        <f ca="1">OFFSET(Manawatu_Reference,0,2)</f>
        <v>Pedestrian</v>
      </c>
      <c r="B82" s="4"/>
      <c r="C82" s="4"/>
      <c r="D82" s="4"/>
      <c r="E82" s="4"/>
      <c r="F82" s="4"/>
      <c r="G82" s="4"/>
      <c r="H82" s="4"/>
      <c r="I82" s="5"/>
      <c r="J82" s="5"/>
      <c r="K82" s="5"/>
    </row>
    <row r="83" spans="1:11" x14ac:dyDescent="0.2">
      <c r="A83" t="str">
        <f ca="1">OFFSET(Manawatu_Reference,7,2)</f>
        <v>Cyclist</v>
      </c>
      <c r="B83" s="4"/>
      <c r="C83" s="4"/>
      <c r="D83" s="4"/>
      <c r="E83" s="4"/>
      <c r="F83" s="4"/>
      <c r="G83" s="4"/>
      <c r="H83" s="4"/>
      <c r="I83" s="5"/>
      <c r="J83" s="5"/>
      <c r="K83" s="5"/>
    </row>
    <row r="84" spans="1:11" x14ac:dyDescent="0.2">
      <c r="A84" t="str">
        <f ca="1">OFFSET(Manawatu_Reference,14,2)</f>
        <v>Light Vehicle Driver</v>
      </c>
      <c r="B84" s="4"/>
      <c r="C84" s="4"/>
      <c r="D84" s="4"/>
      <c r="E84" s="4"/>
      <c r="F84" s="4"/>
      <c r="G84" s="4"/>
      <c r="H84" s="4"/>
      <c r="I84" s="5"/>
      <c r="J84" s="5"/>
      <c r="K84" s="5"/>
    </row>
    <row r="85" spans="1:11" x14ac:dyDescent="0.2">
      <c r="A85" t="str">
        <f ca="1">OFFSET(Manawatu_Reference,21,2)</f>
        <v>Light Vehicle Passenger</v>
      </c>
      <c r="B85" s="4"/>
      <c r="C85" s="4"/>
      <c r="D85" s="4"/>
      <c r="E85" s="4"/>
      <c r="F85" s="4"/>
      <c r="G85" s="4"/>
      <c r="H85" s="4"/>
      <c r="I85" s="5"/>
      <c r="J85" s="5"/>
      <c r="K85" s="5"/>
    </row>
    <row r="86" spans="1:11" x14ac:dyDescent="0.2">
      <c r="A86" t="str">
        <f ca="1">OFFSET(Manawatu_Reference,28,2)</f>
        <v>Taxi/Vehicle Share</v>
      </c>
      <c r="B86" s="4"/>
      <c r="C86" s="4"/>
      <c r="D86" s="4"/>
      <c r="E86" s="4"/>
      <c r="F86" s="4"/>
      <c r="G86" s="4"/>
      <c r="H86" s="4"/>
      <c r="I86" s="5"/>
      <c r="J86" s="5"/>
      <c r="K86" s="5"/>
    </row>
    <row r="87" spans="1:11" x14ac:dyDescent="0.2">
      <c r="A87" t="str">
        <f ca="1">OFFSET(Manawatu_Reference,35,2)</f>
        <v>Motorcyclist</v>
      </c>
      <c r="B87" s="4"/>
      <c r="C87" s="4"/>
      <c r="D87" s="4"/>
      <c r="E87" s="4"/>
      <c r="F87" s="4"/>
      <c r="G87" s="4"/>
      <c r="H87" s="4"/>
      <c r="I87" s="5"/>
      <c r="J87" s="5"/>
      <c r="K87" s="5"/>
    </row>
    <row r="88" spans="1:11" x14ac:dyDescent="0.2">
      <c r="A88" t="str">
        <f ca="1">OFFSET(Taranaki_Reference,42,2)</f>
        <v>Local Train</v>
      </c>
      <c r="B88" s="4"/>
      <c r="C88" s="4"/>
      <c r="D88" s="4"/>
      <c r="E88" s="4"/>
      <c r="F88" s="4"/>
      <c r="G88" s="4"/>
      <c r="H88" s="4"/>
      <c r="I88" s="5"/>
      <c r="J88" s="5"/>
      <c r="K88" s="5"/>
    </row>
    <row r="89" spans="1:11" x14ac:dyDescent="0.2">
      <c r="A89" t="str">
        <f ca="1">OFFSET(Manawatu_Reference,42,2)</f>
        <v>Local Bus</v>
      </c>
      <c r="B89" s="4"/>
      <c r="C89" s="4"/>
      <c r="D89" s="4"/>
      <c r="E89" s="4"/>
      <c r="F89" s="4"/>
      <c r="G89" s="4"/>
      <c r="H89" s="4"/>
      <c r="I89" s="5"/>
      <c r="J89" s="5"/>
      <c r="K89" s="5"/>
    </row>
    <row r="90" spans="1:11" x14ac:dyDescent="0.2">
      <c r="A90" t="str">
        <f ca="1">OFFSET(Manawatu_Reference,49,2)</f>
        <v>Local Ferry</v>
      </c>
      <c r="B90" s="4"/>
      <c r="C90" s="4"/>
      <c r="D90" s="4"/>
      <c r="E90" s="4"/>
      <c r="F90" s="4"/>
      <c r="G90" s="4"/>
      <c r="H90" s="4"/>
      <c r="I90" s="5"/>
      <c r="J90" s="5"/>
      <c r="K90" s="5"/>
    </row>
    <row r="91" spans="1:11" x14ac:dyDescent="0.2">
      <c r="A91" t="str">
        <f ca="1">OFFSET(Manawatu_Reference,56,2)</f>
        <v>Other Household Travel</v>
      </c>
      <c r="B91" s="4"/>
      <c r="C91" s="4"/>
      <c r="D91" s="4"/>
      <c r="E91" s="4"/>
      <c r="F91" s="4"/>
      <c r="G91" s="4"/>
      <c r="H91" s="4"/>
      <c r="I91" s="5"/>
      <c r="J91" s="5"/>
      <c r="K91" s="5"/>
    </row>
    <row r="92" spans="1:11" x14ac:dyDescent="0.2">
      <c r="A92" t="str">
        <f ca="1">OFFSET(Wellington_Reference,0,0)</f>
        <v>09 WELLINGTON</v>
      </c>
      <c r="B92">
        <f>[4]Population!D12</f>
        <v>486700</v>
      </c>
      <c r="C92" s="5">
        <f>[4]Population!E12</f>
        <v>528942.28982571338</v>
      </c>
      <c r="D92" s="5">
        <f>[4]Population!F12</f>
        <v>559013.1885019734</v>
      </c>
      <c r="E92" s="5">
        <f>[4]Population!G12</f>
        <v>583458.0524606196</v>
      </c>
      <c r="F92" s="5">
        <f>[4]Population!H12</f>
        <v>604990.16799972067</v>
      </c>
      <c r="G92" s="5">
        <f>[4]Population!I12</f>
        <v>623192.22521043615</v>
      </c>
      <c r="H92" s="5">
        <f>[4]Population!J12</f>
        <v>638979.75620830571</v>
      </c>
      <c r="I92" s="5">
        <f>[4]Population!K12</f>
        <v>653070.63597965206</v>
      </c>
      <c r="J92" s="5">
        <f>[4]Population!L12</f>
        <v>665505.154659261</v>
      </c>
      <c r="K92" s="5">
        <f>[4]Population!M12</f>
        <v>676883.32803142606</v>
      </c>
    </row>
    <row r="93" spans="1:11" x14ac:dyDescent="0.2">
      <c r="A93" t="str">
        <f ca="1">OFFSET(Wellington_Reference,0,2)</f>
        <v>Pedestrian</v>
      </c>
      <c r="B93" s="4"/>
      <c r="C93" s="4"/>
      <c r="D93" s="4"/>
      <c r="E93" s="4"/>
      <c r="F93" s="4"/>
      <c r="G93" s="4"/>
      <c r="H93" s="4"/>
      <c r="I93" s="5"/>
      <c r="J93" s="5"/>
      <c r="K93" s="5"/>
    </row>
    <row r="94" spans="1:11" x14ac:dyDescent="0.2">
      <c r="A94" t="str">
        <f ca="1">OFFSET(Wellington_Reference,7,2)</f>
        <v>Cyclist</v>
      </c>
      <c r="B94" s="4"/>
      <c r="C94" s="4"/>
      <c r="D94" s="4"/>
      <c r="E94" s="4"/>
      <c r="F94" s="4"/>
      <c r="G94" s="4"/>
      <c r="H94" s="4"/>
      <c r="I94" s="5"/>
      <c r="J94" s="5"/>
      <c r="K94" s="5"/>
    </row>
    <row r="95" spans="1:11" x14ac:dyDescent="0.2">
      <c r="A95" t="str">
        <f ca="1">OFFSET(Wellington_Reference,14,2)</f>
        <v>Light Vehicle Driver</v>
      </c>
      <c r="B95" s="4"/>
      <c r="C95" s="4"/>
      <c r="D95" s="4"/>
      <c r="E95" s="4"/>
      <c r="F95" s="4"/>
      <c r="G95" s="4"/>
      <c r="H95" s="4"/>
      <c r="I95" s="5"/>
      <c r="J95" s="5"/>
      <c r="K95" s="5"/>
    </row>
    <row r="96" spans="1:11" x14ac:dyDescent="0.2">
      <c r="A96" t="str">
        <f ca="1">OFFSET(Wellington_Reference,21,2)</f>
        <v>Light Vehicle Passenger</v>
      </c>
      <c r="B96" s="4"/>
      <c r="C96" s="4"/>
      <c r="D96" s="4"/>
      <c r="E96" s="4"/>
      <c r="F96" s="4"/>
      <c r="G96" s="4"/>
      <c r="H96" s="4"/>
      <c r="I96" s="5"/>
      <c r="J96" s="5"/>
      <c r="K96" s="5"/>
    </row>
    <row r="97" spans="1:11" x14ac:dyDescent="0.2">
      <c r="A97" t="str">
        <f ca="1">OFFSET(Wellington_Reference,28,2)</f>
        <v>Taxi/Vehicle Share</v>
      </c>
      <c r="B97" s="4"/>
      <c r="C97" s="4"/>
      <c r="D97" s="4"/>
      <c r="E97" s="4"/>
      <c r="F97" s="4"/>
      <c r="G97" s="4"/>
      <c r="H97" s="4"/>
      <c r="I97" s="5"/>
      <c r="J97" s="5"/>
      <c r="K97" s="5"/>
    </row>
    <row r="98" spans="1:11" x14ac:dyDescent="0.2">
      <c r="A98" t="str">
        <f ca="1">OFFSET(Wellington_Reference,35,2)</f>
        <v>Motorcyclist</v>
      </c>
      <c r="B98" s="4"/>
      <c r="C98" s="4"/>
      <c r="D98" s="4"/>
      <c r="E98" s="4"/>
      <c r="F98" s="4"/>
      <c r="G98" s="4"/>
      <c r="H98" s="4"/>
      <c r="I98" s="5"/>
      <c r="J98" s="5"/>
      <c r="K98" s="5"/>
    </row>
    <row r="99" spans="1:11" x14ac:dyDescent="0.2">
      <c r="A99" t="str">
        <f ca="1">OFFSET(Wellington_Reference,42,2)</f>
        <v>Local Train</v>
      </c>
      <c r="B99" s="4"/>
      <c r="C99" s="4"/>
      <c r="D99" s="4"/>
      <c r="E99" s="4"/>
      <c r="F99" s="4"/>
      <c r="G99" s="4"/>
      <c r="H99" s="4"/>
      <c r="I99" s="5"/>
      <c r="J99" s="5"/>
      <c r="K99" s="5"/>
    </row>
    <row r="100" spans="1:11" x14ac:dyDescent="0.2">
      <c r="A100" t="str">
        <f ca="1">OFFSET(Wellington_Reference,49,2)</f>
        <v>Local Bus</v>
      </c>
      <c r="B100" s="4"/>
      <c r="C100" s="4"/>
      <c r="D100" s="4"/>
      <c r="E100" s="4"/>
      <c r="F100" s="4"/>
      <c r="G100" s="4"/>
      <c r="H100" s="4"/>
      <c r="I100" s="5"/>
      <c r="J100" s="5"/>
      <c r="K100" s="5"/>
    </row>
    <row r="101" spans="1:11" x14ac:dyDescent="0.2">
      <c r="A101" t="str">
        <f ca="1">OFFSET(Wellington_Reference,56,2)</f>
        <v>Local Ferry</v>
      </c>
      <c r="B101" s="4"/>
      <c r="C101" s="4"/>
      <c r="D101" s="4"/>
      <c r="E101" s="4"/>
      <c r="F101" s="4"/>
      <c r="G101" s="4"/>
      <c r="H101" s="4"/>
      <c r="I101" s="5"/>
      <c r="J101" s="5"/>
      <c r="K101" s="5"/>
    </row>
    <row r="102" spans="1:11" x14ac:dyDescent="0.2">
      <c r="A102" t="str">
        <f ca="1">OFFSET(Wellington_Reference,63,2)</f>
        <v>Other Household Travel</v>
      </c>
      <c r="B102" s="4"/>
      <c r="C102" s="4"/>
      <c r="D102" s="4"/>
      <c r="E102" s="4"/>
      <c r="F102" s="4"/>
      <c r="G102" s="4"/>
      <c r="H102" s="4"/>
      <c r="I102" s="5"/>
      <c r="J102" s="5"/>
      <c r="K102" s="5"/>
    </row>
    <row r="103" spans="1:11" x14ac:dyDescent="0.2">
      <c r="A103" t="str">
        <f ca="1">OFFSET(Nelson_Reference,0,0)</f>
        <v>10 NELS-MARLB-TAS</v>
      </c>
      <c r="B103">
        <f>[4]Population!D13</f>
        <v>142200</v>
      </c>
      <c r="C103" s="5">
        <f>[4]Population!E13</f>
        <v>149100</v>
      </c>
      <c r="D103" s="5">
        <f>[4]Population!F13</f>
        <v>153600</v>
      </c>
      <c r="E103" s="5">
        <f>[4]Population!G13</f>
        <v>157000</v>
      </c>
      <c r="F103" s="5">
        <f>[4]Population!H13</f>
        <v>159400</v>
      </c>
      <c r="G103" s="5">
        <f>[4]Population!I13</f>
        <v>160700</v>
      </c>
      <c r="H103" s="5">
        <f>[4]Population!J13</f>
        <v>161000</v>
      </c>
      <c r="I103" s="5">
        <f>[4]Population!K13</f>
        <v>160754.89583405922</v>
      </c>
      <c r="J103" s="5">
        <f>[4]Population!L13</f>
        <v>160006.7871768855</v>
      </c>
      <c r="K103" s="5">
        <f>[4]Population!M13</f>
        <v>158927.40643210392</v>
      </c>
    </row>
    <row r="104" spans="1:11" x14ac:dyDescent="0.2">
      <c r="A104" t="str">
        <f ca="1">OFFSET(Nelson_Reference,0,2)</f>
        <v>Pedestrian</v>
      </c>
      <c r="B104" s="4"/>
      <c r="C104" s="4"/>
      <c r="D104" s="4"/>
      <c r="E104" s="4"/>
      <c r="F104" s="4"/>
      <c r="G104" s="4"/>
      <c r="H104" s="4"/>
      <c r="I104" s="5"/>
      <c r="J104" s="5"/>
      <c r="K104" s="5"/>
    </row>
    <row r="105" spans="1:11" x14ac:dyDescent="0.2">
      <c r="A105" t="str">
        <f ca="1">OFFSET(Nelson_Reference,7,2)</f>
        <v>Cyclist</v>
      </c>
      <c r="B105" s="4"/>
      <c r="C105" s="4"/>
      <c r="D105" s="4"/>
      <c r="E105" s="4"/>
      <c r="F105" s="4"/>
      <c r="G105" s="4"/>
      <c r="H105" s="4"/>
      <c r="I105" s="5"/>
      <c r="J105" s="5"/>
      <c r="K105" s="5"/>
    </row>
    <row r="106" spans="1:11" x14ac:dyDescent="0.2">
      <c r="A106" t="str">
        <f ca="1">OFFSET(Nelson_Reference,14,2)</f>
        <v>Light Vehicle Driver</v>
      </c>
      <c r="B106" s="4"/>
      <c r="C106" s="4"/>
      <c r="D106" s="4"/>
      <c r="E106" s="4"/>
      <c r="F106" s="4"/>
      <c r="G106" s="4"/>
      <c r="H106" s="4"/>
      <c r="I106" s="5"/>
      <c r="J106" s="5"/>
      <c r="K106" s="5"/>
    </row>
    <row r="107" spans="1:11" x14ac:dyDescent="0.2">
      <c r="A107" t="str">
        <f ca="1">OFFSET(Nelson_Reference,21,2)</f>
        <v>Light Vehicle Passenger</v>
      </c>
      <c r="B107" s="4"/>
      <c r="C107" s="4"/>
      <c r="D107" s="4"/>
      <c r="E107" s="4"/>
      <c r="F107" s="4"/>
      <c r="G107" s="4"/>
      <c r="H107" s="4"/>
      <c r="I107" s="5"/>
      <c r="J107" s="5"/>
      <c r="K107" s="5"/>
    </row>
    <row r="108" spans="1:11" x14ac:dyDescent="0.2">
      <c r="A108" t="str">
        <f ca="1">OFFSET(Nelson_Reference,28,2)</f>
        <v>Taxi/Vehicle Share</v>
      </c>
      <c r="B108" s="4"/>
      <c r="C108" s="4"/>
      <c r="D108" s="4"/>
      <c r="E108" s="4"/>
      <c r="F108" s="4"/>
      <c r="G108" s="4"/>
      <c r="H108" s="4"/>
      <c r="I108" s="5"/>
      <c r="J108" s="5"/>
      <c r="K108" s="5"/>
    </row>
    <row r="109" spans="1:11" x14ac:dyDescent="0.2">
      <c r="A109" t="str">
        <f ca="1">OFFSET(Nelson_Reference,35,2)</f>
        <v>Motorcyclist</v>
      </c>
      <c r="B109" s="4"/>
      <c r="C109" s="4"/>
      <c r="D109" s="4"/>
      <c r="E109" s="4"/>
      <c r="F109" s="4"/>
      <c r="G109" s="4"/>
      <c r="H109" s="4"/>
      <c r="I109" s="5"/>
      <c r="J109" s="5"/>
      <c r="K109" s="5"/>
    </row>
    <row r="110" spans="1:11" x14ac:dyDescent="0.2">
      <c r="A110" t="str">
        <f ca="1">OFFSET(Nelson_Reference,42,2)</f>
        <v>Local Train</v>
      </c>
      <c r="B110" s="4"/>
      <c r="C110" s="4"/>
      <c r="D110" s="4"/>
      <c r="E110" s="4"/>
      <c r="F110" s="4"/>
      <c r="G110" s="4"/>
      <c r="H110" s="4"/>
      <c r="I110" s="5"/>
      <c r="J110" s="5"/>
      <c r="K110" s="5"/>
    </row>
    <row r="111" spans="1:11" x14ac:dyDescent="0.2">
      <c r="A111" t="str">
        <f ca="1">OFFSET(Nelson_Reference,49,2)</f>
        <v>Local Bus</v>
      </c>
      <c r="B111" s="4"/>
      <c r="C111" s="4"/>
      <c r="D111" s="4"/>
      <c r="E111" s="4"/>
      <c r="F111" s="4"/>
      <c r="G111" s="4"/>
      <c r="H111" s="4"/>
      <c r="I111" s="5"/>
      <c r="J111" s="5"/>
      <c r="K111" s="5"/>
    </row>
    <row r="112" spans="1:11" x14ac:dyDescent="0.2">
      <c r="A112" t="str">
        <f ca="1">OFFSET(Wellington_Reference,56,2)</f>
        <v>Local Ferry</v>
      </c>
      <c r="B112" s="4"/>
      <c r="C112" s="4"/>
      <c r="D112" s="4"/>
      <c r="E112" s="4"/>
      <c r="F112" s="4"/>
      <c r="G112" s="4"/>
      <c r="H112" s="4"/>
      <c r="I112" s="5"/>
      <c r="J112" s="5"/>
      <c r="K112" s="5"/>
    </row>
    <row r="113" spans="1:11" x14ac:dyDescent="0.2">
      <c r="A113" t="str">
        <f ca="1">OFFSET(Nelson_Reference,56,2)</f>
        <v>Other Household Travel</v>
      </c>
      <c r="B113" s="4"/>
      <c r="C113" s="4"/>
      <c r="D113" s="4"/>
      <c r="E113" s="4"/>
      <c r="F113" s="4"/>
      <c r="G113" s="4"/>
      <c r="H113" s="4"/>
      <c r="I113" s="5"/>
      <c r="J113" s="5"/>
      <c r="K113" s="5"/>
    </row>
    <row r="114" spans="1:11" x14ac:dyDescent="0.2">
      <c r="A114" t="str">
        <f ca="1">OFFSET(West_Coast_Reference,0,0)</f>
        <v>12 WEST COAST</v>
      </c>
      <c r="B114">
        <f>[4]Population!D14</f>
        <v>33000</v>
      </c>
      <c r="C114" s="5">
        <f>[4]Population!E14</f>
        <v>32500</v>
      </c>
      <c r="D114" s="5">
        <f>[4]Population!F14</f>
        <v>32500</v>
      </c>
      <c r="E114" s="5">
        <f>[4]Population!G14</f>
        <v>32300</v>
      </c>
      <c r="F114" s="5">
        <f>[4]Population!H14</f>
        <v>31900</v>
      </c>
      <c r="G114" s="5">
        <f>[4]Population!I14</f>
        <v>31300</v>
      </c>
      <c r="H114" s="5">
        <f>[4]Population!J14</f>
        <v>30600</v>
      </c>
      <c r="I114" s="5">
        <f>[4]Population!K14</f>
        <v>29813.047284347907</v>
      </c>
      <c r="J114" s="5">
        <f>[4]Population!L14</f>
        <v>28953.873470953382</v>
      </c>
      <c r="K114" s="5">
        <f>[4]Population!M14</f>
        <v>28059.029410232182</v>
      </c>
    </row>
    <row r="115" spans="1:11" x14ac:dyDescent="0.2">
      <c r="A115" t="str">
        <f ca="1">OFFSET(West_Coast_Reference,0,2)</f>
        <v>Pedestrian</v>
      </c>
      <c r="B115" s="4"/>
      <c r="C115" s="4"/>
      <c r="D115" s="4"/>
      <c r="E115" s="4"/>
      <c r="F115" s="4"/>
      <c r="G115" s="4"/>
      <c r="H115" s="4"/>
      <c r="I115" s="5"/>
      <c r="J115" s="5"/>
      <c r="K115" s="5"/>
    </row>
    <row r="116" spans="1:11" x14ac:dyDescent="0.2">
      <c r="A116" t="str">
        <f ca="1">OFFSET(West_Coast_Reference,7,2)</f>
        <v>Cyclist</v>
      </c>
      <c r="B116" s="4"/>
      <c r="C116" s="4"/>
      <c r="D116" s="4"/>
      <c r="E116" s="4"/>
      <c r="F116" s="4"/>
      <c r="G116" s="4"/>
      <c r="H116" s="4"/>
      <c r="I116" s="5"/>
      <c r="J116" s="5"/>
      <c r="K116" s="5"/>
    </row>
    <row r="117" spans="1:11" x14ac:dyDescent="0.2">
      <c r="A117" t="str">
        <f ca="1">OFFSET(West_Coast_Reference,14,2)</f>
        <v>Light Vehicle Driver</v>
      </c>
      <c r="B117" s="4"/>
      <c r="C117" s="4"/>
      <c r="D117" s="4"/>
      <c r="E117" s="4"/>
      <c r="F117" s="4"/>
      <c r="G117" s="4"/>
      <c r="H117" s="4"/>
      <c r="I117" s="5"/>
      <c r="J117" s="5"/>
      <c r="K117" s="5"/>
    </row>
    <row r="118" spans="1:11" x14ac:dyDescent="0.2">
      <c r="A118" t="str">
        <f ca="1">OFFSET(West_Coast_Reference,21,2)</f>
        <v>Light Vehicle Passenger</v>
      </c>
      <c r="B118" s="4"/>
      <c r="C118" s="4"/>
      <c r="D118" s="4"/>
      <c r="E118" s="4"/>
      <c r="F118" s="4"/>
      <c r="G118" s="4"/>
      <c r="H118" s="4"/>
      <c r="I118" s="5"/>
      <c r="J118" s="5"/>
      <c r="K118" s="5"/>
    </row>
    <row r="119" spans="1:11" x14ac:dyDescent="0.2">
      <c r="A119" t="str">
        <f ca="1">OFFSET(West_Coast_Reference,28,2)</f>
        <v>Taxi/Vehicle Share</v>
      </c>
      <c r="B119" s="4"/>
      <c r="C119" s="4"/>
      <c r="D119" s="4"/>
      <c r="E119" s="4"/>
      <c r="F119" s="4"/>
      <c r="G119" s="4"/>
      <c r="H119" s="4"/>
      <c r="I119" s="5"/>
      <c r="J119" s="5"/>
      <c r="K119" s="5"/>
    </row>
    <row r="120" spans="1:11" x14ac:dyDescent="0.2">
      <c r="A120" t="str">
        <f ca="1">OFFSET(West_Coast_Reference,35,2)</f>
        <v>Motorcyclist</v>
      </c>
      <c r="B120" s="4"/>
      <c r="C120" s="4"/>
      <c r="D120" s="4"/>
      <c r="E120" s="4"/>
      <c r="F120" s="4"/>
      <c r="G120" s="4"/>
      <c r="H120" s="4"/>
      <c r="I120" s="5"/>
      <c r="J120" s="5"/>
      <c r="K120" s="5"/>
    </row>
    <row r="121" spans="1:11" x14ac:dyDescent="0.2">
      <c r="A121" t="str">
        <f ca="1">OFFSET(Nelson_Reference,42,2)</f>
        <v>Local Train</v>
      </c>
      <c r="B121" s="4"/>
      <c r="C121" s="4"/>
      <c r="D121" s="4"/>
      <c r="E121" s="4"/>
      <c r="F121" s="4"/>
      <c r="G121" s="4"/>
      <c r="H121" s="4"/>
      <c r="I121" s="5"/>
      <c r="J121" s="5"/>
      <c r="K121" s="5"/>
    </row>
    <row r="122" spans="1:11" x14ac:dyDescent="0.2">
      <c r="A122" t="str">
        <f ca="1">OFFSET(West_Coast_Reference,42,2)</f>
        <v>Local Bus</v>
      </c>
      <c r="B122" s="4"/>
      <c r="C122" s="4"/>
      <c r="D122" s="4"/>
      <c r="E122" s="4"/>
      <c r="F122" s="4"/>
      <c r="G122" s="4"/>
      <c r="H122" s="4"/>
      <c r="I122" s="5"/>
      <c r="J122" s="5"/>
      <c r="K122" s="5"/>
    </row>
    <row r="123" spans="1:11" x14ac:dyDescent="0.2">
      <c r="A123" t="str">
        <f ca="1">OFFSET(Wellington_Reference,56,2)</f>
        <v>Local Ferry</v>
      </c>
      <c r="B123" s="4"/>
      <c r="C123" s="4"/>
      <c r="D123" s="4"/>
      <c r="E123" s="4"/>
      <c r="F123" s="4"/>
      <c r="G123" s="4"/>
      <c r="H123" s="4"/>
      <c r="I123" s="5"/>
      <c r="J123" s="5"/>
      <c r="K123" s="5"/>
    </row>
    <row r="124" spans="1:11" x14ac:dyDescent="0.2">
      <c r="A124" t="str">
        <f ca="1">OFFSET(West_Coast_Reference,49,2)</f>
        <v>Other Household Travel</v>
      </c>
      <c r="B124" s="4"/>
      <c r="C124" s="4"/>
      <c r="D124" s="4"/>
      <c r="E124" s="4"/>
      <c r="F124" s="4"/>
      <c r="G124" s="4"/>
      <c r="H124" s="4"/>
      <c r="I124" s="5"/>
      <c r="J124" s="5"/>
      <c r="K124" s="5"/>
    </row>
    <row r="125" spans="1:11" x14ac:dyDescent="0.2">
      <c r="A125" t="str">
        <f ca="1">OFFSET(Canterbury_Reference,0,0)</f>
        <v>13 CANTERBURY</v>
      </c>
      <c r="B125">
        <f>[4]Population!D15</f>
        <v>562900</v>
      </c>
      <c r="C125" s="5">
        <f>[4]Population!E15</f>
        <v>631919.43348119175</v>
      </c>
      <c r="D125" s="5">
        <f>[4]Population!F15</f>
        <v>680422.54549264791</v>
      </c>
      <c r="E125" s="5">
        <f>[4]Population!G15</f>
        <v>718981.94614229328</v>
      </c>
      <c r="F125" s="5">
        <f>[4]Population!H15</f>
        <v>754334.86081520026</v>
      </c>
      <c r="G125" s="5">
        <f>[4]Population!I15</f>
        <v>786182.94855226856</v>
      </c>
      <c r="H125" s="5">
        <f>[4]Population!J15</f>
        <v>815461.26226817095</v>
      </c>
      <c r="I125" s="5">
        <f>[4]Population!K15</f>
        <v>843000.10167011863</v>
      </c>
      <c r="J125" s="5">
        <f>[4]Population!L15</f>
        <v>868766.74519193312</v>
      </c>
      <c r="K125" s="5">
        <f>[4]Population!M15</f>
        <v>893469.12381984561</v>
      </c>
    </row>
    <row r="126" spans="1:11" x14ac:dyDescent="0.2">
      <c r="A126" t="str">
        <f ca="1">OFFSET(Canterbury_Reference,0,2)</f>
        <v>Pedestrian</v>
      </c>
      <c r="B126" s="4"/>
      <c r="C126" s="4"/>
      <c r="D126" s="4"/>
      <c r="E126" s="4"/>
      <c r="F126" s="4"/>
      <c r="G126" s="4"/>
      <c r="H126" s="4"/>
      <c r="I126" s="5"/>
      <c r="J126" s="5"/>
      <c r="K126" s="5"/>
    </row>
    <row r="127" spans="1:11" x14ac:dyDescent="0.2">
      <c r="A127" t="str">
        <f ca="1">OFFSET(Canterbury_Reference,7,2)</f>
        <v>Cyclist</v>
      </c>
      <c r="B127" s="4"/>
      <c r="C127" s="4"/>
      <c r="D127" s="4"/>
      <c r="E127" s="4"/>
      <c r="F127" s="4"/>
      <c r="G127" s="4"/>
      <c r="H127" s="4"/>
      <c r="I127" s="5"/>
      <c r="J127" s="5"/>
      <c r="K127" s="5"/>
    </row>
    <row r="128" spans="1:11" x14ac:dyDescent="0.2">
      <c r="A128" t="str">
        <f ca="1">OFFSET(Canterbury_Reference,14,2)</f>
        <v>Light Vehicle Driver</v>
      </c>
      <c r="B128" s="4"/>
      <c r="C128" s="4"/>
      <c r="D128" s="4"/>
      <c r="E128" s="4"/>
      <c r="F128" s="4"/>
      <c r="G128" s="4"/>
      <c r="H128" s="4"/>
      <c r="I128" s="5"/>
      <c r="J128" s="5"/>
      <c r="K128" s="5"/>
    </row>
    <row r="129" spans="1:11" x14ac:dyDescent="0.2">
      <c r="A129" t="str">
        <f ca="1">OFFSET(Canterbury_Reference,21,2)</f>
        <v>Light Vehicle Passenger</v>
      </c>
      <c r="B129" s="4"/>
      <c r="C129" s="4"/>
      <c r="D129" s="4"/>
      <c r="E129" s="4"/>
      <c r="F129" s="4"/>
      <c r="G129" s="4"/>
      <c r="H129" s="4"/>
      <c r="I129" s="5"/>
      <c r="J129" s="5"/>
      <c r="K129" s="5"/>
    </row>
    <row r="130" spans="1:11" x14ac:dyDescent="0.2">
      <c r="A130" t="str">
        <f ca="1">OFFSET(Canterbury_Reference,28,2)</f>
        <v>Taxi/Vehicle Share</v>
      </c>
      <c r="B130" s="4"/>
      <c r="C130" s="4"/>
      <c r="D130" s="4"/>
      <c r="E130" s="4"/>
      <c r="F130" s="4"/>
      <c r="G130" s="4"/>
      <c r="H130" s="4"/>
      <c r="I130" s="5"/>
      <c r="J130" s="5"/>
      <c r="K130" s="5"/>
    </row>
    <row r="131" spans="1:11" x14ac:dyDescent="0.2">
      <c r="A131" t="str">
        <f ca="1">OFFSET(Canterbury_Reference,35,2)</f>
        <v>Motorcyclist</v>
      </c>
      <c r="B131" s="4"/>
      <c r="C131" s="4"/>
      <c r="D131" s="4"/>
      <c r="E131" s="4"/>
      <c r="F131" s="4"/>
      <c r="G131" s="4"/>
      <c r="H131" s="4"/>
      <c r="I131" s="5"/>
      <c r="J131" s="5"/>
      <c r="K131" s="5"/>
    </row>
    <row r="132" spans="1:11" x14ac:dyDescent="0.2">
      <c r="A132" t="str">
        <f ca="1">OFFSET(Canterbury_Reference,42,2)</f>
        <v>Local Train</v>
      </c>
      <c r="B132" s="4"/>
      <c r="C132" s="4"/>
      <c r="D132" s="4"/>
      <c r="E132" s="4"/>
      <c r="F132" s="4"/>
      <c r="G132" s="4"/>
      <c r="H132" s="4"/>
      <c r="I132" s="5"/>
      <c r="J132" s="5"/>
      <c r="K132" s="5"/>
    </row>
    <row r="133" spans="1:11" x14ac:dyDescent="0.2">
      <c r="A133" t="str">
        <f ca="1">OFFSET(Canterbury_Reference,49,2)</f>
        <v>Local Bus</v>
      </c>
      <c r="B133" s="4"/>
      <c r="C133" s="4"/>
      <c r="D133" s="4"/>
      <c r="E133" s="4"/>
      <c r="F133" s="4"/>
      <c r="G133" s="4"/>
      <c r="H133" s="4"/>
      <c r="I133" s="5"/>
      <c r="J133" s="5"/>
      <c r="K133" s="5"/>
    </row>
    <row r="134" spans="1:11" x14ac:dyDescent="0.2">
      <c r="A134" t="str">
        <f ca="1">OFFSET(Wellington_Reference,56,2)</f>
        <v>Local Ferry</v>
      </c>
      <c r="B134" s="4"/>
      <c r="C134" s="4"/>
      <c r="D134" s="4"/>
      <c r="E134" s="4"/>
      <c r="F134" s="4"/>
      <c r="G134" s="4"/>
      <c r="H134" s="4"/>
      <c r="I134" s="5"/>
      <c r="J134" s="5"/>
      <c r="K134" s="5"/>
    </row>
    <row r="135" spans="1:11" x14ac:dyDescent="0.2">
      <c r="A135" t="str">
        <f ca="1">OFFSET(Canterbury_Reference,56,2)</f>
        <v>Other Household Travel</v>
      </c>
      <c r="B135" s="4"/>
      <c r="C135" s="4"/>
      <c r="D135" s="4"/>
      <c r="E135" s="4"/>
      <c r="F135" s="4"/>
      <c r="G135" s="4"/>
      <c r="H135" s="4"/>
      <c r="I135" s="5"/>
      <c r="J135" s="5"/>
      <c r="K135" s="5"/>
    </row>
    <row r="136" spans="1:11" x14ac:dyDescent="0.2">
      <c r="A136" t="str">
        <f ca="1">OFFSET(Otago_Reference,0,0)</f>
        <v>14 OTAGO</v>
      </c>
      <c r="B136">
        <f>[4]Population!D16</f>
        <v>208800</v>
      </c>
      <c r="C136" s="5">
        <f>[4]Population!E16</f>
        <v>233878.9179560616</v>
      </c>
      <c r="D136" s="5">
        <f>[4]Population!F16</f>
        <v>251155.26876462577</v>
      </c>
      <c r="E136" s="5">
        <f>[4]Population!G16</f>
        <v>264077.60120149492</v>
      </c>
      <c r="F136" s="5">
        <f>[4]Population!H16</f>
        <v>275774.475219168</v>
      </c>
      <c r="G136" s="5">
        <f>[4]Population!I16</f>
        <v>285973.35056407389</v>
      </c>
      <c r="H136" s="5">
        <f>[4]Population!J16</f>
        <v>295228.72411023016</v>
      </c>
      <c r="I136" s="5">
        <f>[4]Population!K16</f>
        <v>303748.54765372648</v>
      </c>
      <c r="J136" s="5">
        <f>[4]Population!L16</f>
        <v>311531.69016251812</v>
      </c>
      <c r="K136" s="5">
        <f>[4]Population!M16</f>
        <v>318841.80974484415</v>
      </c>
    </row>
    <row r="137" spans="1:11" x14ac:dyDescent="0.2">
      <c r="A137" t="str">
        <f ca="1">OFFSET(Otago_Reference,0,2)</f>
        <v>Pedestrian</v>
      </c>
      <c r="B137" s="4"/>
      <c r="C137" s="4"/>
      <c r="D137" s="4"/>
      <c r="E137" s="4"/>
      <c r="F137" s="4"/>
      <c r="G137" s="4"/>
      <c r="H137" s="4"/>
      <c r="I137" s="5"/>
      <c r="J137" s="5"/>
      <c r="K137" s="5"/>
    </row>
    <row r="138" spans="1:11" x14ac:dyDescent="0.2">
      <c r="A138" t="str">
        <f ca="1">OFFSET(Otago_Reference,7,2)</f>
        <v>Cyclist</v>
      </c>
      <c r="B138" s="4"/>
      <c r="C138" s="4"/>
      <c r="D138" s="4"/>
      <c r="E138" s="4"/>
      <c r="F138" s="4"/>
      <c r="G138" s="4"/>
      <c r="H138" s="4"/>
      <c r="I138" s="5"/>
      <c r="J138" s="5"/>
      <c r="K138" s="5"/>
    </row>
    <row r="139" spans="1:11" x14ac:dyDescent="0.2">
      <c r="A139" t="str">
        <f ca="1">OFFSET(Otago_Reference,14,2)</f>
        <v>Light Vehicle Driver</v>
      </c>
      <c r="B139" s="4"/>
      <c r="C139" s="4"/>
      <c r="D139" s="4"/>
      <c r="E139" s="4"/>
      <c r="F139" s="4"/>
      <c r="G139" s="4"/>
      <c r="H139" s="4"/>
      <c r="I139" s="5"/>
      <c r="J139" s="5"/>
      <c r="K139" s="5"/>
    </row>
    <row r="140" spans="1:11" x14ac:dyDescent="0.2">
      <c r="A140" t="str">
        <f ca="1">OFFSET(Otago_Reference,21,2)</f>
        <v>Light Vehicle Passenger</v>
      </c>
      <c r="B140" s="4"/>
      <c r="C140" s="4"/>
      <c r="D140" s="4"/>
      <c r="E140" s="4"/>
      <c r="F140" s="4"/>
      <c r="G140" s="4"/>
      <c r="H140" s="4"/>
      <c r="I140" s="5"/>
      <c r="J140" s="5"/>
      <c r="K140" s="5"/>
    </row>
    <row r="141" spans="1:11" x14ac:dyDescent="0.2">
      <c r="A141" t="str">
        <f ca="1">OFFSET(Otago_Reference,28,2)</f>
        <v>Taxi/Vehicle Share</v>
      </c>
      <c r="B141" s="4"/>
      <c r="C141" s="4"/>
      <c r="D141" s="4"/>
      <c r="E141" s="4"/>
      <c r="F141" s="4"/>
      <c r="G141" s="4"/>
      <c r="H141" s="4"/>
      <c r="I141" s="5"/>
      <c r="J141" s="5"/>
      <c r="K141" s="5"/>
    </row>
    <row r="142" spans="1:11" x14ac:dyDescent="0.2">
      <c r="A142" t="str">
        <f ca="1">OFFSET(Otago_Reference,35,2)</f>
        <v>Motorcyclist</v>
      </c>
      <c r="B142" s="4"/>
      <c r="C142" s="4"/>
      <c r="D142" s="4"/>
      <c r="E142" s="4"/>
      <c r="F142" s="4"/>
      <c r="G142" s="4"/>
      <c r="H142" s="4"/>
      <c r="I142" s="5"/>
      <c r="J142" s="5"/>
      <c r="K142" s="5"/>
    </row>
    <row r="143" spans="1:11" x14ac:dyDescent="0.2">
      <c r="A143" t="str">
        <f ca="1">OFFSET(Canterbury_Reference,42,2)</f>
        <v>Local Train</v>
      </c>
      <c r="B143" s="4"/>
      <c r="C143" s="4"/>
      <c r="D143" s="4"/>
      <c r="E143" s="4"/>
      <c r="F143" s="4"/>
      <c r="G143" s="4"/>
      <c r="H143" s="4"/>
      <c r="I143" s="5"/>
      <c r="J143" s="5"/>
      <c r="K143" s="5"/>
    </row>
    <row r="144" spans="1:11" x14ac:dyDescent="0.2">
      <c r="A144" t="str">
        <f ca="1">OFFSET(Otago_Reference,42,2)</f>
        <v>Local Bus</v>
      </c>
      <c r="B144" s="4"/>
      <c r="C144" s="4"/>
      <c r="D144" s="4"/>
      <c r="E144" s="4"/>
      <c r="F144" s="4"/>
      <c r="G144" s="4"/>
      <c r="H144" s="4"/>
      <c r="I144" s="5"/>
      <c r="J144" s="5"/>
      <c r="K144" s="5"/>
    </row>
    <row r="145" spans="1:11" x14ac:dyDescent="0.2">
      <c r="A145" t="str">
        <f ca="1">OFFSET(Wellington_Reference,56,2)</f>
        <v>Local Ferry</v>
      </c>
      <c r="B145" s="4"/>
      <c r="C145" s="4"/>
      <c r="D145" s="4"/>
      <c r="E145" s="4"/>
      <c r="F145" s="4"/>
      <c r="G145" s="4"/>
      <c r="H145" s="4"/>
      <c r="I145" s="5"/>
      <c r="J145" s="5"/>
      <c r="K145" s="5"/>
    </row>
    <row r="146" spans="1:11" x14ac:dyDescent="0.2">
      <c r="A146" t="str">
        <f ca="1">OFFSET(Otago_Reference,49,2)</f>
        <v>Other Household Travel</v>
      </c>
      <c r="B146" s="4"/>
      <c r="C146" s="4"/>
      <c r="D146" s="4"/>
      <c r="E146" s="4"/>
      <c r="F146" s="4"/>
      <c r="G146" s="4"/>
      <c r="H146" s="4"/>
      <c r="I146" s="5"/>
      <c r="J146" s="5"/>
      <c r="K146" s="5"/>
    </row>
    <row r="147" spans="1:11" x14ac:dyDescent="0.2">
      <c r="A147" t="str">
        <f ca="1">OFFSET(Southland_Reference,0,0)</f>
        <v>15 SOUTHLAND</v>
      </c>
      <c r="B147">
        <f>[4]Population!D17</f>
        <v>96000</v>
      </c>
      <c r="C147" s="5">
        <f>[4]Population!E17</f>
        <v>99200</v>
      </c>
      <c r="D147" s="5">
        <f>[4]Population!F17</f>
        <v>100100</v>
      </c>
      <c r="E147" s="5">
        <f>[4]Population!G17</f>
        <v>100600</v>
      </c>
      <c r="F147" s="5">
        <f>[4]Population!H17</f>
        <v>100600</v>
      </c>
      <c r="G147" s="5">
        <f>[4]Population!I17</f>
        <v>100000</v>
      </c>
      <c r="H147" s="5">
        <f>[4]Population!J17</f>
        <v>99000</v>
      </c>
      <c r="I147" s="5">
        <f>[4]Population!K17</f>
        <v>97673.835622846746</v>
      </c>
      <c r="J147" s="5">
        <f>[4]Population!L17</f>
        <v>96058.688225904029</v>
      </c>
      <c r="K147" s="5">
        <f>[4]Population!M17</f>
        <v>94267.226452221803</v>
      </c>
    </row>
    <row r="148" spans="1:11" x14ac:dyDescent="0.2">
      <c r="A148" t="str">
        <f ca="1">OFFSET(Southland_Reference,0,2)</f>
        <v>Pedestrian</v>
      </c>
      <c r="B148" s="4"/>
      <c r="C148" s="4"/>
      <c r="D148" s="4"/>
      <c r="E148" s="4"/>
      <c r="F148" s="4"/>
      <c r="G148" s="4"/>
      <c r="H148" s="4"/>
      <c r="I148" s="5"/>
      <c r="J148" s="5"/>
      <c r="K148" s="5"/>
    </row>
    <row r="149" spans="1:11" x14ac:dyDescent="0.2">
      <c r="A149" t="str">
        <f ca="1">OFFSET(Southland_Reference,7,2)</f>
        <v>Cyclist</v>
      </c>
      <c r="B149" s="4"/>
      <c r="C149" s="4"/>
      <c r="D149" s="4"/>
      <c r="E149" s="4"/>
      <c r="F149" s="4"/>
      <c r="G149" s="4"/>
      <c r="H149" s="4"/>
      <c r="I149" s="5"/>
      <c r="J149" s="5"/>
      <c r="K149" s="5"/>
    </row>
    <row r="150" spans="1:11" x14ac:dyDescent="0.2">
      <c r="A150" t="str">
        <f ca="1">OFFSET(Southland_Reference,14,2)</f>
        <v>Light Vehicle Driver</v>
      </c>
      <c r="B150" s="4"/>
      <c r="C150" s="4"/>
      <c r="D150" s="4"/>
      <c r="E150" s="4"/>
      <c r="F150" s="4"/>
      <c r="G150" s="4"/>
      <c r="H150" s="4"/>
      <c r="I150" s="5"/>
      <c r="J150" s="5"/>
      <c r="K150" s="5"/>
    </row>
    <row r="151" spans="1:11" x14ac:dyDescent="0.2">
      <c r="A151" t="str">
        <f ca="1">OFFSET(Southland_Reference,21,2)</f>
        <v>Light Vehicle Passenger</v>
      </c>
      <c r="B151" s="4"/>
      <c r="C151" s="4"/>
      <c r="D151" s="4"/>
      <c r="E151" s="4"/>
      <c r="F151" s="4"/>
      <c r="G151" s="4"/>
      <c r="H151" s="4"/>
      <c r="I151" s="5"/>
      <c r="J151" s="5"/>
      <c r="K151" s="5"/>
    </row>
    <row r="152" spans="1:11" x14ac:dyDescent="0.2">
      <c r="A152" t="str">
        <f ca="1">OFFSET(Southland_Reference,28,2)</f>
        <v>Taxi/Vehicle Share</v>
      </c>
      <c r="B152" s="4"/>
      <c r="C152" s="4"/>
      <c r="D152" s="4"/>
      <c r="E152" s="4"/>
      <c r="F152" s="4"/>
      <c r="G152" s="4"/>
      <c r="H152" s="4"/>
      <c r="I152" s="5"/>
      <c r="J152" s="5"/>
      <c r="K152" s="5"/>
    </row>
    <row r="153" spans="1:11" x14ac:dyDescent="0.2">
      <c r="A153" t="str">
        <f ca="1">OFFSET(Southland_Reference,35,2)</f>
        <v>Motorcyclist</v>
      </c>
      <c r="B153" s="4"/>
      <c r="C153" s="4"/>
      <c r="D153" s="4"/>
      <c r="E153" s="4"/>
      <c r="F153" s="4"/>
      <c r="G153" s="4"/>
      <c r="H153" s="4"/>
      <c r="I153" s="5"/>
      <c r="J153" s="5"/>
      <c r="K153" s="5"/>
    </row>
    <row r="154" spans="1:11" x14ac:dyDescent="0.2">
      <c r="A154" t="str">
        <f ca="1">OFFSET(Canterbury_Reference,42,2)</f>
        <v>Local Train</v>
      </c>
      <c r="B154" s="4"/>
      <c r="C154" s="4"/>
      <c r="D154" s="4"/>
      <c r="E154" s="4"/>
      <c r="F154" s="4"/>
      <c r="G154" s="4"/>
      <c r="H154" s="4"/>
      <c r="I154" s="5"/>
      <c r="J154" s="5"/>
      <c r="K154" s="5"/>
    </row>
    <row r="155" spans="1:11" x14ac:dyDescent="0.2">
      <c r="A155" t="str">
        <f ca="1">OFFSET(Southland_Reference,42,2)</f>
        <v>Local Bus</v>
      </c>
      <c r="B155" s="4"/>
      <c r="C155" s="4"/>
      <c r="D155" s="4"/>
      <c r="E155" s="4"/>
      <c r="F155" s="4"/>
      <c r="G155" s="4"/>
      <c r="H155" s="4"/>
      <c r="I155" s="5"/>
      <c r="J155" s="5"/>
      <c r="K155" s="5"/>
    </row>
    <row r="156" spans="1:11" x14ac:dyDescent="0.2">
      <c r="A156" t="str">
        <f ca="1">OFFSET(Wellington_Reference,56,2)</f>
        <v>Local Ferry</v>
      </c>
      <c r="B156" s="4"/>
      <c r="C156" s="4"/>
      <c r="D156" s="4"/>
      <c r="E156" s="4"/>
      <c r="F156" s="4"/>
      <c r="G156" s="4"/>
      <c r="H156" s="4"/>
      <c r="I156" s="5"/>
      <c r="J156" s="5"/>
      <c r="K156" s="5"/>
    </row>
    <row r="157" spans="1:11" x14ac:dyDescent="0.2">
      <c r="A157" t="str">
        <f ca="1">OFFSET(Southland_Reference,49,2)</f>
        <v>Other Household Travel</v>
      </c>
      <c r="B157" s="4"/>
      <c r="C157" s="4"/>
      <c r="D157" s="4"/>
      <c r="E157" s="4"/>
      <c r="F157" s="4"/>
      <c r="G157" s="4"/>
      <c r="H157" s="4"/>
      <c r="I157" s="5"/>
      <c r="J157" s="5"/>
      <c r="K157" s="5"/>
    </row>
    <row r="158" spans="1:11" x14ac:dyDescent="0.2">
      <c r="A158" t="s">
        <v>12</v>
      </c>
      <c r="B158">
        <f>[4]Population!D18</f>
        <v>4441600</v>
      </c>
      <c r="C158">
        <f>[4]Population!E18</f>
        <v>4863900</v>
      </c>
      <c r="D158">
        <f>[4]Population!F18</f>
        <v>5157300</v>
      </c>
      <c r="E158">
        <f>[4]Population!G18</f>
        <v>5389100</v>
      </c>
      <c r="F158">
        <f>[4]Population!H18</f>
        <v>5594399.9999999991</v>
      </c>
      <c r="G158">
        <f>[4]Population!I18</f>
        <v>5769200</v>
      </c>
      <c r="H158">
        <f>[4]Population!J18</f>
        <v>5922499.9999999991</v>
      </c>
      <c r="I158" s="5">
        <f>[4]Population!K18</f>
        <v>6061000.0000000009</v>
      </c>
      <c r="J158" s="5">
        <f>[4]Population!L18</f>
        <v>6184999.9999999991</v>
      </c>
      <c r="K158" s="5">
        <f>[4]Population!M18</f>
        <v>6300000.0000000009</v>
      </c>
    </row>
    <row r="159" spans="1:11" x14ac:dyDescent="0.2">
      <c r="A159" t="str">
        <f t="shared" ref="A159:A168" ca="1" si="0">A5</f>
        <v>Pedestrian</v>
      </c>
      <c r="B159" s="4"/>
      <c r="C159" s="4"/>
      <c r="D159" s="4"/>
      <c r="E159" s="4"/>
      <c r="F159" s="4"/>
      <c r="G159" s="4"/>
      <c r="H159" s="4"/>
      <c r="I159" s="5"/>
      <c r="J159" s="5"/>
      <c r="K159" s="5"/>
    </row>
    <row r="160" spans="1:11" x14ac:dyDescent="0.2">
      <c r="A160" t="str">
        <f t="shared" ca="1" si="0"/>
        <v>Cyclist</v>
      </c>
      <c r="B160" s="4"/>
      <c r="C160" s="4"/>
      <c r="D160" s="4"/>
      <c r="E160" s="4"/>
      <c r="F160" s="4"/>
      <c r="G160" s="4"/>
      <c r="H160" s="4"/>
      <c r="I160" s="5"/>
      <c r="J160" s="5"/>
      <c r="K160" s="5"/>
    </row>
    <row r="161" spans="1:11" x14ac:dyDescent="0.2">
      <c r="A161" t="str">
        <f t="shared" ca="1" si="0"/>
        <v>Light Vehicle Driver</v>
      </c>
      <c r="B161" s="4"/>
      <c r="C161" s="4"/>
      <c r="D161" s="4"/>
      <c r="E161" s="4"/>
      <c r="F161" s="4"/>
      <c r="G161" s="4"/>
      <c r="H161" s="4"/>
      <c r="I161" s="5"/>
      <c r="J161" s="5"/>
      <c r="K161" s="5"/>
    </row>
    <row r="162" spans="1:11" x14ac:dyDescent="0.2">
      <c r="A162" t="str">
        <f t="shared" ca="1" si="0"/>
        <v>Light Vehicle Passenger</v>
      </c>
      <c r="B162" s="4"/>
      <c r="C162" s="4"/>
      <c r="D162" s="4"/>
      <c r="E162" s="4"/>
      <c r="F162" s="4"/>
      <c r="G162" s="4"/>
      <c r="H162" s="4"/>
      <c r="I162" s="5"/>
      <c r="J162" s="5"/>
      <c r="K162" s="5"/>
    </row>
    <row r="163" spans="1:11" x14ac:dyDescent="0.2">
      <c r="A163" t="str">
        <f t="shared" ca="1" si="0"/>
        <v>Taxi/Vehicle Share</v>
      </c>
      <c r="B163" s="4"/>
      <c r="C163" s="4"/>
      <c r="D163" s="4"/>
      <c r="E163" s="4"/>
      <c r="F163" s="4"/>
      <c r="G163" s="4"/>
      <c r="H163" s="4"/>
      <c r="I163" s="5"/>
      <c r="J163" s="5"/>
      <c r="K163" s="5"/>
    </row>
    <row r="164" spans="1:11" x14ac:dyDescent="0.2">
      <c r="A164" t="str">
        <f t="shared" ca="1" si="0"/>
        <v>Motorcyclist</v>
      </c>
      <c r="B164" s="4"/>
      <c r="C164" s="4"/>
      <c r="D164" s="4"/>
      <c r="E164" s="4"/>
      <c r="F164" s="4"/>
      <c r="G164" s="4"/>
      <c r="H164" s="4"/>
      <c r="I164" s="5"/>
      <c r="J164" s="5"/>
      <c r="K164" s="5"/>
    </row>
    <row r="165" spans="1:11" x14ac:dyDescent="0.2">
      <c r="A165" t="str">
        <f t="shared" ca="1" si="0"/>
        <v>Local Train</v>
      </c>
      <c r="B165" s="4"/>
      <c r="C165" s="4"/>
      <c r="D165" s="4"/>
      <c r="E165" s="4"/>
      <c r="F165" s="4"/>
      <c r="G165" s="4"/>
      <c r="H165" s="4"/>
      <c r="I165" s="5"/>
      <c r="J165" s="5"/>
      <c r="K165" s="5"/>
    </row>
    <row r="166" spans="1:11" x14ac:dyDescent="0.2">
      <c r="A166" t="str">
        <f t="shared" ca="1" si="0"/>
        <v>Local Bus</v>
      </c>
      <c r="B166" s="4"/>
      <c r="C166" s="4"/>
      <c r="D166" s="4"/>
      <c r="E166" s="4"/>
      <c r="F166" s="4"/>
      <c r="G166" s="4"/>
      <c r="H166" s="4"/>
      <c r="I166" s="5"/>
      <c r="J166" s="5"/>
      <c r="K166" s="5"/>
    </row>
    <row r="167" spans="1:11" x14ac:dyDescent="0.2">
      <c r="A167" t="str">
        <f t="shared" ca="1" si="0"/>
        <v>Local Ferry</v>
      </c>
      <c r="B167" s="4"/>
      <c r="C167" s="4"/>
      <c r="D167" s="4"/>
      <c r="E167" s="4"/>
      <c r="F167" s="4"/>
      <c r="G167" s="4"/>
      <c r="H167" s="4"/>
      <c r="I167" s="5"/>
      <c r="J167" s="5"/>
      <c r="K167" s="5"/>
    </row>
    <row r="168" spans="1:11" x14ac:dyDescent="0.2">
      <c r="A168" t="str">
        <f t="shared" ca="1" si="0"/>
        <v>Other Household Travel</v>
      </c>
      <c r="B168" s="4"/>
      <c r="C168" s="4"/>
      <c r="D168" s="4"/>
      <c r="E168" s="4"/>
      <c r="F168" s="4"/>
      <c r="G168" s="4"/>
      <c r="H168" s="4"/>
      <c r="I168" s="5"/>
      <c r="J168" s="5"/>
      <c r="K168" s="5"/>
    </row>
    <row r="169" spans="1:11" x14ac:dyDescent="0.2">
      <c r="A169" t="s">
        <v>111</v>
      </c>
      <c r="B169" s="5">
        <f>B4+B26+B37+B48+B59+B70+B81+B103+B114+B136+B147</f>
        <v>1898800</v>
      </c>
      <c r="C169">
        <f t="shared" ref="C169:K169" si="1">C4+C26+C37+C48+C59+C70+C81+C103+C114+C136+C147</f>
        <v>2045659.8127903324</v>
      </c>
      <c r="D169">
        <f t="shared" si="1"/>
        <v>2138655.7856868431</v>
      </c>
      <c r="E169">
        <f t="shared" si="1"/>
        <v>2209246.9316475149</v>
      </c>
      <c r="F169">
        <f t="shared" si="1"/>
        <v>2267019.5347700045</v>
      </c>
      <c r="G169">
        <f t="shared" si="1"/>
        <v>2310775.3763403306</v>
      </c>
      <c r="H169">
        <f t="shared" si="1"/>
        <v>2344586.828961615</v>
      </c>
      <c r="I169" s="5">
        <f t="shared" si="1"/>
        <v>2371382.6047804523</v>
      </c>
      <c r="J169" s="5">
        <f t="shared" si="1"/>
        <v>2391506.0530735962</v>
      </c>
      <c r="K169" s="5">
        <f t="shared" si="1"/>
        <v>2407279.3812795919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1074"/>
  <sheetViews>
    <sheetView workbookViewId="0">
      <pane ySplit="2" topLeftCell="A620" activePane="bottomLeft" state="frozen"/>
      <selection pane="bottomLeft" activeCell="A627" sqref="A627"/>
    </sheetView>
  </sheetViews>
  <sheetFormatPr defaultRowHeight="12.75" x14ac:dyDescent="0.2"/>
  <cols>
    <col min="1" max="1" width="26.140625" customWidth="1"/>
    <col min="2" max="2" width="10.42578125" customWidth="1"/>
    <col min="3" max="3" width="26.85546875" customWidth="1"/>
    <col min="4" max="8" width="18.5703125" customWidth="1"/>
  </cols>
  <sheetData>
    <row r="1" spans="1: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9</v>
      </c>
      <c r="I1" s="2"/>
    </row>
    <row r="2" spans="1:9" x14ac:dyDescent="0.2">
      <c r="A2" s="2"/>
      <c r="B2" s="2"/>
      <c r="C2" s="2"/>
      <c r="D2" s="2"/>
      <c r="E2" s="2"/>
      <c r="F2" s="2" t="s">
        <v>6</v>
      </c>
      <c r="G2" s="2" t="s">
        <v>8</v>
      </c>
      <c r="H2" s="2" t="s">
        <v>10</v>
      </c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t="str">
        <f>'Unformatted Trip Summary'!A2</f>
        <v>01 NORTHLAND</v>
      </c>
      <c r="B4" t="str">
        <f>'Unformatted Trip Summary'!J2</f>
        <v>2012/13</v>
      </c>
      <c r="C4" t="str">
        <f>'Unformatted Trip Summary'!I2</f>
        <v>Pedestrian</v>
      </c>
      <c r="D4">
        <f>'Unformatted Trip Summary'!D2</f>
        <v>259</v>
      </c>
      <c r="E4">
        <f>'Unformatted Trip Summary'!E2</f>
        <v>844</v>
      </c>
      <c r="F4" s="1">
        <f>'Unformatted Trip Summary'!F2</f>
        <v>23.706864376999999</v>
      </c>
      <c r="G4" s="1">
        <f>'Unformatted Trip Summary'!G2</f>
        <v>17.849116999</v>
      </c>
      <c r="H4" s="1">
        <f>'Unformatted Trip Summary'!H2</f>
        <v>5.0772161771000004</v>
      </c>
    </row>
    <row r="5" spans="1:9" x14ac:dyDescent="0.2">
      <c r="A5" t="str">
        <f>'Unformatted Trip Summary'!A3</f>
        <v>01 NORTHLAND</v>
      </c>
      <c r="B5" t="str">
        <f>'Unformatted Trip Summary'!J3</f>
        <v>2017/18</v>
      </c>
      <c r="C5" t="str">
        <f>'Unformatted Trip Summary'!I3</f>
        <v>Pedestrian</v>
      </c>
      <c r="D5">
        <f>'Unformatted Trip Summary'!D3</f>
        <v>259</v>
      </c>
      <c r="E5">
        <f>'Unformatted Trip Summary'!E3</f>
        <v>844</v>
      </c>
      <c r="F5" s="1">
        <f>'Unformatted Trip Summary'!F3</f>
        <v>24.204158259</v>
      </c>
      <c r="G5" s="1">
        <f>'Unformatted Trip Summary'!G3</f>
        <v>18.032544703999999</v>
      </c>
      <c r="H5" s="1">
        <f>'Unformatted Trip Summary'!H3</f>
        <v>5.1366717068999996</v>
      </c>
    </row>
    <row r="6" spans="1:9" x14ac:dyDescent="0.2">
      <c r="A6" t="str">
        <f>'Unformatted Trip Summary'!A4</f>
        <v>01 NORTHLAND</v>
      </c>
      <c r="B6" t="str">
        <f>'Unformatted Trip Summary'!J4</f>
        <v>2022/23</v>
      </c>
      <c r="C6" t="str">
        <f>'Unformatted Trip Summary'!I4</f>
        <v>Pedestrian</v>
      </c>
      <c r="D6">
        <f>'Unformatted Trip Summary'!D4</f>
        <v>259</v>
      </c>
      <c r="E6">
        <f>'Unformatted Trip Summary'!E4</f>
        <v>844</v>
      </c>
      <c r="F6" s="1">
        <f>'Unformatted Trip Summary'!F4</f>
        <v>24.432664984999999</v>
      </c>
      <c r="G6" s="1">
        <f>'Unformatted Trip Summary'!G4</f>
        <v>17.969776123999999</v>
      </c>
      <c r="H6" s="1">
        <f>'Unformatted Trip Summary'!H4</f>
        <v>5.1331206324999998</v>
      </c>
    </row>
    <row r="7" spans="1:9" x14ac:dyDescent="0.2">
      <c r="A7" t="str">
        <f>'Unformatted Trip Summary'!A5</f>
        <v>01 NORTHLAND</v>
      </c>
      <c r="B7" t="str">
        <f>'Unformatted Trip Summary'!J5</f>
        <v>2027/28</v>
      </c>
      <c r="C7" t="str">
        <f>'Unformatted Trip Summary'!I5</f>
        <v>Pedestrian</v>
      </c>
      <c r="D7">
        <f>'Unformatted Trip Summary'!D5</f>
        <v>259</v>
      </c>
      <c r="E7">
        <f>'Unformatted Trip Summary'!E5</f>
        <v>844</v>
      </c>
      <c r="F7" s="1">
        <f>'Unformatted Trip Summary'!F5</f>
        <v>24.530438723</v>
      </c>
      <c r="G7" s="1">
        <f>'Unformatted Trip Summary'!G5</f>
        <v>17.847356708</v>
      </c>
      <c r="H7" s="1">
        <f>'Unformatted Trip Summary'!H5</f>
        <v>5.0875962971000002</v>
      </c>
    </row>
    <row r="8" spans="1:9" x14ac:dyDescent="0.2">
      <c r="A8" t="str">
        <f>'Unformatted Trip Summary'!A6</f>
        <v>01 NORTHLAND</v>
      </c>
      <c r="B8" t="str">
        <f>'Unformatted Trip Summary'!J6</f>
        <v>2032/33</v>
      </c>
      <c r="C8" t="str">
        <f>'Unformatted Trip Summary'!I6</f>
        <v>Pedestrian</v>
      </c>
      <c r="D8">
        <f>'Unformatted Trip Summary'!D6</f>
        <v>259</v>
      </c>
      <c r="E8">
        <f>'Unformatted Trip Summary'!E6</f>
        <v>844</v>
      </c>
      <c r="F8" s="1">
        <f>'Unformatted Trip Summary'!F6</f>
        <v>24.360605504999999</v>
      </c>
      <c r="G8" s="1">
        <f>'Unformatted Trip Summary'!G6</f>
        <v>17.407911568999999</v>
      </c>
      <c r="H8" s="1">
        <f>'Unformatted Trip Summary'!H6</f>
        <v>4.9752177157000004</v>
      </c>
    </row>
    <row r="9" spans="1:9" x14ac:dyDescent="0.2">
      <c r="A9" t="str">
        <f>'Unformatted Trip Summary'!A7</f>
        <v>01 NORTHLAND</v>
      </c>
      <c r="B9" t="str">
        <f>'Unformatted Trip Summary'!J7</f>
        <v>2037/38</v>
      </c>
      <c r="C9" t="str">
        <f>'Unformatted Trip Summary'!I7</f>
        <v>Pedestrian</v>
      </c>
      <c r="D9">
        <f>'Unformatted Trip Summary'!D7</f>
        <v>259</v>
      </c>
      <c r="E9">
        <f>'Unformatted Trip Summary'!E7</f>
        <v>844</v>
      </c>
      <c r="F9" s="1">
        <f>'Unformatted Trip Summary'!F7</f>
        <v>23.96272797</v>
      </c>
      <c r="G9" s="1">
        <f>'Unformatted Trip Summary'!G7</f>
        <v>16.757316444000001</v>
      </c>
      <c r="H9" s="1">
        <f>'Unformatted Trip Summary'!H7</f>
        <v>4.8028862178000002</v>
      </c>
    </row>
    <row r="10" spans="1:9" x14ac:dyDescent="0.2">
      <c r="A10" t="str">
        <f>'Unformatted Trip Summary'!A8</f>
        <v>01 NORTHLAND</v>
      </c>
      <c r="B10" t="str">
        <f>'Unformatted Trip Summary'!J8</f>
        <v>2042/43</v>
      </c>
      <c r="C10" t="str">
        <f>'Unformatted Trip Summary'!I8</f>
        <v>Pedestrian</v>
      </c>
      <c r="D10">
        <f>'Unformatted Trip Summary'!D8</f>
        <v>259</v>
      </c>
      <c r="E10">
        <f>'Unformatted Trip Summary'!E8</f>
        <v>844</v>
      </c>
      <c r="F10" s="1">
        <f>'Unformatted Trip Summary'!F8</f>
        <v>23.474969459</v>
      </c>
      <c r="G10" s="1">
        <f>'Unformatted Trip Summary'!G8</f>
        <v>16.057189291</v>
      </c>
      <c r="H10" s="1">
        <f>'Unformatted Trip Summary'!H8</f>
        <v>4.6108281109</v>
      </c>
    </row>
    <row r="11" spans="1:9" x14ac:dyDescent="0.2">
      <c r="A11" t="str">
        <f>'Unformatted Trip Summary'!A9</f>
        <v>01 NORTHLAND</v>
      </c>
      <c r="B11" t="str">
        <f>'Unformatted Trip Summary'!J9</f>
        <v>2012/13</v>
      </c>
      <c r="C11" t="str">
        <f>'Unformatted Trip Summary'!I9</f>
        <v>Cyclist</v>
      </c>
      <c r="D11">
        <f>'Unformatted Trip Summary'!D9</f>
        <v>5</v>
      </c>
      <c r="E11">
        <f>'Unformatted Trip Summary'!E9</f>
        <v>19</v>
      </c>
      <c r="F11" s="1">
        <f>'Unformatted Trip Summary'!F9</f>
        <v>0.66592947719999995</v>
      </c>
      <c r="G11" s="1">
        <f>'Unformatted Trip Summary'!G9</f>
        <v>1.0072239942000001</v>
      </c>
      <c r="H11" s="1">
        <f>'Unformatted Trip Summary'!H9</f>
        <v>0.15772883609999999</v>
      </c>
    </row>
    <row r="12" spans="1:9" x14ac:dyDescent="0.2">
      <c r="A12" t="str">
        <f>'Unformatted Trip Summary'!A10</f>
        <v>01 NORTHLAND</v>
      </c>
      <c r="B12" t="str">
        <f>'Unformatted Trip Summary'!J10</f>
        <v>2017/18</v>
      </c>
      <c r="C12" t="str">
        <f>'Unformatted Trip Summary'!I10</f>
        <v>Cyclist</v>
      </c>
      <c r="D12">
        <f>'Unformatted Trip Summary'!D10</f>
        <v>5</v>
      </c>
      <c r="E12">
        <f>'Unformatted Trip Summary'!E10</f>
        <v>19</v>
      </c>
      <c r="F12" s="1">
        <f>'Unformatted Trip Summary'!F10</f>
        <v>0.62665387790000004</v>
      </c>
      <c r="G12" s="1">
        <f>'Unformatted Trip Summary'!G10</f>
        <v>0.95920884959999997</v>
      </c>
      <c r="H12" s="1">
        <f>'Unformatted Trip Summary'!H10</f>
        <v>0.14998056870000001</v>
      </c>
    </row>
    <row r="13" spans="1:9" x14ac:dyDescent="0.2">
      <c r="A13" t="str">
        <f>'Unformatted Trip Summary'!A11</f>
        <v>01 NORTHLAND</v>
      </c>
      <c r="B13" t="str">
        <f>'Unformatted Trip Summary'!J11</f>
        <v>2022/23</v>
      </c>
      <c r="C13" t="str">
        <f>'Unformatted Trip Summary'!I11</f>
        <v>Cyclist</v>
      </c>
      <c r="D13">
        <f>'Unformatted Trip Summary'!D11</f>
        <v>5</v>
      </c>
      <c r="E13">
        <f>'Unformatted Trip Summary'!E11</f>
        <v>19</v>
      </c>
      <c r="F13" s="1">
        <f>'Unformatted Trip Summary'!F11</f>
        <v>0.63783943210000005</v>
      </c>
      <c r="G13" s="1">
        <f>'Unformatted Trip Summary'!G11</f>
        <v>0.98617074579999997</v>
      </c>
      <c r="H13" s="1">
        <f>'Unformatted Trip Summary'!H11</f>
        <v>0.1543567381</v>
      </c>
    </row>
    <row r="14" spans="1:9" x14ac:dyDescent="0.2">
      <c r="A14" t="str">
        <f>'Unformatted Trip Summary'!A12</f>
        <v>01 NORTHLAND</v>
      </c>
      <c r="B14" t="str">
        <f>'Unformatted Trip Summary'!J12</f>
        <v>2027/28</v>
      </c>
      <c r="C14" t="str">
        <f>'Unformatted Trip Summary'!I12</f>
        <v>Cyclist</v>
      </c>
      <c r="D14">
        <f>'Unformatted Trip Summary'!D12</f>
        <v>5</v>
      </c>
      <c r="E14">
        <f>'Unformatted Trip Summary'!E12</f>
        <v>19</v>
      </c>
      <c r="F14" s="1">
        <f>'Unformatted Trip Summary'!F12</f>
        <v>0.62394237320000001</v>
      </c>
      <c r="G14" s="1">
        <f>'Unformatted Trip Summary'!G12</f>
        <v>0.97209749619999997</v>
      </c>
      <c r="H14" s="1">
        <f>'Unformatted Trip Summary'!H12</f>
        <v>0.1526580649</v>
      </c>
    </row>
    <row r="15" spans="1:9" x14ac:dyDescent="0.2">
      <c r="A15" t="str">
        <f>'Unformatted Trip Summary'!A13</f>
        <v>01 NORTHLAND</v>
      </c>
      <c r="B15" t="str">
        <f>'Unformatted Trip Summary'!J13</f>
        <v>2032/33</v>
      </c>
      <c r="C15" t="str">
        <f>'Unformatted Trip Summary'!I13</f>
        <v>Cyclist</v>
      </c>
      <c r="D15">
        <f>'Unformatted Trip Summary'!D13</f>
        <v>5</v>
      </c>
      <c r="E15">
        <f>'Unformatted Trip Summary'!E13</f>
        <v>19</v>
      </c>
      <c r="F15" s="1">
        <f>'Unformatted Trip Summary'!F13</f>
        <v>0.58590263580000002</v>
      </c>
      <c r="G15" s="1">
        <f>'Unformatted Trip Summary'!G13</f>
        <v>0.91888916399999998</v>
      </c>
      <c r="H15" s="1">
        <f>'Unformatted Trip Summary'!H13</f>
        <v>0.1446068908</v>
      </c>
    </row>
    <row r="16" spans="1:9" x14ac:dyDescent="0.2">
      <c r="A16" t="str">
        <f>'Unformatted Trip Summary'!A14</f>
        <v>01 NORTHLAND</v>
      </c>
      <c r="B16" t="str">
        <f>'Unformatted Trip Summary'!J14</f>
        <v>2037/38</v>
      </c>
      <c r="C16" t="str">
        <f>'Unformatted Trip Summary'!I14</f>
        <v>Cyclist</v>
      </c>
      <c r="D16">
        <f>'Unformatted Trip Summary'!D14</f>
        <v>5</v>
      </c>
      <c r="E16">
        <f>'Unformatted Trip Summary'!E14</f>
        <v>19</v>
      </c>
      <c r="F16" s="1">
        <f>'Unformatted Trip Summary'!F14</f>
        <v>0.49134130259999997</v>
      </c>
      <c r="G16" s="1">
        <f>'Unformatted Trip Summary'!G14</f>
        <v>0.77524979869999999</v>
      </c>
      <c r="H16" s="1">
        <f>'Unformatted Trip Summary'!H14</f>
        <v>0.121956184</v>
      </c>
    </row>
    <row r="17" spans="1:8" x14ac:dyDescent="0.2">
      <c r="A17" t="str">
        <f>'Unformatted Trip Summary'!A15</f>
        <v>01 NORTHLAND</v>
      </c>
      <c r="B17" t="str">
        <f>'Unformatted Trip Summary'!J15</f>
        <v>2042/43</v>
      </c>
      <c r="C17" t="str">
        <f>'Unformatted Trip Summary'!I15</f>
        <v>Cyclist</v>
      </c>
      <c r="D17">
        <f>'Unformatted Trip Summary'!D15</f>
        <v>5</v>
      </c>
      <c r="E17">
        <f>'Unformatted Trip Summary'!E15</f>
        <v>19</v>
      </c>
      <c r="F17" s="1">
        <f>'Unformatted Trip Summary'!F15</f>
        <v>0.40361572159999998</v>
      </c>
      <c r="G17" s="1">
        <f>'Unformatted Trip Summary'!G15</f>
        <v>0.64077790940000001</v>
      </c>
      <c r="H17" s="1">
        <f>'Unformatted Trip Summary'!H15</f>
        <v>0.1007832583</v>
      </c>
    </row>
    <row r="18" spans="1:8" x14ac:dyDescent="0.2">
      <c r="A18" t="str">
        <f>'Unformatted Trip Summary'!A16</f>
        <v>01 NORTHLAND</v>
      </c>
      <c r="B18" t="str">
        <f>'Unformatted Trip Summary'!J16</f>
        <v>2012/13</v>
      </c>
      <c r="C18" t="str">
        <f>'Unformatted Trip Summary'!I16</f>
        <v>Light Vehicle Driver</v>
      </c>
      <c r="D18">
        <f>'Unformatted Trip Summary'!D16</f>
        <v>476</v>
      </c>
      <c r="E18">
        <f>'Unformatted Trip Summary'!E16</f>
        <v>2980</v>
      </c>
      <c r="F18" s="1">
        <f>'Unformatted Trip Summary'!F16</f>
        <v>86.333691700000003</v>
      </c>
      <c r="G18" s="1">
        <f>'Unformatted Trip Summary'!G16</f>
        <v>1011.4273062</v>
      </c>
      <c r="H18" s="1">
        <f>'Unformatted Trip Summary'!H16</f>
        <v>23.421840091</v>
      </c>
    </row>
    <row r="19" spans="1:8" x14ac:dyDescent="0.2">
      <c r="A19" t="str">
        <f>'Unformatted Trip Summary'!A17</f>
        <v>01 NORTHLAND</v>
      </c>
      <c r="B19" t="str">
        <f>'Unformatted Trip Summary'!J17</f>
        <v>2017/18</v>
      </c>
      <c r="C19" t="str">
        <f>'Unformatted Trip Summary'!I17</f>
        <v>Light Vehicle Driver</v>
      </c>
      <c r="D19">
        <f>'Unformatted Trip Summary'!D17</f>
        <v>476</v>
      </c>
      <c r="E19">
        <f>'Unformatted Trip Summary'!E17</f>
        <v>2980</v>
      </c>
      <c r="F19" s="1">
        <f>'Unformatted Trip Summary'!F17</f>
        <v>90.810339967999994</v>
      </c>
      <c r="G19" s="1">
        <f>'Unformatted Trip Summary'!G17</f>
        <v>1072.2253321999999</v>
      </c>
      <c r="H19" s="1">
        <f>'Unformatted Trip Summary'!H17</f>
        <v>24.805095076000001</v>
      </c>
    </row>
    <row r="20" spans="1:8" x14ac:dyDescent="0.2">
      <c r="A20" t="str">
        <f>'Unformatted Trip Summary'!A18</f>
        <v>01 NORTHLAND</v>
      </c>
      <c r="B20" t="str">
        <f>'Unformatted Trip Summary'!J18</f>
        <v>2022/23</v>
      </c>
      <c r="C20" t="str">
        <f>'Unformatted Trip Summary'!I18</f>
        <v>Light Vehicle Driver</v>
      </c>
      <c r="D20">
        <f>'Unformatted Trip Summary'!D18</f>
        <v>476</v>
      </c>
      <c r="E20">
        <f>'Unformatted Trip Summary'!E18</f>
        <v>2980</v>
      </c>
      <c r="F20" s="1">
        <f>'Unformatted Trip Summary'!F18</f>
        <v>93.502987924999999</v>
      </c>
      <c r="G20" s="1">
        <f>'Unformatted Trip Summary'!G18</f>
        <v>1105.3844257999999</v>
      </c>
      <c r="H20" s="1">
        <f>'Unformatted Trip Summary'!H18</f>
        <v>25.537103938000001</v>
      </c>
    </row>
    <row r="21" spans="1:8" x14ac:dyDescent="0.2">
      <c r="A21" t="str">
        <f>'Unformatted Trip Summary'!A19</f>
        <v>01 NORTHLAND</v>
      </c>
      <c r="B21" t="str">
        <f>'Unformatted Trip Summary'!J19</f>
        <v>2027/28</v>
      </c>
      <c r="C21" t="str">
        <f>'Unformatted Trip Summary'!I19</f>
        <v>Light Vehicle Driver</v>
      </c>
      <c r="D21">
        <f>'Unformatted Trip Summary'!D19</f>
        <v>476</v>
      </c>
      <c r="E21">
        <f>'Unformatted Trip Summary'!E19</f>
        <v>2980</v>
      </c>
      <c r="F21" s="1">
        <f>'Unformatted Trip Summary'!F19</f>
        <v>97.395297670000005</v>
      </c>
      <c r="G21" s="1">
        <f>'Unformatted Trip Summary'!G19</f>
        <v>1146.9551033</v>
      </c>
      <c r="H21" s="1">
        <f>'Unformatted Trip Summary'!H19</f>
        <v>26.428384068</v>
      </c>
    </row>
    <row r="22" spans="1:8" x14ac:dyDescent="0.2">
      <c r="A22" t="str">
        <f>'Unformatted Trip Summary'!A20</f>
        <v>01 NORTHLAND</v>
      </c>
      <c r="B22" t="str">
        <f>'Unformatted Trip Summary'!J20</f>
        <v>2032/33</v>
      </c>
      <c r="C22" t="str">
        <f>'Unformatted Trip Summary'!I20</f>
        <v>Light Vehicle Driver</v>
      </c>
      <c r="D22">
        <f>'Unformatted Trip Summary'!D20</f>
        <v>476</v>
      </c>
      <c r="E22">
        <f>'Unformatted Trip Summary'!E20</f>
        <v>2980</v>
      </c>
      <c r="F22" s="1">
        <f>'Unformatted Trip Summary'!F20</f>
        <v>100.71381083</v>
      </c>
      <c r="G22" s="1">
        <f>'Unformatted Trip Summary'!G20</f>
        <v>1185.7144410999999</v>
      </c>
      <c r="H22" s="1">
        <f>'Unformatted Trip Summary'!H20</f>
        <v>27.296708428999999</v>
      </c>
    </row>
    <row r="23" spans="1:8" x14ac:dyDescent="0.2">
      <c r="A23" t="str">
        <f>'Unformatted Trip Summary'!A21</f>
        <v>01 NORTHLAND</v>
      </c>
      <c r="B23" t="str">
        <f>'Unformatted Trip Summary'!J21</f>
        <v>2037/38</v>
      </c>
      <c r="C23" t="str">
        <f>'Unformatted Trip Summary'!I21</f>
        <v>Light Vehicle Driver</v>
      </c>
      <c r="D23">
        <f>'Unformatted Trip Summary'!D21</f>
        <v>476</v>
      </c>
      <c r="E23">
        <f>'Unformatted Trip Summary'!E21</f>
        <v>2980</v>
      </c>
      <c r="F23" s="1">
        <f>'Unformatted Trip Summary'!F21</f>
        <v>102.07565332999999</v>
      </c>
      <c r="G23" s="1">
        <f>'Unformatted Trip Summary'!G21</f>
        <v>1208.7882614</v>
      </c>
      <c r="H23" s="1">
        <f>'Unformatted Trip Summary'!H21</f>
        <v>27.810402643</v>
      </c>
    </row>
    <row r="24" spans="1:8" x14ac:dyDescent="0.2">
      <c r="A24" t="str">
        <f>'Unformatted Trip Summary'!A22</f>
        <v>01 NORTHLAND</v>
      </c>
      <c r="B24" t="str">
        <f>'Unformatted Trip Summary'!J22</f>
        <v>2042/43</v>
      </c>
      <c r="C24" t="str">
        <f>'Unformatted Trip Summary'!I22</f>
        <v>Light Vehicle Driver</v>
      </c>
      <c r="D24">
        <f>'Unformatted Trip Summary'!D22</f>
        <v>476</v>
      </c>
      <c r="E24">
        <f>'Unformatted Trip Summary'!E22</f>
        <v>2980</v>
      </c>
      <c r="F24" s="1">
        <f>'Unformatted Trip Summary'!F22</f>
        <v>103.08701818999999</v>
      </c>
      <c r="G24" s="1">
        <f>'Unformatted Trip Summary'!G22</f>
        <v>1226.7759963999999</v>
      </c>
      <c r="H24" s="1">
        <f>'Unformatted Trip Summary'!H22</f>
        <v>28.196575898999999</v>
      </c>
    </row>
    <row r="25" spans="1:8" x14ac:dyDescent="0.2">
      <c r="A25" t="str">
        <f>'Unformatted Trip Summary'!A23</f>
        <v>01 NORTHLAND</v>
      </c>
      <c r="B25" t="str">
        <f>'Unformatted Trip Summary'!J23</f>
        <v>2012/13</v>
      </c>
      <c r="C25" t="str">
        <f>'Unformatted Trip Summary'!I23</f>
        <v>Light Vehicle Passenger</v>
      </c>
      <c r="D25">
        <f>'Unformatted Trip Summary'!D23</f>
        <v>380</v>
      </c>
      <c r="E25">
        <f>'Unformatted Trip Summary'!E23</f>
        <v>1743</v>
      </c>
      <c r="F25" s="1">
        <f>'Unformatted Trip Summary'!F23</f>
        <v>50.299563868</v>
      </c>
      <c r="G25" s="1">
        <f>'Unformatted Trip Summary'!G23</f>
        <v>666.23785996000004</v>
      </c>
      <c r="H25" s="1">
        <f>'Unformatted Trip Summary'!H23</f>
        <v>15.174949781</v>
      </c>
    </row>
    <row r="26" spans="1:8" x14ac:dyDescent="0.2">
      <c r="A26" t="str">
        <f>'Unformatted Trip Summary'!A24</f>
        <v>01 NORTHLAND</v>
      </c>
      <c r="B26" t="str">
        <f>'Unformatted Trip Summary'!J24</f>
        <v>2017/18</v>
      </c>
      <c r="C26" t="str">
        <f>'Unformatted Trip Summary'!I24</f>
        <v>Light Vehicle Passenger</v>
      </c>
      <c r="D26">
        <f>'Unformatted Trip Summary'!D24</f>
        <v>380</v>
      </c>
      <c r="E26">
        <f>'Unformatted Trip Summary'!E24</f>
        <v>1743</v>
      </c>
      <c r="F26" s="1">
        <f>'Unformatted Trip Summary'!F24</f>
        <v>50.294252911000001</v>
      </c>
      <c r="G26" s="1">
        <f>'Unformatted Trip Summary'!G24</f>
        <v>679.52550068999994</v>
      </c>
      <c r="H26" s="1">
        <f>'Unformatted Trip Summary'!H24</f>
        <v>15.404934486</v>
      </c>
    </row>
    <row r="27" spans="1:8" x14ac:dyDescent="0.2">
      <c r="A27" t="str">
        <f>'Unformatted Trip Summary'!A25</f>
        <v>01 NORTHLAND</v>
      </c>
      <c r="B27" t="str">
        <f>'Unformatted Trip Summary'!J25</f>
        <v>2022/23</v>
      </c>
      <c r="C27" t="str">
        <f>'Unformatted Trip Summary'!I25</f>
        <v>Light Vehicle Passenger</v>
      </c>
      <c r="D27">
        <f>'Unformatted Trip Summary'!D25</f>
        <v>380</v>
      </c>
      <c r="E27">
        <f>'Unformatted Trip Summary'!E25</f>
        <v>1743</v>
      </c>
      <c r="F27" s="1">
        <f>'Unformatted Trip Summary'!F25</f>
        <v>50.043539699999997</v>
      </c>
      <c r="G27" s="1">
        <f>'Unformatted Trip Summary'!G25</f>
        <v>685.33432728000002</v>
      </c>
      <c r="H27" s="1">
        <f>'Unformatted Trip Summary'!H25</f>
        <v>15.467226911999999</v>
      </c>
    </row>
    <row r="28" spans="1:8" x14ac:dyDescent="0.2">
      <c r="A28" t="str">
        <f>'Unformatted Trip Summary'!A26</f>
        <v>01 NORTHLAND</v>
      </c>
      <c r="B28" t="str">
        <f>'Unformatted Trip Summary'!J26</f>
        <v>2027/28</v>
      </c>
      <c r="C28" t="str">
        <f>'Unformatted Trip Summary'!I26</f>
        <v>Light Vehicle Passenger</v>
      </c>
      <c r="D28">
        <f>'Unformatted Trip Summary'!D26</f>
        <v>380</v>
      </c>
      <c r="E28">
        <f>'Unformatted Trip Summary'!E26</f>
        <v>1743</v>
      </c>
      <c r="F28" s="1">
        <f>'Unformatted Trip Summary'!F26</f>
        <v>50.358372277000001</v>
      </c>
      <c r="G28" s="1">
        <f>'Unformatted Trip Summary'!G26</f>
        <v>699.07251783000004</v>
      </c>
      <c r="H28" s="1">
        <f>'Unformatted Trip Summary'!H26</f>
        <v>15.657848668</v>
      </c>
    </row>
    <row r="29" spans="1:8" x14ac:dyDescent="0.2">
      <c r="A29" t="str">
        <f>'Unformatted Trip Summary'!A27</f>
        <v>01 NORTHLAND</v>
      </c>
      <c r="B29" t="str">
        <f>'Unformatted Trip Summary'!J27</f>
        <v>2032/33</v>
      </c>
      <c r="C29" t="str">
        <f>'Unformatted Trip Summary'!I27</f>
        <v>Light Vehicle Passenger</v>
      </c>
      <c r="D29">
        <f>'Unformatted Trip Summary'!D27</f>
        <v>380</v>
      </c>
      <c r="E29">
        <f>'Unformatted Trip Summary'!E27</f>
        <v>1743</v>
      </c>
      <c r="F29" s="1">
        <f>'Unformatted Trip Summary'!F27</f>
        <v>50.774381144000003</v>
      </c>
      <c r="G29" s="1">
        <f>'Unformatted Trip Summary'!G27</f>
        <v>708.60279621999996</v>
      </c>
      <c r="H29" s="1">
        <f>'Unformatted Trip Summary'!H27</f>
        <v>15.799028680999999</v>
      </c>
    </row>
    <row r="30" spans="1:8" x14ac:dyDescent="0.2">
      <c r="A30" t="str">
        <f>'Unformatted Trip Summary'!A28</f>
        <v>01 NORTHLAND</v>
      </c>
      <c r="B30" t="str">
        <f>'Unformatted Trip Summary'!J28</f>
        <v>2037/38</v>
      </c>
      <c r="C30" t="str">
        <f>'Unformatted Trip Summary'!I28</f>
        <v>Light Vehicle Passenger</v>
      </c>
      <c r="D30">
        <f>'Unformatted Trip Summary'!D28</f>
        <v>380</v>
      </c>
      <c r="E30">
        <f>'Unformatted Trip Summary'!E28</f>
        <v>1743</v>
      </c>
      <c r="F30" s="1">
        <f>'Unformatted Trip Summary'!F28</f>
        <v>50.467069518999999</v>
      </c>
      <c r="G30" s="1">
        <f>'Unformatted Trip Summary'!G28</f>
        <v>714.65398909999999</v>
      </c>
      <c r="H30" s="1">
        <f>'Unformatted Trip Summary'!H28</f>
        <v>15.822855904000001</v>
      </c>
    </row>
    <row r="31" spans="1:8" x14ac:dyDescent="0.2">
      <c r="A31" t="str">
        <f>'Unformatted Trip Summary'!A29</f>
        <v>01 NORTHLAND</v>
      </c>
      <c r="B31" t="str">
        <f>'Unformatted Trip Summary'!J29</f>
        <v>2042/43</v>
      </c>
      <c r="C31" t="str">
        <f>'Unformatted Trip Summary'!I29</f>
        <v>Light Vehicle Passenger</v>
      </c>
      <c r="D31">
        <f>'Unformatted Trip Summary'!D29</f>
        <v>380</v>
      </c>
      <c r="E31">
        <f>'Unformatted Trip Summary'!E29</f>
        <v>1743</v>
      </c>
      <c r="F31" s="1">
        <f>'Unformatted Trip Summary'!F29</f>
        <v>50.028677604999999</v>
      </c>
      <c r="G31" s="1">
        <f>'Unformatted Trip Summary'!G29</f>
        <v>718.34429895999995</v>
      </c>
      <c r="H31" s="1">
        <f>'Unformatted Trip Summary'!H29</f>
        <v>15.793590046</v>
      </c>
    </row>
    <row r="32" spans="1:8" x14ac:dyDescent="0.2">
      <c r="A32" t="str">
        <f>'Unformatted Trip Summary'!A30</f>
        <v>01 NORTHLAND</v>
      </c>
      <c r="B32" t="str">
        <f>'Unformatted Trip Summary'!J30</f>
        <v>2012/13</v>
      </c>
      <c r="C32" t="str">
        <f>'Unformatted Trip Summary'!I30</f>
        <v>Taxi/Vehicle Share</v>
      </c>
      <c r="D32">
        <f>'Unformatted Trip Summary'!D30</f>
        <v>4</v>
      </c>
      <c r="E32">
        <f>'Unformatted Trip Summary'!E30</f>
        <v>6</v>
      </c>
      <c r="F32" s="1">
        <f>'Unformatted Trip Summary'!F30</f>
        <v>0.18126348840000001</v>
      </c>
      <c r="G32" s="1">
        <f>'Unformatted Trip Summary'!G30</f>
        <v>0.75976041549999995</v>
      </c>
      <c r="H32" s="1">
        <f>'Unformatted Trip Summary'!H30</f>
        <v>2.5131369800000001E-2</v>
      </c>
    </row>
    <row r="33" spans="1:8" x14ac:dyDescent="0.2">
      <c r="A33" t="str">
        <f>'Unformatted Trip Summary'!A31</f>
        <v>01 NORTHLAND</v>
      </c>
      <c r="B33" t="str">
        <f>'Unformatted Trip Summary'!J31</f>
        <v>2017/18</v>
      </c>
      <c r="C33" t="str">
        <f>'Unformatted Trip Summary'!I31</f>
        <v>Taxi/Vehicle Share</v>
      </c>
      <c r="D33">
        <f>'Unformatted Trip Summary'!D31</f>
        <v>4</v>
      </c>
      <c r="E33">
        <f>'Unformatted Trip Summary'!E31</f>
        <v>6</v>
      </c>
      <c r="F33" s="1">
        <f>'Unformatted Trip Summary'!F31</f>
        <v>0.1834144895</v>
      </c>
      <c r="G33" s="1">
        <f>'Unformatted Trip Summary'!G31</f>
        <v>0.78198399110000005</v>
      </c>
      <c r="H33" s="1">
        <f>'Unformatted Trip Summary'!H31</f>
        <v>2.5206432899999999E-2</v>
      </c>
    </row>
    <row r="34" spans="1:8" x14ac:dyDescent="0.2">
      <c r="A34" t="str">
        <f>'Unformatted Trip Summary'!A32</f>
        <v>01 NORTHLAND</v>
      </c>
      <c r="B34" t="str">
        <f>'Unformatted Trip Summary'!J32</f>
        <v>2022/23</v>
      </c>
      <c r="C34" t="str">
        <f>'Unformatted Trip Summary'!I32</f>
        <v>Taxi/Vehicle Share</v>
      </c>
      <c r="D34">
        <f>'Unformatted Trip Summary'!D32</f>
        <v>4</v>
      </c>
      <c r="E34">
        <f>'Unformatted Trip Summary'!E32</f>
        <v>6</v>
      </c>
      <c r="F34" s="1">
        <f>'Unformatted Trip Summary'!F32</f>
        <v>0.1890964852</v>
      </c>
      <c r="G34" s="1">
        <f>'Unformatted Trip Summary'!G32</f>
        <v>0.86476589940000004</v>
      </c>
      <c r="H34" s="1">
        <f>'Unformatted Trip Summary'!H32</f>
        <v>2.65194121E-2</v>
      </c>
    </row>
    <row r="35" spans="1:8" x14ac:dyDescent="0.2">
      <c r="A35" t="str">
        <f>'Unformatted Trip Summary'!A33</f>
        <v>01 NORTHLAND</v>
      </c>
      <c r="B35" t="str">
        <f>'Unformatted Trip Summary'!J33</f>
        <v>2027/28</v>
      </c>
      <c r="C35" t="str">
        <f>'Unformatted Trip Summary'!I33</f>
        <v>Taxi/Vehicle Share</v>
      </c>
      <c r="D35">
        <f>'Unformatted Trip Summary'!D33</f>
        <v>4</v>
      </c>
      <c r="E35">
        <f>'Unformatted Trip Summary'!E33</f>
        <v>6</v>
      </c>
      <c r="F35" s="1">
        <f>'Unformatted Trip Summary'!F33</f>
        <v>0.2019608722</v>
      </c>
      <c r="G35" s="1">
        <f>'Unformatted Trip Summary'!G33</f>
        <v>1.0293937885</v>
      </c>
      <c r="H35" s="1">
        <f>'Unformatted Trip Summary'!H33</f>
        <v>2.95729744E-2</v>
      </c>
    </row>
    <row r="36" spans="1:8" x14ac:dyDescent="0.2">
      <c r="A36" t="str">
        <f>'Unformatted Trip Summary'!A34</f>
        <v>01 NORTHLAND</v>
      </c>
      <c r="B36" t="str">
        <f>'Unformatted Trip Summary'!J34</f>
        <v>2032/33</v>
      </c>
      <c r="C36" t="str">
        <f>'Unformatted Trip Summary'!I34</f>
        <v>Taxi/Vehicle Share</v>
      </c>
      <c r="D36">
        <f>'Unformatted Trip Summary'!D34</f>
        <v>4</v>
      </c>
      <c r="E36">
        <f>'Unformatted Trip Summary'!E34</f>
        <v>6</v>
      </c>
      <c r="F36" s="1">
        <f>'Unformatted Trip Summary'!F34</f>
        <v>0.200151469</v>
      </c>
      <c r="G36" s="1">
        <f>'Unformatted Trip Summary'!G34</f>
        <v>1.1494157753000001</v>
      </c>
      <c r="H36" s="1">
        <f>'Unformatted Trip Summary'!H34</f>
        <v>3.0875840099999999E-2</v>
      </c>
    </row>
    <row r="37" spans="1:8" x14ac:dyDescent="0.2">
      <c r="A37" t="str">
        <f>'Unformatted Trip Summary'!A35</f>
        <v>01 NORTHLAND</v>
      </c>
      <c r="B37" t="str">
        <f>'Unformatted Trip Summary'!J35</f>
        <v>2037/38</v>
      </c>
      <c r="C37" t="str">
        <f>'Unformatted Trip Summary'!I35</f>
        <v>Taxi/Vehicle Share</v>
      </c>
      <c r="D37">
        <f>'Unformatted Trip Summary'!D35</f>
        <v>4</v>
      </c>
      <c r="E37">
        <f>'Unformatted Trip Summary'!E35</f>
        <v>6</v>
      </c>
      <c r="F37" s="1">
        <f>'Unformatted Trip Summary'!F35</f>
        <v>0.19181391510000001</v>
      </c>
      <c r="G37" s="1">
        <f>'Unformatted Trip Summary'!G35</f>
        <v>1.1589046382999999</v>
      </c>
      <c r="H37" s="1">
        <f>'Unformatted Trip Summary'!H35</f>
        <v>3.0098517200000001E-2</v>
      </c>
    </row>
    <row r="38" spans="1:8" x14ac:dyDescent="0.2">
      <c r="A38" t="str">
        <f>'Unformatted Trip Summary'!A36</f>
        <v>01 NORTHLAND</v>
      </c>
      <c r="B38" t="str">
        <f>'Unformatted Trip Summary'!J36</f>
        <v>2042/43</v>
      </c>
      <c r="C38" t="str">
        <f>'Unformatted Trip Summary'!I36</f>
        <v>Taxi/Vehicle Share</v>
      </c>
      <c r="D38">
        <f>'Unformatted Trip Summary'!D36</f>
        <v>4</v>
      </c>
      <c r="E38">
        <f>'Unformatted Trip Summary'!E36</f>
        <v>6</v>
      </c>
      <c r="F38" s="1">
        <f>'Unformatted Trip Summary'!F36</f>
        <v>0.18271819580000001</v>
      </c>
      <c r="G38" s="1">
        <f>'Unformatted Trip Summary'!G36</f>
        <v>1.1584447639</v>
      </c>
      <c r="H38" s="1">
        <f>'Unformatted Trip Summary'!H36</f>
        <v>2.9121961700000001E-2</v>
      </c>
    </row>
    <row r="39" spans="1:8" x14ac:dyDescent="0.2">
      <c r="A39" t="str">
        <f>'Unformatted Trip Summary'!A37</f>
        <v>01 NORTHLAND</v>
      </c>
      <c r="B39" t="str">
        <f>'Unformatted Trip Summary'!J37</f>
        <v>2012/13</v>
      </c>
      <c r="C39" t="str">
        <f>'Unformatted Trip Summary'!I37</f>
        <v>Motorcyclist</v>
      </c>
      <c r="D39">
        <f>'Unformatted Trip Summary'!D37</f>
        <v>5</v>
      </c>
      <c r="E39">
        <f>'Unformatted Trip Summary'!E37</f>
        <v>28</v>
      </c>
      <c r="F39" s="1">
        <f>'Unformatted Trip Summary'!F37</f>
        <v>1.4141085707000001</v>
      </c>
      <c r="G39" s="1">
        <f>'Unformatted Trip Summary'!G37</f>
        <v>9.2423909657000003</v>
      </c>
      <c r="H39" s="1">
        <f>'Unformatted Trip Summary'!H37</f>
        <v>0.28382488960000002</v>
      </c>
    </row>
    <row r="40" spans="1:8" x14ac:dyDescent="0.2">
      <c r="A40" t="str">
        <f>'Unformatted Trip Summary'!A38</f>
        <v>01 NORTHLAND</v>
      </c>
      <c r="B40" t="str">
        <f>'Unformatted Trip Summary'!J38</f>
        <v>2017/18</v>
      </c>
      <c r="C40" t="str">
        <f>'Unformatted Trip Summary'!I38</f>
        <v>Motorcyclist</v>
      </c>
      <c r="D40">
        <f>'Unformatted Trip Summary'!D38</f>
        <v>5</v>
      </c>
      <c r="E40">
        <f>'Unformatted Trip Summary'!E38</f>
        <v>28</v>
      </c>
      <c r="F40" s="1">
        <f>'Unformatted Trip Summary'!F38</f>
        <v>1.4332547929999999</v>
      </c>
      <c r="G40" s="1">
        <f>'Unformatted Trip Summary'!G38</f>
        <v>9.7002967839000007</v>
      </c>
      <c r="H40" s="1">
        <f>'Unformatted Trip Summary'!H38</f>
        <v>0.29572600589999998</v>
      </c>
    </row>
    <row r="41" spans="1:8" x14ac:dyDescent="0.2">
      <c r="A41" t="str">
        <f>'Unformatted Trip Summary'!A39</f>
        <v>01 NORTHLAND</v>
      </c>
      <c r="B41" t="str">
        <f>'Unformatted Trip Summary'!J39</f>
        <v>2022/23</v>
      </c>
      <c r="C41" t="str">
        <f>'Unformatted Trip Summary'!I39</f>
        <v>Motorcyclist</v>
      </c>
      <c r="D41">
        <f>'Unformatted Trip Summary'!D39</f>
        <v>5</v>
      </c>
      <c r="E41">
        <f>'Unformatted Trip Summary'!E39</f>
        <v>28</v>
      </c>
      <c r="F41" s="1">
        <f>'Unformatted Trip Summary'!F39</f>
        <v>1.3872448195</v>
      </c>
      <c r="G41" s="1">
        <f>'Unformatted Trip Summary'!G39</f>
        <v>9.5856546256000001</v>
      </c>
      <c r="H41" s="1">
        <f>'Unformatted Trip Summary'!H39</f>
        <v>0.29168247580000001</v>
      </c>
    </row>
    <row r="42" spans="1:8" x14ac:dyDescent="0.2">
      <c r="A42" t="str">
        <f>'Unformatted Trip Summary'!A40</f>
        <v>01 NORTHLAND</v>
      </c>
      <c r="B42" t="str">
        <f>'Unformatted Trip Summary'!J40</f>
        <v>2027/28</v>
      </c>
      <c r="C42" t="str">
        <f>'Unformatted Trip Summary'!I40</f>
        <v>Motorcyclist</v>
      </c>
      <c r="D42">
        <f>'Unformatted Trip Summary'!D40</f>
        <v>5</v>
      </c>
      <c r="E42">
        <f>'Unformatted Trip Summary'!E40</f>
        <v>28</v>
      </c>
      <c r="F42" s="1">
        <f>'Unformatted Trip Summary'!F40</f>
        <v>1.316323508</v>
      </c>
      <c r="G42" s="1">
        <f>'Unformatted Trip Summary'!G40</f>
        <v>9.4499772945</v>
      </c>
      <c r="H42" s="1">
        <f>'Unformatted Trip Summary'!H40</f>
        <v>0.2839886566</v>
      </c>
    </row>
    <row r="43" spans="1:8" x14ac:dyDescent="0.2">
      <c r="A43" t="str">
        <f>'Unformatted Trip Summary'!A41</f>
        <v>01 NORTHLAND</v>
      </c>
      <c r="B43" t="str">
        <f>'Unformatted Trip Summary'!J41</f>
        <v>2032/33</v>
      </c>
      <c r="C43" t="str">
        <f>'Unformatted Trip Summary'!I41</f>
        <v>Motorcyclist</v>
      </c>
      <c r="D43">
        <f>'Unformatted Trip Summary'!D41</f>
        <v>5</v>
      </c>
      <c r="E43">
        <f>'Unformatted Trip Summary'!E41</f>
        <v>28</v>
      </c>
      <c r="F43" s="1">
        <f>'Unformatted Trip Summary'!F41</f>
        <v>1.3004489078000001</v>
      </c>
      <c r="G43" s="1">
        <f>'Unformatted Trip Summary'!G41</f>
        <v>9.4937218836999993</v>
      </c>
      <c r="H43" s="1">
        <f>'Unformatted Trip Summary'!H41</f>
        <v>0.28305456089999997</v>
      </c>
    </row>
    <row r="44" spans="1:8" x14ac:dyDescent="0.2">
      <c r="A44" t="str">
        <f>'Unformatted Trip Summary'!A42</f>
        <v>01 NORTHLAND</v>
      </c>
      <c r="B44" t="str">
        <f>'Unformatted Trip Summary'!J42</f>
        <v>2037/38</v>
      </c>
      <c r="C44" t="str">
        <f>'Unformatted Trip Summary'!I42</f>
        <v>Motorcyclist</v>
      </c>
      <c r="D44">
        <f>'Unformatted Trip Summary'!D42</f>
        <v>5</v>
      </c>
      <c r="E44">
        <f>'Unformatted Trip Summary'!E42</f>
        <v>28</v>
      </c>
      <c r="F44" s="1">
        <f>'Unformatted Trip Summary'!F42</f>
        <v>1.328254144</v>
      </c>
      <c r="G44" s="1">
        <f>'Unformatted Trip Summary'!G42</f>
        <v>9.7473099071</v>
      </c>
      <c r="H44" s="1">
        <f>'Unformatted Trip Summary'!H42</f>
        <v>0.28946466040000002</v>
      </c>
    </row>
    <row r="45" spans="1:8" x14ac:dyDescent="0.2">
      <c r="A45" t="str">
        <f>'Unformatted Trip Summary'!A43</f>
        <v>01 NORTHLAND</v>
      </c>
      <c r="B45" t="str">
        <f>'Unformatted Trip Summary'!J43</f>
        <v>2042/43</v>
      </c>
      <c r="C45" t="str">
        <f>'Unformatted Trip Summary'!I43</f>
        <v>Motorcyclist</v>
      </c>
      <c r="D45">
        <f>'Unformatted Trip Summary'!D43</f>
        <v>5</v>
      </c>
      <c r="E45">
        <f>'Unformatted Trip Summary'!E43</f>
        <v>28</v>
      </c>
      <c r="F45" s="1">
        <f>'Unformatted Trip Summary'!F43</f>
        <v>1.3387908873000001</v>
      </c>
      <c r="G45" s="1">
        <f>'Unformatted Trip Summary'!G43</f>
        <v>9.8358111036999993</v>
      </c>
      <c r="H45" s="1">
        <f>'Unformatted Trip Summary'!H43</f>
        <v>0.2917350132</v>
      </c>
    </row>
    <row r="46" spans="1:8" x14ac:dyDescent="0.2">
      <c r="A46" t="str">
        <f>'Unformatted Trip Summary'!A44</f>
        <v>01 NORTHLAND</v>
      </c>
      <c r="B46" t="str">
        <f>'Unformatted Trip Summary'!J44</f>
        <v>2012/13</v>
      </c>
      <c r="C46" t="str">
        <f>'Unformatted Trip Summary'!I44</f>
        <v>Local Bus</v>
      </c>
      <c r="D46">
        <f>'Unformatted Trip Summary'!D44</f>
        <v>50</v>
      </c>
      <c r="E46">
        <f>'Unformatted Trip Summary'!E44</f>
        <v>135</v>
      </c>
      <c r="F46" s="1">
        <f>'Unformatted Trip Summary'!F44</f>
        <v>3.6339219343</v>
      </c>
      <c r="G46" s="1">
        <f>'Unformatted Trip Summary'!G44</f>
        <v>44.734594063999999</v>
      </c>
      <c r="H46" s="1">
        <f>'Unformatted Trip Summary'!H44</f>
        <v>1.5691203781</v>
      </c>
    </row>
    <row r="47" spans="1:8" x14ac:dyDescent="0.2">
      <c r="A47" t="str">
        <f>'Unformatted Trip Summary'!A45</f>
        <v>01 NORTHLAND</v>
      </c>
      <c r="B47" t="str">
        <f>'Unformatted Trip Summary'!J45</f>
        <v>2017/18</v>
      </c>
      <c r="C47" t="str">
        <f>'Unformatted Trip Summary'!I45</f>
        <v>Local Bus</v>
      </c>
      <c r="D47">
        <f>'Unformatted Trip Summary'!D45</f>
        <v>50</v>
      </c>
      <c r="E47">
        <f>'Unformatted Trip Summary'!E45</f>
        <v>135</v>
      </c>
      <c r="F47" s="1">
        <f>'Unformatted Trip Summary'!F45</f>
        <v>3.310483209</v>
      </c>
      <c r="G47" s="1">
        <f>'Unformatted Trip Summary'!G45</f>
        <v>39.941067166000003</v>
      </c>
      <c r="H47" s="1">
        <f>'Unformatted Trip Summary'!H45</f>
        <v>1.4279936769999999</v>
      </c>
    </row>
    <row r="48" spans="1:8" x14ac:dyDescent="0.2">
      <c r="A48" t="str">
        <f>'Unformatted Trip Summary'!A46</f>
        <v>01 NORTHLAND</v>
      </c>
      <c r="B48" t="str">
        <f>'Unformatted Trip Summary'!J46</f>
        <v>2022/23</v>
      </c>
      <c r="C48" t="str">
        <f>'Unformatted Trip Summary'!I46</f>
        <v>Local Bus</v>
      </c>
      <c r="D48">
        <f>'Unformatted Trip Summary'!D46</f>
        <v>50</v>
      </c>
      <c r="E48">
        <f>'Unformatted Trip Summary'!E46</f>
        <v>135</v>
      </c>
      <c r="F48" s="1">
        <f>'Unformatted Trip Summary'!F46</f>
        <v>3.1063782566999998</v>
      </c>
      <c r="G48" s="1">
        <f>'Unformatted Trip Summary'!G46</f>
        <v>37.020023074000001</v>
      </c>
      <c r="H48" s="1">
        <f>'Unformatted Trip Summary'!H46</f>
        <v>1.3358259884000001</v>
      </c>
    </row>
    <row r="49" spans="1:8" x14ac:dyDescent="0.2">
      <c r="A49" t="str">
        <f>'Unformatted Trip Summary'!A47</f>
        <v>01 NORTHLAND</v>
      </c>
      <c r="B49" t="str">
        <f>'Unformatted Trip Summary'!J47</f>
        <v>2027/28</v>
      </c>
      <c r="C49" t="str">
        <f>'Unformatted Trip Summary'!I47</f>
        <v>Local Bus</v>
      </c>
      <c r="D49">
        <f>'Unformatted Trip Summary'!D47</f>
        <v>50</v>
      </c>
      <c r="E49">
        <f>'Unformatted Trip Summary'!E47</f>
        <v>135</v>
      </c>
      <c r="F49" s="1">
        <f>'Unformatted Trip Summary'!F47</f>
        <v>2.9265171552</v>
      </c>
      <c r="G49" s="1">
        <f>'Unformatted Trip Summary'!G47</f>
        <v>35.153467608</v>
      </c>
      <c r="H49" s="1">
        <f>'Unformatted Trip Summary'!H47</f>
        <v>1.2512532846</v>
      </c>
    </row>
    <row r="50" spans="1:8" x14ac:dyDescent="0.2">
      <c r="A50" t="str">
        <f>'Unformatted Trip Summary'!A48</f>
        <v>01 NORTHLAND</v>
      </c>
      <c r="B50" t="str">
        <f>'Unformatted Trip Summary'!J48</f>
        <v>2032/33</v>
      </c>
      <c r="C50" t="str">
        <f>'Unformatted Trip Summary'!I48</f>
        <v>Local Bus</v>
      </c>
      <c r="D50">
        <f>'Unformatted Trip Summary'!D48</f>
        <v>50</v>
      </c>
      <c r="E50">
        <f>'Unformatted Trip Summary'!E48</f>
        <v>135</v>
      </c>
      <c r="F50" s="1">
        <f>'Unformatted Trip Summary'!F48</f>
        <v>2.7482612411999998</v>
      </c>
      <c r="G50" s="1">
        <f>'Unformatted Trip Summary'!G48</f>
        <v>33.119119822000002</v>
      </c>
      <c r="H50" s="1">
        <f>'Unformatted Trip Summary'!H48</f>
        <v>1.1680337102</v>
      </c>
    </row>
    <row r="51" spans="1:8" x14ac:dyDescent="0.2">
      <c r="A51" t="str">
        <f>'Unformatted Trip Summary'!A49</f>
        <v>01 NORTHLAND</v>
      </c>
      <c r="B51" t="str">
        <f>'Unformatted Trip Summary'!J49</f>
        <v>2037/38</v>
      </c>
      <c r="C51" t="str">
        <f>'Unformatted Trip Summary'!I49</f>
        <v>Local Bus</v>
      </c>
      <c r="D51">
        <f>'Unformatted Trip Summary'!D49</f>
        <v>50</v>
      </c>
      <c r="E51">
        <f>'Unformatted Trip Summary'!E49</f>
        <v>135</v>
      </c>
      <c r="F51" s="1">
        <f>'Unformatted Trip Summary'!F49</f>
        <v>2.5839824382000001</v>
      </c>
      <c r="G51" s="1">
        <f>'Unformatted Trip Summary'!G49</f>
        <v>31.470100347999999</v>
      </c>
      <c r="H51" s="1">
        <f>'Unformatted Trip Summary'!H49</f>
        <v>1.0951688941</v>
      </c>
    </row>
    <row r="52" spans="1:8" x14ac:dyDescent="0.2">
      <c r="A52" t="str">
        <f>'Unformatted Trip Summary'!A50</f>
        <v>01 NORTHLAND</v>
      </c>
      <c r="B52" t="str">
        <f>'Unformatted Trip Summary'!J50</f>
        <v>2042/43</v>
      </c>
      <c r="C52" t="str">
        <f>'Unformatted Trip Summary'!I50</f>
        <v>Local Bus</v>
      </c>
      <c r="D52">
        <f>'Unformatted Trip Summary'!D50</f>
        <v>50</v>
      </c>
      <c r="E52">
        <f>'Unformatted Trip Summary'!E50</f>
        <v>135</v>
      </c>
      <c r="F52" s="1">
        <f>'Unformatted Trip Summary'!F50</f>
        <v>2.4115093731999999</v>
      </c>
      <c r="G52" s="1">
        <f>'Unformatted Trip Summary'!G50</f>
        <v>29.699513847999999</v>
      </c>
      <c r="H52" s="1">
        <f>'Unformatted Trip Summary'!H50</f>
        <v>1.0189326635</v>
      </c>
    </row>
    <row r="53" spans="1:8" x14ac:dyDescent="0.2">
      <c r="A53" t="str">
        <f>'Unformatted Trip Summary'!A51</f>
        <v>01 NORTHLAND</v>
      </c>
      <c r="B53" t="str">
        <f>'Unformatted Trip Summary'!J51</f>
        <v>2012/13</v>
      </c>
      <c r="C53" t="str">
        <f>'Unformatted Trip Summary'!I51</f>
        <v>Local Ferry</v>
      </c>
      <c r="D53">
        <f>'Unformatted Trip Summary'!D51</f>
        <v>2</v>
      </c>
      <c r="E53">
        <f>'Unformatted Trip Summary'!E51</f>
        <v>3</v>
      </c>
      <c r="F53" s="1">
        <f>'Unformatted Trip Summary'!F51</f>
        <v>4.69171767E-2</v>
      </c>
      <c r="G53" s="1">
        <f>'Unformatted Trip Summary'!G51</f>
        <v>0</v>
      </c>
      <c r="H53" s="1">
        <f>'Unformatted Trip Summary'!H51</f>
        <v>1.43058123E-2</v>
      </c>
    </row>
    <row r="54" spans="1:8" x14ac:dyDescent="0.2">
      <c r="A54" t="str">
        <f>'Unformatted Trip Summary'!A52</f>
        <v>01 NORTHLAND</v>
      </c>
      <c r="B54" t="str">
        <f>'Unformatted Trip Summary'!J52</f>
        <v>2017/18</v>
      </c>
      <c r="C54" t="str">
        <f>'Unformatted Trip Summary'!I52</f>
        <v>Local Ferry</v>
      </c>
      <c r="D54">
        <f>'Unformatted Trip Summary'!D52</f>
        <v>2</v>
      </c>
      <c r="E54">
        <f>'Unformatted Trip Summary'!E52</f>
        <v>3</v>
      </c>
      <c r="F54" s="1">
        <f>'Unformatted Trip Summary'!F52</f>
        <v>5.1946996199999998E-2</v>
      </c>
      <c r="G54" s="1">
        <f>'Unformatted Trip Summary'!G52</f>
        <v>0</v>
      </c>
      <c r="H54" s="1">
        <f>'Unformatted Trip Summary'!H52</f>
        <v>1.49288728E-2</v>
      </c>
    </row>
    <row r="55" spans="1:8" x14ac:dyDescent="0.2">
      <c r="A55" t="str">
        <f>'Unformatted Trip Summary'!A53</f>
        <v>01 NORTHLAND</v>
      </c>
      <c r="B55" t="str">
        <f>'Unformatted Trip Summary'!J53</f>
        <v>2022/23</v>
      </c>
      <c r="C55" t="str">
        <f>'Unformatted Trip Summary'!I53</f>
        <v>Local Ferry</v>
      </c>
      <c r="D55">
        <f>'Unformatted Trip Summary'!D53</f>
        <v>2</v>
      </c>
      <c r="E55">
        <f>'Unformatted Trip Summary'!E53</f>
        <v>3</v>
      </c>
      <c r="F55" s="1">
        <f>'Unformatted Trip Summary'!F53</f>
        <v>5.3720908099999999E-2</v>
      </c>
      <c r="G55" s="1">
        <f>'Unformatted Trip Summary'!G53</f>
        <v>0</v>
      </c>
      <c r="H55" s="1">
        <f>'Unformatted Trip Summary'!H53</f>
        <v>1.47405991E-2</v>
      </c>
    </row>
    <row r="56" spans="1:8" x14ac:dyDescent="0.2">
      <c r="A56" t="str">
        <f>'Unformatted Trip Summary'!A54</f>
        <v>01 NORTHLAND</v>
      </c>
      <c r="B56" t="str">
        <f>'Unformatted Trip Summary'!J54</f>
        <v>2027/28</v>
      </c>
      <c r="C56" t="str">
        <f>'Unformatted Trip Summary'!I54</f>
        <v>Local Ferry</v>
      </c>
      <c r="D56">
        <f>'Unformatted Trip Summary'!D54</f>
        <v>2</v>
      </c>
      <c r="E56">
        <f>'Unformatted Trip Summary'!E54</f>
        <v>3</v>
      </c>
      <c r="F56" s="1">
        <f>'Unformatted Trip Summary'!F54</f>
        <v>5.6809892600000002E-2</v>
      </c>
      <c r="G56" s="1">
        <f>'Unformatted Trip Summary'!G54</f>
        <v>0</v>
      </c>
      <c r="H56" s="1">
        <f>'Unformatted Trip Summary'!H54</f>
        <v>1.4722521800000001E-2</v>
      </c>
    </row>
    <row r="57" spans="1:8" x14ac:dyDescent="0.2">
      <c r="A57" t="str">
        <f>'Unformatted Trip Summary'!A55</f>
        <v>01 NORTHLAND</v>
      </c>
      <c r="B57" t="str">
        <f>'Unformatted Trip Summary'!J55</f>
        <v>2032/33</v>
      </c>
      <c r="C57" t="str">
        <f>'Unformatted Trip Summary'!I55</f>
        <v>Local Ferry</v>
      </c>
      <c r="D57">
        <f>'Unformatted Trip Summary'!D55</f>
        <v>2</v>
      </c>
      <c r="E57">
        <f>'Unformatted Trip Summary'!E55</f>
        <v>3</v>
      </c>
      <c r="F57" s="1">
        <f>'Unformatted Trip Summary'!F55</f>
        <v>5.6740333599999998E-2</v>
      </c>
      <c r="G57" s="1">
        <f>'Unformatted Trip Summary'!G55</f>
        <v>0</v>
      </c>
      <c r="H57" s="1">
        <f>'Unformatted Trip Summary'!H55</f>
        <v>1.4104986200000001E-2</v>
      </c>
    </row>
    <row r="58" spans="1:8" x14ac:dyDescent="0.2">
      <c r="A58" t="str">
        <f>'Unformatted Trip Summary'!A56</f>
        <v>01 NORTHLAND</v>
      </c>
      <c r="B58" t="str">
        <f>'Unformatted Trip Summary'!J56</f>
        <v>2037/38</v>
      </c>
      <c r="C58" t="str">
        <f>'Unformatted Trip Summary'!I56</f>
        <v>Local Ferry</v>
      </c>
      <c r="D58">
        <f>'Unformatted Trip Summary'!D56</f>
        <v>2</v>
      </c>
      <c r="E58">
        <f>'Unformatted Trip Summary'!E56</f>
        <v>3</v>
      </c>
      <c r="F58" s="1">
        <f>'Unformatted Trip Summary'!F56</f>
        <v>5.3961887100000001E-2</v>
      </c>
      <c r="G58" s="1">
        <f>'Unformatted Trip Summary'!G56</f>
        <v>0</v>
      </c>
      <c r="H58" s="1">
        <f>'Unformatted Trip Summary'!H56</f>
        <v>1.30236156E-2</v>
      </c>
    </row>
    <row r="59" spans="1:8" x14ac:dyDescent="0.2">
      <c r="A59" t="str">
        <f>'Unformatted Trip Summary'!A57</f>
        <v>01 NORTHLAND</v>
      </c>
      <c r="B59" t="str">
        <f>'Unformatted Trip Summary'!J57</f>
        <v>2042/43</v>
      </c>
      <c r="C59" t="str">
        <f>'Unformatted Trip Summary'!I57</f>
        <v>Local Ferry</v>
      </c>
      <c r="D59">
        <f>'Unformatted Trip Summary'!D57</f>
        <v>2</v>
      </c>
      <c r="E59">
        <f>'Unformatted Trip Summary'!E57</f>
        <v>3</v>
      </c>
      <c r="F59" s="1">
        <f>'Unformatted Trip Summary'!F57</f>
        <v>5.0894163399999998E-2</v>
      </c>
      <c r="G59" s="1">
        <f>'Unformatted Trip Summary'!G57</f>
        <v>0</v>
      </c>
      <c r="H59" s="1">
        <f>'Unformatted Trip Summary'!H57</f>
        <v>1.19629123E-2</v>
      </c>
    </row>
    <row r="60" spans="1:8" x14ac:dyDescent="0.2">
      <c r="A60" t="str">
        <f>'Unformatted Trip Summary'!A58</f>
        <v>01 NORTHLAND</v>
      </c>
      <c r="B60" t="str">
        <f>'Unformatted Trip Summary'!J58</f>
        <v>2012/13</v>
      </c>
      <c r="C60" t="str">
        <f>'Unformatted Trip Summary'!I58</f>
        <v>Other Household Travel</v>
      </c>
      <c r="D60">
        <f>'Unformatted Trip Summary'!D58</f>
        <v>2</v>
      </c>
      <c r="E60">
        <f>'Unformatted Trip Summary'!E58</f>
        <v>3</v>
      </c>
      <c r="F60" s="1">
        <f>'Unformatted Trip Summary'!F58</f>
        <v>0.1184310407</v>
      </c>
      <c r="G60" s="1">
        <f>'Unformatted Trip Summary'!G58</f>
        <v>0</v>
      </c>
      <c r="H60" s="1">
        <f>'Unformatted Trip Summary'!H58</f>
        <v>0</v>
      </c>
    </row>
    <row r="61" spans="1:8" x14ac:dyDescent="0.2">
      <c r="A61" t="str">
        <f>'Unformatted Trip Summary'!A59</f>
        <v>01 NORTHLAND</v>
      </c>
      <c r="B61" t="str">
        <f>'Unformatted Trip Summary'!J59</f>
        <v>2017/18</v>
      </c>
      <c r="C61" t="str">
        <f>'Unformatted Trip Summary'!I59</f>
        <v>Other Household Travel</v>
      </c>
      <c r="D61">
        <f>'Unformatted Trip Summary'!D59</f>
        <v>2</v>
      </c>
      <c r="E61">
        <f>'Unformatted Trip Summary'!E59</f>
        <v>3</v>
      </c>
      <c r="F61" s="1">
        <f>'Unformatted Trip Summary'!F59</f>
        <v>0.12676171920000001</v>
      </c>
      <c r="G61" s="1">
        <f>'Unformatted Trip Summary'!G59</f>
        <v>0</v>
      </c>
      <c r="H61" s="1">
        <f>'Unformatted Trip Summary'!H59</f>
        <v>0</v>
      </c>
    </row>
    <row r="62" spans="1:8" x14ac:dyDescent="0.2">
      <c r="A62" t="str">
        <f>'Unformatted Trip Summary'!A60</f>
        <v>01 NORTHLAND</v>
      </c>
      <c r="B62" t="str">
        <f>'Unformatted Trip Summary'!J60</f>
        <v>2022/23</v>
      </c>
      <c r="C62" t="str">
        <f>'Unformatted Trip Summary'!I60</f>
        <v>Other Household Travel</v>
      </c>
      <c r="D62">
        <f>'Unformatted Trip Summary'!D60</f>
        <v>2</v>
      </c>
      <c r="E62">
        <f>'Unformatted Trip Summary'!E60</f>
        <v>3</v>
      </c>
      <c r="F62" s="1">
        <f>'Unformatted Trip Summary'!F60</f>
        <v>0.1266621684</v>
      </c>
      <c r="G62" s="1">
        <f>'Unformatted Trip Summary'!G60</f>
        <v>0</v>
      </c>
      <c r="H62" s="1">
        <f>'Unformatted Trip Summary'!H60</f>
        <v>0</v>
      </c>
    </row>
    <row r="63" spans="1:8" x14ac:dyDescent="0.2">
      <c r="A63" t="str">
        <f>'Unformatted Trip Summary'!A61</f>
        <v>01 NORTHLAND</v>
      </c>
      <c r="B63" t="str">
        <f>'Unformatted Trip Summary'!J61</f>
        <v>2027/28</v>
      </c>
      <c r="C63" t="str">
        <f>'Unformatted Trip Summary'!I61</f>
        <v>Other Household Travel</v>
      </c>
      <c r="D63">
        <f>'Unformatted Trip Summary'!D61</f>
        <v>2</v>
      </c>
      <c r="E63">
        <f>'Unformatted Trip Summary'!E61</f>
        <v>3</v>
      </c>
      <c r="F63" s="1">
        <f>'Unformatted Trip Summary'!F61</f>
        <v>0.12554221930000001</v>
      </c>
      <c r="G63" s="1">
        <f>'Unformatted Trip Summary'!G61</f>
        <v>0</v>
      </c>
      <c r="H63" s="1">
        <f>'Unformatted Trip Summary'!H61</f>
        <v>0</v>
      </c>
    </row>
    <row r="64" spans="1:8" x14ac:dyDescent="0.2">
      <c r="A64" t="str">
        <f>'Unformatted Trip Summary'!A62</f>
        <v>01 NORTHLAND</v>
      </c>
      <c r="B64" t="str">
        <f>'Unformatted Trip Summary'!J62</f>
        <v>2032/33</v>
      </c>
      <c r="C64" t="str">
        <f>'Unformatted Trip Summary'!I62</f>
        <v>Other Household Travel</v>
      </c>
      <c r="D64">
        <f>'Unformatted Trip Summary'!D62</f>
        <v>2</v>
      </c>
      <c r="E64">
        <f>'Unformatted Trip Summary'!E62</f>
        <v>3</v>
      </c>
      <c r="F64" s="1">
        <f>'Unformatted Trip Summary'!F62</f>
        <v>0.1234636118</v>
      </c>
      <c r="G64" s="1">
        <f>'Unformatted Trip Summary'!G62</f>
        <v>0</v>
      </c>
      <c r="H64" s="1">
        <f>'Unformatted Trip Summary'!H62</f>
        <v>0</v>
      </c>
    </row>
    <row r="65" spans="1:8" x14ac:dyDescent="0.2">
      <c r="A65" t="str">
        <f>'Unformatted Trip Summary'!A63</f>
        <v>01 NORTHLAND</v>
      </c>
      <c r="B65" t="str">
        <f>'Unformatted Trip Summary'!J63</f>
        <v>2037/38</v>
      </c>
      <c r="C65" t="str">
        <f>'Unformatted Trip Summary'!I63</f>
        <v>Other Household Travel</v>
      </c>
      <c r="D65">
        <f>'Unformatted Trip Summary'!D63</f>
        <v>2</v>
      </c>
      <c r="E65">
        <f>'Unformatted Trip Summary'!E63</f>
        <v>3</v>
      </c>
      <c r="F65" s="1">
        <f>'Unformatted Trip Summary'!F63</f>
        <v>0.1206569901</v>
      </c>
      <c r="G65" s="1">
        <f>'Unformatted Trip Summary'!G63</f>
        <v>0</v>
      </c>
      <c r="H65" s="1">
        <f>'Unformatted Trip Summary'!H63</f>
        <v>0</v>
      </c>
    </row>
    <row r="66" spans="1:8" x14ac:dyDescent="0.2">
      <c r="A66" t="str">
        <f>'Unformatted Trip Summary'!A64</f>
        <v>01 NORTHLAND</v>
      </c>
      <c r="B66" t="str">
        <f>'Unformatted Trip Summary'!J64</f>
        <v>2042/43</v>
      </c>
      <c r="C66" t="str">
        <f>'Unformatted Trip Summary'!I64</f>
        <v>Other Household Travel</v>
      </c>
      <c r="D66">
        <f>'Unformatted Trip Summary'!D64</f>
        <v>2</v>
      </c>
      <c r="E66">
        <f>'Unformatted Trip Summary'!E64</f>
        <v>3</v>
      </c>
      <c r="F66" s="1">
        <f>'Unformatted Trip Summary'!F64</f>
        <v>0.11669127379999999</v>
      </c>
      <c r="G66" s="1">
        <f>'Unformatted Trip Summary'!G64</f>
        <v>0</v>
      </c>
      <c r="H66" s="1">
        <f>'Unformatted Trip Summary'!H64</f>
        <v>0</v>
      </c>
    </row>
    <row r="67" spans="1:8" x14ac:dyDescent="0.2">
      <c r="A67" t="str">
        <f>'Unformatted Trip Summary'!A65</f>
        <v>01 NORTHLAND</v>
      </c>
      <c r="B67" t="str">
        <f>'Unformatted Trip Summary'!J65</f>
        <v>2012/13</v>
      </c>
      <c r="C67" t="str">
        <f>'Unformatted Trip Summary'!I65</f>
        <v>Air/Non-Local PT</v>
      </c>
      <c r="D67">
        <f>'Unformatted Trip Summary'!D65</f>
        <v>5</v>
      </c>
      <c r="E67">
        <f>'Unformatted Trip Summary'!E65</f>
        <v>8</v>
      </c>
      <c r="F67" s="1">
        <f>'Unformatted Trip Summary'!F65</f>
        <v>0.226285661</v>
      </c>
      <c r="G67" s="1">
        <f>'Unformatted Trip Summary'!G65</f>
        <v>0</v>
      </c>
      <c r="H67" s="1">
        <f>'Unformatted Trip Summary'!H65</f>
        <v>0.25491621720000002</v>
      </c>
    </row>
    <row r="68" spans="1:8" x14ac:dyDescent="0.2">
      <c r="A68" t="str">
        <f>'Unformatted Trip Summary'!A66</f>
        <v>01 NORTHLAND</v>
      </c>
      <c r="B68" t="str">
        <f>'Unformatted Trip Summary'!J66</f>
        <v>2017/18</v>
      </c>
      <c r="C68" t="str">
        <f>'Unformatted Trip Summary'!I66</f>
        <v>Air/Non-Local PT</v>
      </c>
      <c r="D68">
        <f>'Unformatted Trip Summary'!D66</f>
        <v>5</v>
      </c>
      <c r="E68">
        <f>'Unformatted Trip Summary'!E66</f>
        <v>8</v>
      </c>
      <c r="F68" s="1">
        <f>'Unformatted Trip Summary'!F66</f>
        <v>0.2482538118</v>
      </c>
      <c r="G68" s="1">
        <f>'Unformatted Trip Summary'!G66</f>
        <v>0</v>
      </c>
      <c r="H68" s="1">
        <f>'Unformatted Trip Summary'!H66</f>
        <v>0.291929834</v>
      </c>
    </row>
    <row r="69" spans="1:8" x14ac:dyDescent="0.2">
      <c r="A69" t="str">
        <f>'Unformatted Trip Summary'!A67</f>
        <v>01 NORTHLAND</v>
      </c>
      <c r="B69" t="str">
        <f>'Unformatted Trip Summary'!J67</f>
        <v>2022/23</v>
      </c>
      <c r="C69" t="str">
        <f>'Unformatted Trip Summary'!I67</f>
        <v>Air/Non-Local PT</v>
      </c>
      <c r="D69">
        <f>'Unformatted Trip Summary'!D67</f>
        <v>5</v>
      </c>
      <c r="E69">
        <f>'Unformatted Trip Summary'!E67</f>
        <v>8</v>
      </c>
      <c r="F69" s="1">
        <f>'Unformatted Trip Summary'!F67</f>
        <v>0.27348784329999998</v>
      </c>
      <c r="G69" s="1">
        <f>'Unformatted Trip Summary'!G67</f>
        <v>0</v>
      </c>
      <c r="H69" s="1">
        <f>'Unformatted Trip Summary'!H67</f>
        <v>0.32459716770000002</v>
      </c>
    </row>
    <row r="70" spans="1:8" x14ac:dyDescent="0.2">
      <c r="A70" t="str">
        <f>'Unformatted Trip Summary'!A68</f>
        <v>01 NORTHLAND</v>
      </c>
      <c r="B70" t="str">
        <f>'Unformatted Trip Summary'!J68</f>
        <v>2027/28</v>
      </c>
      <c r="C70" t="str">
        <f>'Unformatted Trip Summary'!I68</f>
        <v>Air/Non-Local PT</v>
      </c>
      <c r="D70">
        <f>'Unformatted Trip Summary'!D68</f>
        <v>5</v>
      </c>
      <c r="E70">
        <f>'Unformatted Trip Summary'!E68</f>
        <v>8</v>
      </c>
      <c r="F70" s="1">
        <f>'Unformatted Trip Summary'!F68</f>
        <v>0.31843596190000001</v>
      </c>
      <c r="G70" s="1">
        <f>'Unformatted Trip Summary'!G68</f>
        <v>0</v>
      </c>
      <c r="H70" s="1">
        <f>'Unformatted Trip Summary'!H68</f>
        <v>0.37769996519999999</v>
      </c>
    </row>
    <row r="71" spans="1:8" x14ac:dyDescent="0.2">
      <c r="A71" t="str">
        <f>'Unformatted Trip Summary'!A69</f>
        <v>01 NORTHLAND</v>
      </c>
      <c r="B71" t="str">
        <f>'Unformatted Trip Summary'!J69</f>
        <v>2032/33</v>
      </c>
      <c r="C71" t="str">
        <f>'Unformatted Trip Summary'!I69</f>
        <v>Air/Non-Local PT</v>
      </c>
      <c r="D71">
        <f>'Unformatted Trip Summary'!D69</f>
        <v>5</v>
      </c>
      <c r="E71">
        <f>'Unformatted Trip Summary'!E69</f>
        <v>8</v>
      </c>
      <c r="F71" s="1">
        <f>'Unformatted Trip Summary'!F69</f>
        <v>0.34610509639999998</v>
      </c>
      <c r="G71" s="1">
        <f>'Unformatted Trip Summary'!G69</f>
        <v>0</v>
      </c>
      <c r="H71" s="1">
        <f>'Unformatted Trip Summary'!H69</f>
        <v>0.40879713270000001</v>
      </c>
    </row>
    <row r="72" spans="1:8" x14ac:dyDescent="0.2">
      <c r="A72" t="str">
        <f>'Unformatted Trip Summary'!A70</f>
        <v>01 NORTHLAND</v>
      </c>
      <c r="B72" t="str">
        <f>'Unformatted Trip Summary'!J70</f>
        <v>2037/38</v>
      </c>
      <c r="C72" t="str">
        <f>'Unformatted Trip Summary'!I70</f>
        <v>Air/Non-Local PT</v>
      </c>
      <c r="D72">
        <f>'Unformatted Trip Summary'!D70</f>
        <v>5</v>
      </c>
      <c r="E72">
        <f>'Unformatted Trip Summary'!E70</f>
        <v>8</v>
      </c>
      <c r="F72" s="1">
        <f>'Unformatted Trip Summary'!F70</f>
        <v>0.34472573200000001</v>
      </c>
      <c r="G72" s="1">
        <f>'Unformatted Trip Summary'!G70</f>
        <v>0</v>
      </c>
      <c r="H72" s="1">
        <f>'Unformatted Trip Summary'!H70</f>
        <v>0.4085259336</v>
      </c>
    </row>
    <row r="73" spans="1:8" x14ac:dyDescent="0.2">
      <c r="A73" t="str">
        <f>'Unformatted Trip Summary'!A71</f>
        <v>01 NORTHLAND</v>
      </c>
      <c r="B73" t="str">
        <f>'Unformatted Trip Summary'!J71</f>
        <v>2042/43</v>
      </c>
      <c r="C73" t="str">
        <f>'Unformatted Trip Summary'!I71</f>
        <v>Air/Non-Local PT</v>
      </c>
      <c r="D73">
        <f>'Unformatted Trip Summary'!D71</f>
        <v>5</v>
      </c>
      <c r="E73">
        <f>'Unformatted Trip Summary'!E71</f>
        <v>8</v>
      </c>
      <c r="F73" s="1">
        <f>'Unformatted Trip Summary'!F71</f>
        <v>0.3394369921</v>
      </c>
      <c r="G73" s="1">
        <f>'Unformatted Trip Summary'!G71</f>
        <v>0</v>
      </c>
      <c r="H73" s="1">
        <f>'Unformatted Trip Summary'!H71</f>
        <v>0.4034511428</v>
      </c>
    </row>
    <row r="74" spans="1:8" x14ac:dyDescent="0.2">
      <c r="A74" t="str">
        <f>'Unformatted Trip Summary'!A72</f>
        <v>01 NORTHLAND</v>
      </c>
      <c r="B74" t="str">
        <f>'Unformatted Trip Summary'!J72</f>
        <v>2012/13</v>
      </c>
      <c r="C74" t="str">
        <f>'Unformatted Trip Summary'!I72</f>
        <v>Non-Household Travel</v>
      </c>
      <c r="D74">
        <f>'Unformatted Trip Summary'!D72</f>
        <v>13</v>
      </c>
      <c r="E74">
        <f>'Unformatted Trip Summary'!E72</f>
        <v>59</v>
      </c>
      <c r="F74" s="1">
        <f>'Unformatted Trip Summary'!F72</f>
        <v>2.0613233212000002</v>
      </c>
      <c r="G74" s="1">
        <f>'Unformatted Trip Summary'!G72</f>
        <v>34.810730239000002</v>
      </c>
      <c r="H74" s="1">
        <f>'Unformatted Trip Summary'!H72</f>
        <v>0.70164482120000005</v>
      </c>
    </row>
    <row r="75" spans="1:8" x14ac:dyDescent="0.2">
      <c r="A75" t="str">
        <f>'Unformatted Trip Summary'!A73</f>
        <v>01 NORTHLAND</v>
      </c>
      <c r="B75" t="str">
        <f>'Unformatted Trip Summary'!J73</f>
        <v>2017/18</v>
      </c>
      <c r="C75" t="str">
        <f>'Unformatted Trip Summary'!I73</f>
        <v>Non-Household Travel</v>
      </c>
      <c r="D75">
        <f>'Unformatted Trip Summary'!D73</f>
        <v>13</v>
      </c>
      <c r="E75">
        <f>'Unformatted Trip Summary'!E73</f>
        <v>59</v>
      </c>
      <c r="F75" s="1">
        <f>'Unformatted Trip Summary'!F73</f>
        <v>2.1087922689999998</v>
      </c>
      <c r="G75" s="1">
        <f>'Unformatted Trip Summary'!G73</f>
        <v>33.821159747999999</v>
      </c>
      <c r="H75" s="1">
        <f>'Unformatted Trip Summary'!H73</f>
        <v>0.69923907669999996</v>
      </c>
    </row>
    <row r="76" spans="1:8" x14ac:dyDescent="0.2">
      <c r="A76" t="str">
        <f>'Unformatted Trip Summary'!A74</f>
        <v>01 NORTHLAND</v>
      </c>
      <c r="B76" t="str">
        <f>'Unformatted Trip Summary'!J74</f>
        <v>2022/23</v>
      </c>
      <c r="C76" t="str">
        <f>'Unformatted Trip Summary'!I74</f>
        <v>Non-Household Travel</v>
      </c>
      <c r="D76">
        <f>'Unformatted Trip Summary'!D74</f>
        <v>13</v>
      </c>
      <c r="E76">
        <f>'Unformatted Trip Summary'!E74</f>
        <v>59</v>
      </c>
      <c r="F76" s="1">
        <f>'Unformatted Trip Summary'!F74</f>
        <v>2.2429852858000001</v>
      </c>
      <c r="G76" s="1">
        <f>'Unformatted Trip Summary'!G74</f>
        <v>34.808776491000003</v>
      </c>
      <c r="H76" s="1">
        <f>'Unformatted Trip Summary'!H74</f>
        <v>0.73545862220000002</v>
      </c>
    </row>
    <row r="77" spans="1:8" x14ac:dyDescent="0.2">
      <c r="A77" t="str">
        <f>'Unformatted Trip Summary'!A75</f>
        <v>01 NORTHLAND</v>
      </c>
      <c r="B77" t="str">
        <f>'Unformatted Trip Summary'!J75</f>
        <v>2027/28</v>
      </c>
      <c r="C77" t="str">
        <f>'Unformatted Trip Summary'!I75</f>
        <v>Non-Household Travel</v>
      </c>
      <c r="D77">
        <f>'Unformatted Trip Summary'!D75</f>
        <v>13</v>
      </c>
      <c r="E77">
        <f>'Unformatted Trip Summary'!E75</f>
        <v>59</v>
      </c>
      <c r="F77" s="1">
        <f>'Unformatted Trip Summary'!F75</f>
        <v>2.5076186951000001</v>
      </c>
      <c r="G77" s="1">
        <f>'Unformatted Trip Summary'!G75</f>
        <v>38.644338615000002</v>
      </c>
      <c r="H77" s="1">
        <f>'Unformatted Trip Summary'!H75</f>
        <v>0.82729450810000005</v>
      </c>
    </row>
    <row r="78" spans="1:8" x14ac:dyDescent="0.2">
      <c r="A78" t="str">
        <f>'Unformatted Trip Summary'!A76</f>
        <v>01 NORTHLAND</v>
      </c>
      <c r="B78" t="str">
        <f>'Unformatted Trip Summary'!J76</f>
        <v>2032/33</v>
      </c>
      <c r="C78" t="str">
        <f>'Unformatted Trip Summary'!I76</f>
        <v>Non-Household Travel</v>
      </c>
      <c r="D78">
        <f>'Unformatted Trip Summary'!D76</f>
        <v>13</v>
      </c>
      <c r="E78">
        <f>'Unformatted Trip Summary'!E76</f>
        <v>59</v>
      </c>
      <c r="F78" s="1">
        <f>'Unformatted Trip Summary'!F76</f>
        <v>2.7211312747999998</v>
      </c>
      <c r="G78" s="1">
        <f>'Unformatted Trip Summary'!G76</f>
        <v>41.719259923000003</v>
      </c>
      <c r="H78" s="1">
        <f>'Unformatted Trip Summary'!H76</f>
        <v>0.90069304709999998</v>
      </c>
    </row>
    <row r="79" spans="1:8" x14ac:dyDescent="0.2">
      <c r="A79" t="str">
        <f>'Unformatted Trip Summary'!A77</f>
        <v>01 NORTHLAND</v>
      </c>
      <c r="B79" t="str">
        <f>'Unformatted Trip Summary'!J77</f>
        <v>2037/38</v>
      </c>
      <c r="C79" t="str">
        <f>'Unformatted Trip Summary'!I77</f>
        <v>Non-Household Travel</v>
      </c>
      <c r="D79">
        <f>'Unformatted Trip Summary'!D77</f>
        <v>13</v>
      </c>
      <c r="E79">
        <f>'Unformatted Trip Summary'!E77</f>
        <v>59</v>
      </c>
      <c r="F79" s="1">
        <f>'Unformatted Trip Summary'!F77</f>
        <v>2.7105833736</v>
      </c>
      <c r="G79" s="1">
        <f>'Unformatted Trip Summary'!G77</f>
        <v>41.470486458000003</v>
      </c>
      <c r="H79" s="1">
        <f>'Unformatted Trip Summary'!H77</f>
        <v>0.89807640919999998</v>
      </c>
    </row>
    <row r="80" spans="1:8" x14ac:dyDescent="0.2">
      <c r="A80" t="str">
        <f>'Unformatted Trip Summary'!A78</f>
        <v>01 NORTHLAND</v>
      </c>
      <c r="B80" t="str">
        <f>'Unformatted Trip Summary'!J78</f>
        <v>2042/43</v>
      </c>
      <c r="C80" t="str">
        <f>'Unformatted Trip Summary'!I78</f>
        <v>Non-Household Travel</v>
      </c>
      <c r="D80">
        <f>'Unformatted Trip Summary'!D78</f>
        <v>13</v>
      </c>
      <c r="E80">
        <f>'Unformatted Trip Summary'!E78</f>
        <v>59</v>
      </c>
      <c r="F80" s="1">
        <f>'Unformatted Trip Summary'!F78</f>
        <v>2.6788612354999999</v>
      </c>
      <c r="G80" s="1">
        <f>'Unformatted Trip Summary'!G78</f>
        <v>40.899926184999998</v>
      </c>
      <c r="H80" s="1">
        <f>'Unformatted Trip Summary'!H78</f>
        <v>0.88820776869999996</v>
      </c>
    </row>
    <row r="81" spans="1:8" x14ac:dyDescent="0.2">
      <c r="A81" t="str">
        <f>'Unformatted Trip Summary'!A79</f>
        <v>02 AUCKLAND</v>
      </c>
      <c r="B81" t="str">
        <f>'Unformatted Trip Summary'!J79</f>
        <v>2012/13</v>
      </c>
      <c r="C81" t="str">
        <f>'Unformatted Trip Summary'!I79</f>
        <v>Pedestrian</v>
      </c>
      <c r="D81">
        <f>'Unformatted Trip Summary'!D79</f>
        <v>1541</v>
      </c>
      <c r="E81">
        <f>'Unformatted Trip Summary'!E79</f>
        <v>5702</v>
      </c>
      <c r="F81" s="1">
        <f>'Unformatted Trip Summary'!F79</f>
        <v>324.81096006000001</v>
      </c>
      <c r="G81" s="1">
        <f>'Unformatted Trip Summary'!G79</f>
        <v>294.55939388000002</v>
      </c>
      <c r="H81" s="1">
        <f>'Unformatted Trip Summary'!H79</f>
        <v>73.381071999</v>
      </c>
    </row>
    <row r="82" spans="1:8" x14ac:dyDescent="0.2">
      <c r="A82" t="str">
        <f>'Unformatted Trip Summary'!A80</f>
        <v>02 AUCKLAND</v>
      </c>
      <c r="B82" t="str">
        <f>'Unformatted Trip Summary'!J80</f>
        <v>2017/18</v>
      </c>
      <c r="C82" t="str">
        <f>'Unformatted Trip Summary'!I80</f>
        <v>Pedestrian</v>
      </c>
      <c r="D82">
        <f>'Unformatted Trip Summary'!D80</f>
        <v>1541</v>
      </c>
      <c r="E82">
        <f>'Unformatted Trip Summary'!E80</f>
        <v>5702</v>
      </c>
      <c r="F82" s="1">
        <f>'Unformatted Trip Summary'!F80</f>
        <v>344.36546155000002</v>
      </c>
      <c r="G82" s="1">
        <f>'Unformatted Trip Summary'!G80</f>
        <v>311.51424893000001</v>
      </c>
      <c r="H82" s="1">
        <f>'Unformatted Trip Summary'!H80</f>
        <v>77.572461533999999</v>
      </c>
    </row>
    <row r="83" spans="1:8" x14ac:dyDescent="0.2">
      <c r="A83" t="str">
        <f>'Unformatted Trip Summary'!A81</f>
        <v>02 AUCKLAND</v>
      </c>
      <c r="B83" t="str">
        <f>'Unformatted Trip Summary'!J81</f>
        <v>2022/23</v>
      </c>
      <c r="C83" t="str">
        <f>'Unformatted Trip Summary'!I81</f>
        <v>Pedestrian</v>
      </c>
      <c r="D83">
        <f>'Unformatted Trip Summary'!D81</f>
        <v>1541</v>
      </c>
      <c r="E83">
        <f>'Unformatted Trip Summary'!E81</f>
        <v>5702</v>
      </c>
      <c r="F83" s="1">
        <f>'Unformatted Trip Summary'!F81</f>
        <v>356.66226705999998</v>
      </c>
      <c r="G83" s="1">
        <f>'Unformatted Trip Summary'!G81</f>
        <v>321.19773973000002</v>
      </c>
      <c r="H83" s="1">
        <f>'Unformatted Trip Summary'!H81</f>
        <v>80.122141310999993</v>
      </c>
    </row>
    <row r="84" spans="1:8" x14ac:dyDescent="0.2">
      <c r="A84" t="str">
        <f>'Unformatted Trip Summary'!A82</f>
        <v>02 AUCKLAND</v>
      </c>
      <c r="B84" t="str">
        <f>'Unformatted Trip Summary'!J82</f>
        <v>2027/28</v>
      </c>
      <c r="C84" t="str">
        <f>'Unformatted Trip Summary'!I82</f>
        <v>Pedestrian</v>
      </c>
      <c r="D84">
        <f>'Unformatted Trip Summary'!D82</f>
        <v>1541</v>
      </c>
      <c r="E84">
        <f>'Unformatted Trip Summary'!E82</f>
        <v>5702</v>
      </c>
      <c r="F84" s="1">
        <f>'Unformatted Trip Summary'!F82</f>
        <v>364.36465414000003</v>
      </c>
      <c r="G84" s="1">
        <f>'Unformatted Trip Summary'!G82</f>
        <v>326.32615634000001</v>
      </c>
      <c r="H84" s="1">
        <f>'Unformatted Trip Summary'!H82</f>
        <v>81.803245849999996</v>
      </c>
    </row>
    <row r="85" spans="1:8" x14ac:dyDescent="0.2">
      <c r="A85" t="str">
        <f>'Unformatted Trip Summary'!A83</f>
        <v>02 AUCKLAND</v>
      </c>
      <c r="B85" t="str">
        <f>'Unformatted Trip Summary'!J83</f>
        <v>2032/33</v>
      </c>
      <c r="C85" t="str">
        <f>'Unformatted Trip Summary'!I83</f>
        <v>Pedestrian</v>
      </c>
      <c r="D85">
        <f>'Unformatted Trip Summary'!D83</f>
        <v>1541</v>
      </c>
      <c r="E85">
        <f>'Unformatted Trip Summary'!E83</f>
        <v>5702</v>
      </c>
      <c r="F85" s="1">
        <f>'Unformatted Trip Summary'!F83</f>
        <v>369.17903816</v>
      </c>
      <c r="G85" s="1">
        <f>'Unformatted Trip Summary'!G83</f>
        <v>328.97262988</v>
      </c>
      <c r="H85" s="1">
        <f>'Unformatted Trip Summary'!H83</f>
        <v>82.870065775</v>
      </c>
    </row>
    <row r="86" spans="1:8" x14ac:dyDescent="0.2">
      <c r="A86" t="str">
        <f>'Unformatted Trip Summary'!A84</f>
        <v>02 AUCKLAND</v>
      </c>
      <c r="B86" t="str">
        <f>'Unformatted Trip Summary'!J84</f>
        <v>2037/38</v>
      </c>
      <c r="C86" t="str">
        <f>'Unformatted Trip Summary'!I84</f>
        <v>Pedestrian</v>
      </c>
      <c r="D86">
        <f>'Unformatted Trip Summary'!D84</f>
        <v>1541</v>
      </c>
      <c r="E86">
        <f>'Unformatted Trip Summary'!E84</f>
        <v>5702</v>
      </c>
      <c r="F86" s="1">
        <f>'Unformatted Trip Summary'!F84</f>
        <v>372.36319698</v>
      </c>
      <c r="G86" s="1">
        <f>'Unformatted Trip Summary'!G84</f>
        <v>331.35353219000001</v>
      </c>
      <c r="H86" s="1">
        <f>'Unformatted Trip Summary'!H84</f>
        <v>83.833278840999995</v>
      </c>
    </row>
    <row r="87" spans="1:8" x14ac:dyDescent="0.2">
      <c r="A87" t="str">
        <f>'Unformatted Trip Summary'!A85</f>
        <v>02 AUCKLAND</v>
      </c>
      <c r="B87" t="str">
        <f>'Unformatted Trip Summary'!J85</f>
        <v>2042/43</v>
      </c>
      <c r="C87" t="str">
        <f>'Unformatted Trip Summary'!I85</f>
        <v>Pedestrian</v>
      </c>
      <c r="D87">
        <f>'Unformatted Trip Summary'!D85</f>
        <v>1541</v>
      </c>
      <c r="E87">
        <f>'Unformatted Trip Summary'!E85</f>
        <v>5702</v>
      </c>
      <c r="F87" s="1">
        <f>'Unformatted Trip Summary'!F85</f>
        <v>373.09787464999999</v>
      </c>
      <c r="G87" s="1">
        <f>'Unformatted Trip Summary'!G85</f>
        <v>331.73674390999997</v>
      </c>
      <c r="H87" s="1">
        <f>'Unformatted Trip Summary'!H85</f>
        <v>84.244346922999995</v>
      </c>
    </row>
    <row r="88" spans="1:8" x14ac:dyDescent="0.2">
      <c r="A88" t="str">
        <f>'Unformatted Trip Summary'!A86</f>
        <v>02 AUCKLAND</v>
      </c>
      <c r="B88" t="str">
        <f>'Unformatted Trip Summary'!J86</f>
        <v>2012/13</v>
      </c>
      <c r="C88" t="str">
        <f>'Unformatted Trip Summary'!I86</f>
        <v>Cyclist</v>
      </c>
      <c r="D88">
        <f>'Unformatted Trip Summary'!D86</f>
        <v>49</v>
      </c>
      <c r="E88">
        <f>'Unformatted Trip Summary'!E86</f>
        <v>125</v>
      </c>
      <c r="F88" s="1">
        <f>'Unformatted Trip Summary'!F86</f>
        <v>7.0506319707999996</v>
      </c>
      <c r="G88" s="1">
        <f>'Unformatted Trip Summary'!G86</f>
        <v>55.843008154000003</v>
      </c>
      <c r="H88" s="1">
        <f>'Unformatted Trip Summary'!H86</f>
        <v>4.3659429593999999</v>
      </c>
    </row>
    <row r="89" spans="1:8" x14ac:dyDescent="0.2">
      <c r="A89" t="str">
        <f>'Unformatted Trip Summary'!A87</f>
        <v>02 AUCKLAND</v>
      </c>
      <c r="B89" t="str">
        <f>'Unformatted Trip Summary'!J87</f>
        <v>2017/18</v>
      </c>
      <c r="C89" t="str">
        <f>'Unformatted Trip Summary'!I87</f>
        <v>Cyclist</v>
      </c>
      <c r="D89">
        <f>'Unformatted Trip Summary'!D87</f>
        <v>49</v>
      </c>
      <c r="E89">
        <f>'Unformatted Trip Summary'!E87</f>
        <v>125</v>
      </c>
      <c r="F89" s="1">
        <f>'Unformatted Trip Summary'!F87</f>
        <v>7.5722770519999996</v>
      </c>
      <c r="G89" s="1">
        <f>'Unformatted Trip Summary'!G87</f>
        <v>61.870468318</v>
      </c>
      <c r="H89" s="1">
        <f>'Unformatted Trip Summary'!H87</f>
        <v>4.7912840522</v>
      </c>
    </row>
    <row r="90" spans="1:8" x14ac:dyDescent="0.2">
      <c r="A90" t="str">
        <f>'Unformatted Trip Summary'!A88</f>
        <v>02 AUCKLAND</v>
      </c>
      <c r="B90" t="str">
        <f>'Unformatted Trip Summary'!J88</f>
        <v>2022/23</v>
      </c>
      <c r="C90" t="str">
        <f>'Unformatted Trip Summary'!I88</f>
        <v>Cyclist</v>
      </c>
      <c r="D90">
        <f>'Unformatted Trip Summary'!D88</f>
        <v>49</v>
      </c>
      <c r="E90">
        <f>'Unformatted Trip Summary'!E88</f>
        <v>125</v>
      </c>
      <c r="F90" s="1">
        <f>'Unformatted Trip Summary'!F88</f>
        <v>7.9398843045999996</v>
      </c>
      <c r="G90" s="1">
        <f>'Unformatted Trip Summary'!G88</f>
        <v>65.724543562999997</v>
      </c>
      <c r="H90" s="1">
        <f>'Unformatted Trip Summary'!H88</f>
        <v>5.0664519384000002</v>
      </c>
    </row>
    <row r="91" spans="1:8" x14ac:dyDescent="0.2">
      <c r="A91" t="str">
        <f>'Unformatted Trip Summary'!A89</f>
        <v>02 AUCKLAND</v>
      </c>
      <c r="B91" t="str">
        <f>'Unformatted Trip Summary'!J89</f>
        <v>2027/28</v>
      </c>
      <c r="C91" t="str">
        <f>'Unformatted Trip Summary'!I89</f>
        <v>Cyclist</v>
      </c>
      <c r="D91">
        <f>'Unformatted Trip Summary'!D89</f>
        <v>49</v>
      </c>
      <c r="E91">
        <f>'Unformatted Trip Summary'!E89</f>
        <v>125</v>
      </c>
      <c r="F91" s="1">
        <f>'Unformatted Trip Summary'!F89</f>
        <v>8.2239793841999997</v>
      </c>
      <c r="G91" s="1">
        <f>'Unformatted Trip Summary'!G89</f>
        <v>68.830142468000005</v>
      </c>
      <c r="H91" s="1">
        <f>'Unformatted Trip Summary'!H89</f>
        <v>5.2966971160999998</v>
      </c>
    </row>
    <row r="92" spans="1:8" x14ac:dyDescent="0.2">
      <c r="A92" t="str">
        <f>'Unformatted Trip Summary'!A90</f>
        <v>02 AUCKLAND</v>
      </c>
      <c r="B92" t="str">
        <f>'Unformatted Trip Summary'!J90</f>
        <v>2032/33</v>
      </c>
      <c r="C92" t="str">
        <f>'Unformatted Trip Summary'!I90</f>
        <v>Cyclist</v>
      </c>
      <c r="D92">
        <f>'Unformatted Trip Summary'!D90</f>
        <v>49</v>
      </c>
      <c r="E92">
        <f>'Unformatted Trip Summary'!E90</f>
        <v>125</v>
      </c>
      <c r="F92" s="1">
        <f>'Unformatted Trip Summary'!F90</f>
        <v>8.4075321889999994</v>
      </c>
      <c r="G92" s="1">
        <f>'Unformatted Trip Summary'!G90</f>
        <v>72.882048549000004</v>
      </c>
      <c r="H92" s="1">
        <f>'Unformatted Trip Summary'!H90</f>
        <v>5.5772602733000003</v>
      </c>
    </row>
    <row r="93" spans="1:8" x14ac:dyDescent="0.2">
      <c r="A93" t="str">
        <f>'Unformatted Trip Summary'!A91</f>
        <v>02 AUCKLAND</v>
      </c>
      <c r="B93" t="str">
        <f>'Unformatted Trip Summary'!J91</f>
        <v>2037/38</v>
      </c>
      <c r="C93" t="str">
        <f>'Unformatted Trip Summary'!I91</f>
        <v>Cyclist</v>
      </c>
      <c r="D93">
        <f>'Unformatted Trip Summary'!D91</f>
        <v>49</v>
      </c>
      <c r="E93">
        <f>'Unformatted Trip Summary'!E91</f>
        <v>125</v>
      </c>
      <c r="F93" s="1">
        <f>'Unformatted Trip Summary'!F91</f>
        <v>8.7871776154999992</v>
      </c>
      <c r="G93" s="1">
        <f>'Unformatted Trip Summary'!G91</f>
        <v>79.116988981000006</v>
      </c>
      <c r="H93" s="1">
        <f>'Unformatted Trip Summary'!H91</f>
        <v>6.0052062975</v>
      </c>
    </row>
    <row r="94" spans="1:8" x14ac:dyDescent="0.2">
      <c r="A94" t="str">
        <f>'Unformatted Trip Summary'!A92</f>
        <v>02 AUCKLAND</v>
      </c>
      <c r="B94" t="str">
        <f>'Unformatted Trip Summary'!J92</f>
        <v>2042/43</v>
      </c>
      <c r="C94" t="str">
        <f>'Unformatted Trip Summary'!I92</f>
        <v>Cyclist</v>
      </c>
      <c r="D94">
        <f>'Unformatted Trip Summary'!D92</f>
        <v>49</v>
      </c>
      <c r="E94">
        <f>'Unformatted Trip Summary'!E92</f>
        <v>125</v>
      </c>
      <c r="F94" s="1">
        <f>'Unformatted Trip Summary'!F92</f>
        <v>9.1430611678999991</v>
      </c>
      <c r="G94" s="1">
        <f>'Unformatted Trip Summary'!G92</f>
        <v>85.378907386999998</v>
      </c>
      <c r="H94" s="1">
        <f>'Unformatted Trip Summary'!H92</f>
        <v>6.4346472009999998</v>
      </c>
    </row>
    <row r="95" spans="1:8" x14ac:dyDescent="0.2">
      <c r="A95" t="str">
        <f>'Unformatted Trip Summary'!A93</f>
        <v>02 AUCKLAND</v>
      </c>
      <c r="B95" t="str">
        <f>'Unformatted Trip Summary'!J93</f>
        <v>2012/13</v>
      </c>
      <c r="C95" t="str">
        <f>'Unformatted Trip Summary'!I93</f>
        <v>Light Vehicle Driver</v>
      </c>
      <c r="D95">
        <f>'Unformatted Trip Summary'!D93</f>
        <v>2765</v>
      </c>
      <c r="E95">
        <f>'Unformatted Trip Summary'!E93</f>
        <v>18286</v>
      </c>
      <c r="F95" s="1">
        <f>'Unformatted Trip Summary'!F93</f>
        <v>981.24355252999999</v>
      </c>
      <c r="G95" s="1">
        <f>'Unformatted Trip Summary'!G93</f>
        <v>9374.4733825999992</v>
      </c>
      <c r="H95" s="1">
        <f>'Unformatted Trip Summary'!H93</f>
        <v>295.36669345000001</v>
      </c>
    </row>
    <row r="96" spans="1:8" x14ac:dyDescent="0.2">
      <c r="A96" t="str">
        <f>'Unformatted Trip Summary'!A94</f>
        <v>02 AUCKLAND</v>
      </c>
      <c r="B96" t="str">
        <f>'Unformatted Trip Summary'!J94</f>
        <v>2017/18</v>
      </c>
      <c r="C96" t="str">
        <f>'Unformatted Trip Summary'!I94</f>
        <v>Light Vehicle Driver</v>
      </c>
      <c r="D96">
        <f>'Unformatted Trip Summary'!D94</f>
        <v>2765</v>
      </c>
      <c r="E96">
        <f>'Unformatted Trip Summary'!E94</f>
        <v>18286</v>
      </c>
      <c r="F96" s="1">
        <f>'Unformatted Trip Summary'!F94</f>
        <v>1070.5837898</v>
      </c>
      <c r="G96" s="1">
        <f>'Unformatted Trip Summary'!G94</f>
        <v>10264.424131</v>
      </c>
      <c r="H96" s="1">
        <f>'Unformatted Trip Summary'!H94</f>
        <v>323.24559554000001</v>
      </c>
    </row>
    <row r="97" spans="1:8" x14ac:dyDescent="0.2">
      <c r="A97" t="str">
        <f>'Unformatted Trip Summary'!A95</f>
        <v>02 AUCKLAND</v>
      </c>
      <c r="B97" t="str">
        <f>'Unformatted Trip Summary'!J95</f>
        <v>2022/23</v>
      </c>
      <c r="C97" t="str">
        <f>'Unformatted Trip Summary'!I95</f>
        <v>Light Vehicle Driver</v>
      </c>
      <c r="D97">
        <f>'Unformatted Trip Summary'!D95</f>
        <v>2765</v>
      </c>
      <c r="E97">
        <f>'Unformatted Trip Summary'!E95</f>
        <v>18286</v>
      </c>
      <c r="F97" s="1">
        <f>'Unformatted Trip Summary'!F95</f>
        <v>1122.7414653000001</v>
      </c>
      <c r="G97" s="1">
        <f>'Unformatted Trip Summary'!G95</f>
        <v>10744.648424999999</v>
      </c>
      <c r="H97" s="1">
        <f>'Unformatted Trip Summary'!H95</f>
        <v>338.51156032</v>
      </c>
    </row>
    <row r="98" spans="1:8" x14ac:dyDescent="0.2">
      <c r="A98" t="str">
        <f>'Unformatted Trip Summary'!A96</f>
        <v>02 AUCKLAND</v>
      </c>
      <c r="B98" t="str">
        <f>'Unformatted Trip Summary'!J96</f>
        <v>2027/28</v>
      </c>
      <c r="C98" t="str">
        <f>'Unformatted Trip Summary'!I96</f>
        <v>Light Vehicle Driver</v>
      </c>
      <c r="D98">
        <f>'Unformatted Trip Summary'!D96</f>
        <v>2765</v>
      </c>
      <c r="E98">
        <f>'Unformatted Trip Summary'!E96</f>
        <v>18286</v>
      </c>
      <c r="F98" s="1">
        <f>'Unformatted Trip Summary'!F96</f>
        <v>1173.7675494</v>
      </c>
      <c r="G98" s="1">
        <f>'Unformatted Trip Summary'!G96</f>
        <v>11246.466146999999</v>
      </c>
      <c r="H98" s="1">
        <f>'Unformatted Trip Summary'!H96</f>
        <v>353.38200726000002</v>
      </c>
    </row>
    <row r="99" spans="1:8" x14ac:dyDescent="0.2">
      <c r="A99" t="str">
        <f>'Unformatted Trip Summary'!A97</f>
        <v>02 AUCKLAND</v>
      </c>
      <c r="B99" t="str">
        <f>'Unformatted Trip Summary'!J97</f>
        <v>2032/33</v>
      </c>
      <c r="C99" t="str">
        <f>'Unformatted Trip Summary'!I97</f>
        <v>Light Vehicle Driver</v>
      </c>
      <c r="D99">
        <f>'Unformatted Trip Summary'!D97</f>
        <v>2765</v>
      </c>
      <c r="E99">
        <f>'Unformatted Trip Summary'!E97</f>
        <v>18286</v>
      </c>
      <c r="F99" s="1">
        <f>'Unformatted Trip Summary'!F97</f>
        <v>1225.6003992000001</v>
      </c>
      <c r="G99" s="1">
        <f>'Unformatted Trip Summary'!G97</f>
        <v>11759.957747</v>
      </c>
      <c r="H99" s="1">
        <f>'Unformatted Trip Summary'!H97</f>
        <v>368.85119050999998</v>
      </c>
    </row>
    <row r="100" spans="1:8" x14ac:dyDescent="0.2">
      <c r="A100" t="str">
        <f>'Unformatted Trip Summary'!A98</f>
        <v>02 AUCKLAND</v>
      </c>
      <c r="B100" t="str">
        <f>'Unformatted Trip Summary'!J98</f>
        <v>2037/38</v>
      </c>
      <c r="C100" t="str">
        <f>'Unformatted Trip Summary'!I98</f>
        <v>Light Vehicle Driver</v>
      </c>
      <c r="D100">
        <f>'Unformatted Trip Summary'!D98</f>
        <v>2765</v>
      </c>
      <c r="E100">
        <f>'Unformatted Trip Summary'!E98</f>
        <v>18286</v>
      </c>
      <c r="F100" s="1">
        <f>'Unformatted Trip Summary'!F98</f>
        <v>1270.5837355000001</v>
      </c>
      <c r="G100" s="1">
        <f>'Unformatted Trip Summary'!G98</f>
        <v>12190.171695999999</v>
      </c>
      <c r="H100" s="1">
        <f>'Unformatted Trip Summary'!H98</f>
        <v>382.39832824000001</v>
      </c>
    </row>
    <row r="101" spans="1:8" x14ac:dyDescent="0.2">
      <c r="A101" t="str">
        <f>'Unformatted Trip Summary'!A99</f>
        <v>02 AUCKLAND</v>
      </c>
      <c r="B101" t="str">
        <f>'Unformatted Trip Summary'!J99</f>
        <v>2042/43</v>
      </c>
      <c r="C101" t="str">
        <f>'Unformatted Trip Summary'!I99</f>
        <v>Light Vehicle Driver</v>
      </c>
      <c r="D101">
        <f>'Unformatted Trip Summary'!D99</f>
        <v>2765</v>
      </c>
      <c r="E101">
        <f>'Unformatted Trip Summary'!E99</f>
        <v>18286</v>
      </c>
      <c r="F101" s="1">
        <f>'Unformatted Trip Summary'!F99</f>
        <v>1308.9446461</v>
      </c>
      <c r="G101" s="1">
        <f>'Unformatted Trip Summary'!G99</f>
        <v>12560.076225000001</v>
      </c>
      <c r="H101" s="1">
        <f>'Unformatted Trip Summary'!H99</f>
        <v>394.00518577000003</v>
      </c>
    </row>
    <row r="102" spans="1:8" x14ac:dyDescent="0.2">
      <c r="A102" t="str">
        <f>'Unformatted Trip Summary'!A100</f>
        <v>02 AUCKLAND</v>
      </c>
      <c r="B102" t="str">
        <f>'Unformatted Trip Summary'!J100</f>
        <v>2012/13</v>
      </c>
      <c r="C102" t="str">
        <f>'Unformatted Trip Summary'!I100</f>
        <v>Light Vehicle Passenger</v>
      </c>
      <c r="D102">
        <f>'Unformatted Trip Summary'!D100</f>
        <v>2092</v>
      </c>
      <c r="E102">
        <f>'Unformatted Trip Summary'!E100</f>
        <v>9587</v>
      </c>
      <c r="F102" s="1">
        <f>'Unformatted Trip Summary'!F100</f>
        <v>488.06073574999999</v>
      </c>
      <c r="G102" s="1">
        <f>'Unformatted Trip Summary'!G100</f>
        <v>4814.6436660999998</v>
      </c>
      <c r="H102" s="1">
        <f>'Unformatted Trip Summary'!H100</f>
        <v>145.42645436999999</v>
      </c>
    </row>
    <row r="103" spans="1:8" x14ac:dyDescent="0.2">
      <c r="A103" t="str">
        <f>'Unformatted Trip Summary'!A101</f>
        <v>02 AUCKLAND</v>
      </c>
      <c r="B103" t="str">
        <f>'Unformatted Trip Summary'!J101</f>
        <v>2017/18</v>
      </c>
      <c r="C103" t="str">
        <f>'Unformatted Trip Summary'!I101</f>
        <v>Light Vehicle Passenger</v>
      </c>
      <c r="D103">
        <f>'Unformatted Trip Summary'!D101</f>
        <v>2092</v>
      </c>
      <c r="E103">
        <f>'Unformatted Trip Summary'!E101</f>
        <v>9587</v>
      </c>
      <c r="F103" s="1">
        <f>'Unformatted Trip Summary'!F101</f>
        <v>509.31307053</v>
      </c>
      <c r="G103" s="1">
        <f>'Unformatted Trip Summary'!G101</f>
        <v>5097.2481027000003</v>
      </c>
      <c r="H103" s="1">
        <f>'Unformatted Trip Summary'!H101</f>
        <v>152.86478138000001</v>
      </c>
    </row>
    <row r="104" spans="1:8" x14ac:dyDescent="0.2">
      <c r="A104" t="str">
        <f>'Unformatted Trip Summary'!A102</f>
        <v>02 AUCKLAND</v>
      </c>
      <c r="B104" t="str">
        <f>'Unformatted Trip Summary'!J102</f>
        <v>2022/23</v>
      </c>
      <c r="C104" t="str">
        <f>'Unformatted Trip Summary'!I102</f>
        <v>Light Vehicle Passenger</v>
      </c>
      <c r="D104">
        <f>'Unformatted Trip Summary'!D102</f>
        <v>2092</v>
      </c>
      <c r="E104">
        <f>'Unformatted Trip Summary'!E102</f>
        <v>9587</v>
      </c>
      <c r="F104" s="1">
        <f>'Unformatted Trip Summary'!F102</f>
        <v>523.42770669000004</v>
      </c>
      <c r="G104" s="1">
        <f>'Unformatted Trip Summary'!G102</f>
        <v>5280.8785778000001</v>
      </c>
      <c r="H104" s="1">
        <f>'Unformatted Trip Summary'!H102</f>
        <v>157.45772586999999</v>
      </c>
    </row>
    <row r="105" spans="1:8" x14ac:dyDescent="0.2">
      <c r="A105" t="str">
        <f>'Unformatted Trip Summary'!A103</f>
        <v>02 AUCKLAND</v>
      </c>
      <c r="B105" t="str">
        <f>'Unformatted Trip Summary'!J103</f>
        <v>2027/28</v>
      </c>
      <c r="C105" t="str">
        <f>'Unformatted Trip Summary'!I103</f>
        <v>Light Vehicle Passenger</v>
      </c>
      <c r="D105">
        <f>'Unformatted Trip Summary'!D103</f>
        <v>2092</v>
      </c>
      <c r="E105">
        <f>'Unformatted Trip Summary'!E103</f>
        <v>9587</v>
      </c>
      <c r="F105" s="1">
        <f>'Unformatted Trip Summary'!F103</f>
        <v>536.45961201</v>
      </c>
      <c r="G105" s="1">
        <f>'Unformatted Trip Summary'!G103</f>
        <v>5468.7506031000003</v>
      </c>
      <c r="H105" s="1">
        <f>'Unformatted Trip Summary'!H103</f>
        <v>161.71140356000001</v>
      </c>
    </row>
    <row r="106" spans="1:8" x14ac:dyDescent="0.2">
      <c r="A106" t="str">
        <f>'Unformatted Trip Summary'!A104</f>
        <v>02 AUCKLAND</v>
      </c>
      <c r="B106" t="str">
        <f>'Unformatted Trip Summary'!J104</f>
        <v>2032/33</v>
      </c>
      <c r="C106" t="str">
        <f>'Unformatted Trip Summary'!I104</f>
        <v>Light Vehicle Passenger</v>
      </c>
      <c r="D106">
        <f>'Unformatted Trip Summary'!D104</f>
        <v>2092</v>
      </c>
      <c r="E106">
        <f>'Unformatted Trip Summary'!E104</f>
        <v>9587</v>
      </c>
      <c r="F106" s="1">
        <f>'Unformatted Trip Summary'!F104</f>
        <v>548.35848080999995</v>
      </c>
      <c r="G106" s="1">
        <f>'Unformatted Trip Summary'!G104</f>
        <v>5619.1195944999999</v>
      </c>
      <c r="H106" s="1">
        <f>'Unformatted Trip Summary'!H104</f>
        <v>165.25604976</v>
      </c>
    </row>
    <row r="107" spans="1:8" x14ac:dyDescent="0.2">
      <c r="A107" t="str">
        <f>'Unformatted Trip Summary'!A105</f>
        <v>02 AUCKLAND</v>
      </c>
      <c r="B107" t="str">
        <f>'Unformatted Trip Summary'!J105</f>
        <v>2037/38</v>
      </c>
      <c r="C107" t="str">
        <f>'Unformatted Trip Summary'!I105</f>
        <v>Light Vehicle Passenger</v>
      </c>
      <c r="D107">
        <f>'Unformatted Trip Summary'!D105</f>
        <v>2092</v>
      </c>
      <c r="E107">
        <f>'Unformatted Trip Summary'!E105</f>
        <v>9587</v>
      </c>
      <c r="F107" s="1">
        <f>'Unformatted Trip Summary'!F105</f>
        <v>556.90672474999997</v>
      </c>
      <c r="G107" s="1">
        <f>'Unformatted Trip Summary'!G105</f>
        <v>5750.5572048000004</v>
      </c>
      <c r="H107" s="1">
        <f>'Unformatted Trip Summary'!H105</f>
        <v>168.15155067000001</v>
      </c>
    </row>
    <row r="108" spans="1:8" x14ac:dyDescent="0.2">
      <c r="A108" t="str">
        <f>'Unformatted Trip Summary'!A106</f>
        <v>02 AUCKLAND</v>
      </c>
      <c r="B108" t="str">
        <f>'Unformatted Trip Summary'!J106</f>
        <v>2042/43</v>
      </c>
      <c r="C108" t="str">
        <f>'Unformatted Trip Summary'!I106</f>
        <v>Light Vehicle Passenger</v>
      </c>
      <c r="D108">
        <f>'Unformatted Trip Summary'!D106</f>
        <v>2092</v>
      </c>
      <c r="E108">
        <f>'Unformatted Trip Summary'!E106</f>
        <v>9587</v>
      </c>
      <c r="F108" s="1">
        <f>'Unformatted Trip Summary'!F106</f>
        <v>562.10681153999997</v>
      </c>
      <c r="G108" s="1">
        <f>'Unformatted Trip Summary'!G106</f>
        <v>5848.2069058999996</v>
      </c>
      <c r="H108" s="1">
        <f>'Unformatted Trip Summary'!H106</f>
        <v>170.07514386</v>
      </c>
    </row>
    <row r="109" spans="1:8" x14ac:dyDescent="0.2">
      <c r="A109" t="str">
        <f>'Unformatted Trip Summary'!A107</f>
        <v>02 AUCKLAND</v>
      </c>
      <c r="B109" t="str">
        <f>'Unformatted Trip Summary'!J107</f>
        <v>2012/13</v>
      </c>
      <c r="C109" t="str">
        <f>'Unformatted Trip Summary'!I107</f>
        <v>Taxi/Vehicle Share</v>
      </c>
      <c r="D109">
        <f>'Unformatted Trip Summary'!D107</f>
        <v>54</v>
      </c>
      <c r="E109">
        <f>'Unformatted Trip Summary'!E107</f>
        <v>94</v>
      </c>
      <c r="F109" s="1">
        <f>'Unformatted Trip Summary'!F107</f>
        <v>6.0232688673999997</v>
      </c>
      <c r="G109" s="1">
        <f>'Unformatted Trip Summary'!G107</f>
        <v>41.157157814999998</v>
      </c>
      <c r="H109" s="1">
        <f>'Unformatted Trip Summary'!H107</f>
        <v>1.9131795197999999</v>
      </c>
    </row>
    <row r="110" spans="1:8" x14ac:dyDescent="0.2">
      <c r="A110" t="str">
        <f>'Unformatted Trip Summary'!A108</f>
        <v>02 AUCKLAND</v>
      </c>
      <c r="B110" t="str">
        <f>'Unformatted Trip Summary'!J108</f>
        <v>2017/18</v>
      </c>
      <c r="C110" t="str">
        <f>'Unformatted Trip Summary'!I108</f>
        <v>Taxi/Vehicle Share</v>
      </c>
      <c r="D110">
        <f>'Unformatted Trip Summary'!D108</f>
        <v>54</v>
      </c>
      <c r="E110">
        <f>'Unformatted Trip Summary'!E108</f>
        <v>94</v>
      </c>
      <c r="F110" s="1">
        <f>'Unformatted Trip Summary'!F108</f>
        <v>6.9383324739000001</v>
      </c>
      <c r="G110" s="1">
        <f>'Unformatted Trip Summary'!G108</f>
        <v>48.017781049</v>
      </c>
      <c r="H110" s="1">
        <f>'Unformatted Trip Summary'!H108</f>
        <v>2.2021157292</v>
      </c>
    </row>
    <row r="111" spans="1:8" x14ac:dyDescent="0.2">
      <c r="A111" t="str">
        <f>'Unformatted Trip Summary'!A109</f>
        <v>02 AUCKLAND</v>
      </c>
      <c r="B111" t="str">
        <f>'Unformatted Trip Summary'!J109</f>
        <v>2022/23</v>
      </c>
      <c r="C111" t="str">
        <f>'Unformatted Trip Summary'!I109</f>
        <v>Taxi/Vehicle Share</v>
      </c>
      <c r="D111">
        <f>'Unformatted Trip Summary'!D109</f>
        <v>54</v>
      </c>
      <c r="E111">
        <f>'Unformatted Trip Summary'!E109</f>
        <v>94</v>
      </c>
      <c r="F111" s="1">
        <f>'Unformatted Trip Summary'!F109</f>
        <v>7.7687429825000001</v>
      </c>
      <c r="G111" s="1">
        <f>'Unformatted Trip Summary'!G109</f>
        <v>55.039313737999997</v>
      </c>
      <c r="H111" s="1">
        <f>'Unformatted Trip Summary'!H109</f>
        <v>2.4674535234000001</v>
      </c>
    </row>
    <row r="112" spans="1:8" x14ac:dyDescent="0.2">
      <c r="A112" t="str">
        <f>'Unformatted Trip Summary'!A110</f>
        <v>02 AUCKLAND</v>
      </c>
      <c r="B112" t="str">
        <f>'Unformatted Trip Summary'!J110</f>
        <v>2027/28</v>
      </c>
      <c r="C112" t="str">
        <f>'Unformatted Trip Summary'!I110</f>
        <v>Taxi/Vehicle Share</v>
      </c>
      <c r="D112">
        <f>'Unformatted Trip Summary'!D110</f>
        <v>54</v>
      </c>
      <c r="E112">
        <f>'Unformatted Trip Summary'!E110</f>
        <v>94</v>
      </c>
      <c r="F112" s="1">
        <f>'Unformatted Trip Summary'!F110</f>
        <v>8.5123129905999999</v>
      </c>
      <c r="G112" s="1">
        <f>'Unformatted Trip Summary'!G110</f>
        <v>62.235598541999998</v>
      </c>
      <c r="H112" s="1">
        <f>'Unformatted Trip Summary'!H110</f>
        <v>2.7198192375999999</v>
      </c>
    </row>
    <row r="113" spans="1:8" x14ac:dyDescent="0.2">
      <c r="A113" t="str">
        <f>'Unformatted Trip Summary'!A111</f>
        <v>02 AUCKLAND</v>
      </c>
      <c r="B113" t="str">
        <f>'Unformatted Trip Summary'!J111</f>
        <v>2032/33</v>
      </c>
      <c r="C113" t="str">
        <f>'Unformatted Trip Summary'!I111</f>
        <v>Taxi/Vehicle Share</v>
      </c>
      <c r="D113">
        <f>'Unformatted Trip Summary'!D111</f>
        <v>54</v>
      </c>
      <c r="E113">
        <f>'Unformatted Trip Summary'!E111</f>
        <v>94</v>
      </c>
      <c r="F113" s="1">
        <f>'Unformatted Trip Summary'!F111</f>
        <v>9.1947888426999995</v>
      </c>
      <c r="G113" s="1">
        <f>'Unformatted Trip Summary'!G111</f>
        <v>68.66387039</v>
      </c>
      <c r="H113" s="1">
        <f>'Unformatted Trip Summary'!H111</f>
        <v>2.9528674105000001</v>
      </c>
    </row>
    <row r="114" spans="1:8" x14ac:dyDescent="0.2">
      <c r="A114" t="str">
        <f>'Unformatted Trip Summary'!A112</f>
        <v>02 AUCKLAND</v>
      </c>
      <c r="B114" t="str">
        <f>'Unformatted Trip Summary'!J112</f>
        <v>2037/38</v>
      </c>
      <c r="C114" t="str">
        <f>'Unformatted Trip Summary'!I112</f>
        <v>Taxi/Vehicle Share</v>
      </c>
      <c r="D114">
        <f>'Unformatted Trip Summary'!D112</f>
        <v>54</v>
      </c>
      <c r="E114">
        <f>'Unformatted Trip Summary'!E112</f>
        <v>94</v>
      </c>
      <c r="F114" s="1">
        <f>'Unformatted Trip Summary'!F112</f>
        <v>9.7340575482999991</v>
      </c>
      <c r="G114" s="1">
        <f>'Unformatted Trip Summary'!G112</f>
        <v>73.887661131000002</v>
      </c>
      <c r="H114" s="1">
        <f>'Unformatted Trip Summary'!H112</f>
        <v>3.1366608567999998</v>
      </c>
    </row>
    <row r="115" spans="1:8" x14ac:dyDescent="0.2">
      <c r="A115" t="str">
        <f>'Unformatted Trip Summary'!A113</f>
        <v>02 AUCKLAND</v>
      </c>
      <c r="B115" t="str">
        <f>'Unformatted Trip Summary'!J113</f>
        <v>2042/43</v>
      </c>
      <c r="C115" t="str">
        <f>'Unformatted Trip Summary'!I113</f>
        <v>Taxi/Vehicle Share</v>
      </c>
      <c r="D115">
        <f>'Unformatted Trip Summary'!D113</f>
        <v>54</v>
      </c>
      <c r="E115">
        <f>'Unformatted Trip Summary'!E113</f>
        <v>94</v>
      </c>
      <c r="F115" s="1">
        <f>'Unformatted Trip Summary'!F113</f>
        <v>10.268843447</v>
      </c>
      <c r="G115" s="1">
        <f>'Unformatted Trip Summary'!G113</f>
        <v>79.037543726999999</v>
      </c>
      <c r="H115" s="1">
        <f>'Unformatted Trip Summary'!H113</f>
        <v>3.3158460349999999</v>
      </c>
    </row>
    <row r="116" spans="1:8" x14ac:dyDescent="0.2">
      <c r="A116" t="str">
        <f>'Unformatted Trip Summary'!A114</f>
        <v>02 AUCKLAND</v>
      </c>
      <c r="B116" t="str">
        <f>'Unformatted Trip Summary'!J114</f>
        <v>2012/13</v>
      </c>
      <c r="C116" t="str">
        <f>'Unformatted Trip Summary'!I114</f>
        <v>Motorcyclist</v>
      </c>
      <c r="D116">
        <f>'Unformatted Trip Summary'!D114</f>
        <v>15</v>
      </c>
      <c r="E116">
        <f>'Unformatted Trip Summary'!E114</f>
        <v>69</v>
      </c>
      <c r="F116" s="1">
        <f>'Unformatted Trip Summary'!F114</f>
        <v>4.1170216905999997</v>
      </c>
      <c r="G116" s="1">
        <f>'Unformatted Trip Summary'!G114</f>
        <v>43.570185572</v>
      </c>
      <c r="H116" s="1">
        <f>'Unformatted Trip Summary'!H114</f>
        <v>1.5334409518000001</v>
      </c>
    </row>
    <row r="117" spans="1:8" x14ac:dyDescent="0.2">
      <c r="A117" t="str">
        <f>'Unformatted Trip Summary'!A115</f>
        <v>02 AUCKLAND</v>
      </c>
      <c r="B117" t="str">
        <f>'Unformatted Trip Summary'!J115</f>
        <v>2017/18</v>
      </c>
      <c r="C117" t="str">
        <f>'Unformatted Trip Summary'!I115</f>
        <v>Motorcyclist</v>
      </c>
      <c r="D117">
        <f>'Unformatted Trip Summary'!D115</f>
        <v>15</v>
      </c>
      <c r="E117">
        <f>'Unformatted Trip Summary'!E115</f>
        <v>69</v>
      </c>
      <c r="F117" s="1">
        <f>'Unformatted Trip Summary'!F115</f>
        <v>4.5364792371</v>
      </c>
      <c r="G117" s="1">
        <f>'Unformatted Trip Summary'!G115</f>
        <v>47.902958554000001</v>
      </c>
      <c r="H117" s="1">
        <f>'Unformatted Trip Summary'!H115</f>
        <v>1.7019167005</v>
      </c>
    </row>
    <row r="118" spans="1:8" x14ac:dyDescent="0.2">
      <c r="A118" t="str">
        <f>'Unformatted Trip Summary'!A116</f>
        <v>02 AUCKLAND</v>
      </c>
      <c r="B118" t="str">
        <f>'Unformatted Trip Summary'!J116</f>
        <v>2022/23</v>
      </c>
      <c r="C118" t="str">
        <f>'Unformatted Trip Summary'!I116</f>
        <v>Motorcyclist</v>
      </c>
      <c r="D118">
        <f>'Unformatted Trip Summary'!D116</f>
        <v>15</v>
      </c>
      <c r="E118">
        <f>'Unformatted Trip Summary'!E116</f>
        <v>69</v>
      </c>
      <c r="F118" s="1">
        <f>'Unformatted Trip Summary'!F116</f>
        <v>4.9047489571999998</v>
      </c>
      <c r="G118" s="1">
        <f>'Unformatted Trip Summary'!G116</f>
        <v>50.326634493999997</v>
      </c>
      <c r="H118" s="1">
        <f>'Unformatted Trip Summary'!H116</f>
        <v>1.8172597503000001</v>
      </c>
    </row>
    <row r="119" spans="1:8" x14ac:dyDescent="0.2">
      <c r="A119" t="str">
        <f>'Unformatted Trip Summary'!A117</f>
        <v>02 AUCKLAND</v>
      </c>
      <c r="B119" t="str">
        <f>'Unformatted Trip Summary'!J117</f>
        <v>2027/28</v>
      </c>
      <c r="C119" t="str">
        <f>'Unformatted Trip Summary'!I117</f>
        <v>Motorcyclist</v>
      </c>
      <c r="D119">
        <f>'Unformatted Trip Summary'!D117</f>
        <v>15</v>
      </c>
      <c r="E119">
        <f>'Unformatted Trip Summary'!E117</f>
        <v>69</v>
      </c>
      <c r="F119" s="1">
        <f>'Unformatted Trip Summary'!F117</f>
        <v>5.4071937517000004</v>
      </c>
      <c r="G119" s="1">
        <f>'Unformatted Trip Summary'!G117</f>
        <v>53.134763675000002</v>
      </c>
      <c r="H119" s="1">
        <f>'Unformatted Trip Summary'!H117</f>
        <v>1.9504613176000001</v>
      </c>
    </row>
    <row r="120" spans="1:8" x14ac:dyDescent="0.2">
      <c r="A120" t="str">
        <f>'Unformatted Trip Summary'!A118</f>
        <v>02 AUCKLAND</v>
      </c>
      <c r="B120" t="str">
        <f>'Unformatted Trip Summary'!J118</f>
        <v>2032/33</v>
      </c>
      <c r="C120" t="str">
        <f>'Unformatted Trip Summary'!I118</f>
        <v>Motorcyclist</v>
      </c>
      <c r="D120">
        <f>'Unformatted Trip Summary'!D118</f>
        <v>15</v>
      </c>
      <c r="E120">
        <f>'Unformatted Trip Summary'!E118</f>
        <v>69</v>
      </c>
      <c r="F120" s="1">
        <f>'Unformatted Trip Summary'!F118</f>
        <v>5.8133490003999997</v>
      </c>
      <c r="G120" s="1">
        <f>'Unformatted Trip Summary'!G118</f>
        <v>55.966714375000002</v>
      </c>
      <c r="H120" s="1">
        <f>'Unformatted Trip Summary'!H118</f>
        <v>2.0778754323999999</v>
      </c>
    </row>
    <row r="121" spans="1:8" x14ac:dyDescent="0.2">
      <c r="A121" t="str">
        <f>'Unformatted Trip Summary'!A119</f>
        <v>02 AUCKLAND</v>
      </c>
      <c r="B121" t="str">
        <f>'Unformatted Trip Summary'!J119</f>
        <v>2037/38</v>
      </c>
      <c r="C121" t="str">
        <f>'Unformatted Trip Summary'!I119</f>
        <v>Motorcyclist</v>
      </c>
      <c r="D121">
        <f>'Unformatted Trip Summary'!D119</f>
        <v>15</v>
      </c>
      <c r="E121">
        <f>'Unformatted Trip Summary'!E119</f>
        <v>69</v>
      </c>
      <c r="F121" s="1">
        <f>'Unformatted Trip Summary'!F119</f>
        <v>5.9227793179999999</v>
      </c>
      <c r="G121" s="1">
        <f>'Unformatted Trip Summary'!G119</f>
        <v>57.226880764999997</v>
      </c>
      <c r="H121" s="1">
        <f>'Unformatted Trip Summary'!H119</f>
        <v>2.1457305909</v>
      </c>
    </row>
    <row r="122" spans="1:8" x14ac:dyDescent="0.2">
      <c r="A122" t="str">
        <f>'Unformatted Trip Summary'!A120</f>
        <v>02 AUCKLAND</v>
      </c>
      <c r="B122" t="str">
        <f>'Unformatted Trip Summary'!J120</f>
        <v>2042/43</v>
      </c>
      <c r="C122" t="str">
        <f>'Unformatted Trip Summary'!I120</f>
        <v>Motorcyclist</v>
      </c>
      <c r="D122">
        <f>'Unformatted Trip Summary'!D120</f>
        <v>15</v>
      </c>
      <c r="E122">
        <f>'Unformatted Trip Summary'!E120</f>
        <v>69</v>
      </c>
      <c r="F122" s="1">
        <f>'Unformatted Trip Summary'!F120</f>
        <v>5.9955365243000003</v>
      </c>
      <c r="G122" s="1">
        <f>'Unformatted Trip Summary'!G120</f>
        <v>58.313721774999998</v>
      </c>
      <c r="H122" s="1">
        <f>'Unformatted Trip Summary'!H120</f>
        <v>2.2049179117</v>
      </c>
    </row>
    <row r="123" spans="1:8" x14ac:dyDescent="0.2">
      <c r="A123" t="str">
        <f>'Unformatted Trip Summary'!A121</f>
        <v>02 AUCKLAND</v>
      </c>
      <c r="B123" t="str">
        <f>'Unformatted Trip Summary'!J121</f>
        <v>2012/13</v>
      </c>
      <c r="C123" t="str">
        <f>'Unformatted Trip Summary'!I121</f>
        <v>Local Train</v>
      </c>
      <c r="D123">
        <f>'Unformatted Trip Summary'!D121</f>
        <v>83</v>
      </c>
      <c r="E123">
        <f>'Unformatted Trip Summary'!E121</f>
        <v>197</v>
      </c>
      <c r="F123" s="1">
        <f>'Unformatted Trip Summary'!F121</f>
        <v>10.588451037</v>
      </c>
      <c r="G123" s="1">
        <f>'Unformatted Trip Summary'!G121</f>
        <v>126.27968744</v>
      </c>
      <c r="H123" s="1">
        <f>'Unformatted Trip Summary'!H121</f>
        <v>4.2843438359999997</v>
      </c>
    </row>
    <row r="124" spans="1:8" x14ac:dyDescent="0.2">
      <c r="A124" t="str">
        <f>'Unformatted Trip Summary'!A122</f>
        <v>02 AUCKLAND</v>
      </c>
      <c r="B124" t="str">
        <f>'Unformatted Trip Summary'!J122</f>
        <v>2017/18</v>
      </c>
      <c r="C124" t="str">
        <f>'Unformatted Trip Summary'!I122</f>
        <v>Local Train</v>
      </c>
      <c r="D124">
        <f>'Unformatted Trip Summary'!D122</f>
        <v>83</v>
      </c>
      <c r="E124">
        <f>'Unformatted Trip Summary'!E122</f>
        <v>197</v>
      </c>
      <c r="F124" s="1">
        <f>'Unformatted Trip Summary'!F122</f>
        <v>11.420578711999999</v>
      </c>
      <c r="G124" s="1">
        <f>'Unformatted Trip Summary'!G122</f>
        <v>138.03400911</v>
      </c>
      <c r="H124" s="1">
        <f>'Unformatted Trip Summary'!H122</f>
        <v>4.6853682510999999</v>
      </c>
    </row>
    <row r="125" spans="1:8" x14ac:dyDescent="0.2">
      <c r="A125" t="str">
        <f>'Unformatted Trip Summary'!A123</f>
        <v>02 AUCKLAND</v>
      </c>
      <c r="B125" t="str">
        <f>'Unformatted Trip Summary'!J123</f>
        <v>2022/23</v>
      </c>
      <c r="C125" t="str">
        <f>'Unformatted Trip Summary'!I123</f>
        <v>Local Train</v>
      </c>
      <c r="D125">
        <f>'Unformatted Trip Summary'!D123</f>
        <v>83</v>
      </c>
      <c r="E125">
        <f>'Unformatted Trip Summary'!E123</f>
        <v>197</v>
      </c>
      <c r="F125" s="1">
        <f>'Unformatted Trip Summary'!F123</f>
        <v>11.879401543</v>
      </c>
      <c r="G125" s="1">
        <f>'Unformatted Trip Summary'!G123</f>
        <v>144.14984676</v>
      </c>
      <c r="H125" s="1">
        <f>'Unformatted Trip Summary'!H123</f>
        <v>4.9043856447999996</v>
      </c>
    </row>
    <row r="126" spans="1:8" x14ac:dyDescent="0.2">
      <c r="A126" t="str">
        <f>'Unformatted Trip Summary'!A124</f>
        <v>02 AUCKLAND</v>
      </c>
      <c r="B126" t="str">
        <f>'Unformatted Trip Summary'!J124</f>
        <v>2027/28</v>
      </c>
      <c r="C126" t="str">
        <f>'Unformatted Trip Summary'!I124</f>
        <v>Local Train</v>
      </c>
      <c r="D126">
        <f>'Unformatted Trip Summary'!D124</f>
        <v>83</v>
      </c>
      <c r="E126">
        <f>'Unformatted Trip Summary'!E124</f>
        <v>197</v>
      </c>
      <c r="F126" s="1">
        <f>'Unformatted Trip Summary'!F124</f>
        <v>12.234843393</v>
      </c>
      <c r="G126" s="1">
        <f>'Unformatted Trip Summary'!G124</f>
        <v>148.45929380999999</v>
      </c>
      <c r="H126" s="1">
        <f>'Unformatted Trip Summary'!H124</f>
        <v>5.0421625551</v>
      </c>
    </row>
    <row r="127" spans="1:8" x14ac:dyDescent="0.2">
      <c r="A127" t="str">
        <f>'Unformatted Trip Summary'!A125</f>
        <v>02 AUCKLAND</v>
      </c>
      <c r="B127" t="str">
        <f>'Unformatted Trip Summary'!J125</f>
        <v>2032/33</v>
      </c>
      <c r="C127" t="str">
        <f>'Unformatted Trip Summary'!I125</f>
        <v>Local Train</v>
      </c>
      <c r="D127">
        <f>'Unformatted Trip Summary'!D125</f>
        <v>83</v>
      </c>
      <c r="E127">
        <f>'Unformatted Trip Summary'!E125</f>
        <v>197</v>
      </c>
      <c r="F127" s="1">
        <f>'Unformatted Trip Summary'!F125</f>
        <v>12.444639186</v>
      </c>
      <c r="G127" s="1">
        <f>'Unformatted Trip Summary'!G125</f>
        <v>151.83225386999999</v>
      </c>
      <c r="H127" s="1">
        <f>'Unformatted Trip Summary'!H125</f>
        <v>5.1310096593000001</v>
      </c>
    </row>
    <row r="128" spans="1:8" x14ac:dyDescent="0.2">
      <c r="A128" t="str">
        <f>'Unformatted Trip Summary'!A126</f>
        <v>02 AUCKLAND</v>
      </c>
      <c r="B128" t="str">
        <f>'Unformatted Trip Summary'!J126</f>
        <v>2037/38</v>
      </c>
      <c r="C128" t="str">
        <f>'Unformatted Trip Summary'!I126</f>
        <v>Local Train</v>
      </c>
      <c r="D128">
        <f>'Unformatted Trip Summary'!D126</f>
        <v>83</v>
      </c>
      <c r="E128">
        <f>'Unformatted Trip Summary'!E126</f>
        <v>197</v>
      </c>
      <c r="F128" s="1">
        <f>'Unformatted Trip Summary'!F126</f>
        <v>12.455475623</v>
      </c>
      <c r="G128" s="1">
        <f>'Unformatted Trip Summary'!G126</f>
        <v>152.95424098999999</v>
      </c>
      <c r="H128" s="1">
        <f>'Unformatted Trip Summary'!H126</f>
        <v>5.1626424107000002</v>
      </c>
    </row>
    <row r="129" spans="1:8" x14ac:dyDescent="0.2">
      <c r="A129" t="str">
        <f>'Unformatted Trip Summary'!A127</f>
        <v>02 AUCKLAND</v>
      </c>
      <c r="B129" t="str">
        <f>'Unformatted Trip Summary'!J127</f>
        <v>2042/43</v>
      </c>
      <c r="C129" t="str">
        <f>'Unformatted Trip Summary'!I127</f>
        <v>Local Train</v>
      </c>
      <c r="D129">
        <f>'Unformatted Trip Summary'!D127</f>
        <v>83</v>
      </c>
      <c r="E129">
        <f>'Unformatted Trip Summary'!E127</f>
        <v>197</v>
      </c>
      <c r="F129" s="1">
        <f>'Unformatted Trip Summary'!F127</f>
        <v>12.377482091999999</v>
      </c>
      <c r="G129" s="1">
        <f>'Unformatted Trip Summary'!G127</f>
        <v>152.99772264000001</v>
      </c>
      <c r="H129" s="1">
        <f>'Unformatted Trip Summary'!H127</f>
        <v>5.1555646639999999</v>
      </c>
    </row>
    <row r="130" spans="1:8" x14ac:dyDescent="0.2">
      <c r="A130" t="str">
        <f>'Unformatted Trip Summary'!A128</f>
        <v>02 AUCKLAND</v>
      </c>
      <c r="B130" t="str">
        <f>'Unformatted Trip Summary'!J128</f>
        <v>2012/13</v>
      </c>
      <c r="C130" t="str">
        <f>'Unformatted Trip Summary'!I128</f>
        <v>Local Bus</v>
      </c>
      <c r="D130">
        <f>'Unformatted Trip Summary'!D128</f>
        <v>334</v>
      </c>
      <c r="E130">
        <f>'Unformatted Trip Summary'!E128</f>
        <v>882</v>
      </c>
      <c r="F130" s="1">
        <f>'Unformatted Trip Summary'!F128</f>
        <v>54.403429504999998</v>
      </c>
      <c r="G130" s="1">
        <f>'Unformatted Trip Summary'!G128</f>
        <v>439.27566032999999</v>
      </c>
      <c r="H130" s="1">
        <f>'Unformatted Trip Summary'!H128</f>
        <v>22.622672496</v>
      </c>
    </row>
    <row r="131" spans="1:8" x14ac:dyDescent="0.2">
      <c r="A131" t="str">
        <f>'Unformatted Trip Summary'!A129</f>
        <v>02 AUCKLAND</v>
      </c>
      <c r="B131" t="str">
        <f>'Unformatted Trip Summary'!J129</f>
        <v>2017/18</v>
      </c>
      <c r="C131" t="str">
        <f>'Unformatted Trip Summary'!I129</f>
        <v>Local Bus</v>
      </c>
      <c r="D131">
        <f>'Unformatted Trip Summary'!D129</f>
        <v>334</v>
      </c>
      <c r="E131">
        <f>'Unformatted Trip Summary'!E129</f>
        <v>882</v>
      </c>
      <c r="F131" s="1">
        <f>'Unformatted Trip Summary'!F129</f>
        <v>56.901281644000001</v>
      </c>
      <c r="G131" s="1">
        <f>'Unformatted Trip Summary'!G129</f>
        <v>464.53696092000001</v>
      </c>
      <c r="H131" s="1">
        <f>'Unformatted Trip Summary'!H129</f>
        <v>23.884403189</v>
      </c>
    </row>
    <row r="132" spans="1:8" x14ac:dyDescent="0.2">
      <c r="A132" t="str">
        <f>'Unformatted Trip Summary'!A130</f>
        <v>02 AUCKLAND</v>
      </c>
      <c r="B132" t="str">
        <f>'Unformatted Trip Summary'!J130</f>
        <v>2022/23</v>
      </c>
      <c r="C132" t="str">
        <f>'Unformatted Trip Summary'!I130</f>
        <v>Local Bus</v>
      </c>
      <c r="D132">
        <f>'Unformatted Trip Summary'!D130</f>
        <v>334</v>
      </c>
      <c r="E132">
        <f>'Unformatted Trip Summary'!E130</f>
        <v>882</v>
      </c>
      <c r="F132" s="1">
        <f>'Unformatted Trip Summary'!F130</f>
        <v>57.704774139000001</v>
      </c>
      <c r="G132" s="1">
        <f>'Unformatted Trip Summary'!G130</f>
        <v>474.39419737999998</v>
      </c>
      <c r="H132" s="1">
        <f>'Unformatted Trip Summary'!H130</f>
        <v>24.297402097999999</v>
      </c>
    </row>
    <row r="133" spans="1:8" x14ac:dyDescent="0.2">
      <c r="A133" t="str">
        <f>'Unformatted Trip Summary'!A131</f>
        <v>02 AUCKLAND</v>
      </c>
      <c r="B133" t="str">
        <f>'Unformatted Trip Summary'!J131</f>
        <v>2027/28</v>
      </c>
      <c r="C133" t="str">
        <f>'Unformatted Trip Summary'!I131</f>
        <v>Local Bus</v>
      </c>
      <c r="D133">
        <f>'Unformatted Trip Summary'!D131</f>
        <v>334</v>
      </c>
      <c r="E133">
        <f>'Unformatted Trip Summary'!E131</f>
        <v>882</v>
      </c>
      <c r="F133" s="1">
        <f>'Unformatted Trip Summary'!F131</f>
        <v>57.34791817</v>
      </c>
      <c r="G133" s="1">
        <f>'Unformatted Trip Summary'!G131</f>
        <v>476.37799767000001</v>
      </c>
      <c r="H133" s="1">
        <f>'Unformatted Trip Summary'!H131</f>
        <v>24.240961715000001</v>
      </c>
    </row>
    <row r="134" spans="1:8" x14ac:dyDescent="0.2">
      <c r="A134" t="str">
        <f>'Unformatted Trip Summary'!A132</f>
        <v>02 AUCKLAND</v>
      </c>
      <c r="B134" t="str">
        <f>'Unformatted Trip Summary'!J132</f>
        <v>2032/33</v>
      </c>
      <c r="C134" t="str">
        <f>'Unformatted Trip Summary'!I132</f>
        <v>Local Bus</v>
      </c>
      <c r="D134">
        <f>'Unformatted Trip Summary'!D132</f>
        <v>334</v>
      </c>
      <c r="E134">
        <f>'Unformatted Trip Summary'!E132</f>
        <v>882</v>
      </c>
      <c r="F134" s="1">
        <f>'Unformatted Trip Summary'!F132</f>
        <v>55.954404328000003</v>
      </c>
      <c r="G134" s="1">
        <f>'Unformatted Trip Summary'!G132</f>
        <v>468.51053669999999</v>
      </c>
      <c r="H134" s="1">
        <f>'Unformatted Trip Summary'!H132</f>
        <v>23.712285279</v>
      </c>
    </row>
    <row r="135" spans="1:8" x14ac:dyDescent="0.2">
      <c r="A135" t="str">
        <f>'Unformatted Trip Summary'!A133</f>
        <v>02 AUCKLAND</v>
      </c>
      <c r="B135" t="str">
        <f>'Unformatted Trip Summary'!J133</f>
        <v>2037/38</v>
      </c>
      <c r="C135" t="str">
        <f>'Unformatted Trip Summary'!I133</f>
        <v>Local Bus</v>
      </c>
      <c r="D135">
        <f>'Unformatted Trip Summary'!D133</f>
        <v>334</v>
      </c>
      <c r="E135">
        <f>'Unformatted Trip Summary'!E133</f>
        <v>882</v>
      </c>
      <c r="F135" s="1">
        <f>'Unformatted Trip Summary'!F133</f>
        <v>54.367114821999998</v>
      </c>
      <c r="G135" s="1">
        <f>'Unformatted Trip Summary'!G133</f>
        <v>459.35218421000002</v>
      </c>
      <c r="H135" s="1">
        <f>'Unformatted Trip Summary'!H133</f>
        <v>23.120775157000001</v>
      </c>
    </row>
    <row r="136" spans="1:8" x14ac:dyDescent="0.2">
      <c r="A136" t="str">
        <f>'Unformatted Trip Summary'!A134</f>
        <v>02 AUCKLAND</v>
      </c>
      <c r="B136" t="str">
        <f>'Unformatted Trip Summary'!J134</f>
        <v>2042/43</v>
      </c>
      <c r="C136" t="str">
        <f>'Unformatted Trip Summary'!I134</f>
        <v>Local Bus</v>
      </c>
      <c r="D136">
        <f>'Unformatted Trip Summary'!D134</f>
        <v>334</v>
      </c>
      <c r="E136">
        <f>'Unformatted Trip Summary'!E134</f>
        <v>882</v>
      </c>
      <c r="F136" s="1">
        <f>'Unformatted Trip Summary'!F134</f>
        <v>52.396734487000003</v>
      </c>
      <c r="G136" s="1">
        <f>'Unformatted Trip Summary'!G134</f>
        <v>447.02881789999998</v>
      </c>
      <c r="H136" s="1">
        <f>'Unformatted Trip Summary'!H134</f>
        <v>22.373467740999999</v>
      </c>
    </row>
    <row r="137" spans="1:8" x14ac:dyDescent="0.2">
      <c r="A137" t="str">
        <f>'Unformatted Trip Summary'!A135</f>
        <v>02 AUCKLAND</v>
      </c>
      <c r="B137" t="str">
        <f>'Unformatted Trip Summary'!J135</f>
        <v>2012/13</v>
      </c>
      <c r="C137" t="str">
        <f>'Unformatted Trip Summary'!I135</f>
        <v>Local Ferry</v>
      </c>
      <c r="D137">
        <f>'Unformatted Trip Summary'!D135</f>
        <v>33</v>
      </c>
      <c r="E137">
        <f>'Unformatted Trip Summary'!E135</f>
        <v>75</v>
      </c>
      <c r="F137" s="1">
        <f>'Unformatted Trip Summary'!F135</f>
        <v>4.3086283299000003</v>
      </c>
      <c r="G137" s="1">
        <f>'Unformatted Trip Summary'!G135</f>
        <v>0</v>
      </c>
      <c r="H137" s="1">
        <f>'Unformatted Trip Summary'!H135</f>
        <v>1.2124045342000001</v>
      </c>
    </row>
    <row r="138" spans="1:8" x14ac:dyDescent="0.2">
      <c r="A138" t="str">
        <f>'Unformatted Trip Summary'!A136</f>
        <v>02 AUCKLAND</v>
      </c>
      <c r="B138" t="str">
        <f>'Unformatted Trip Summary'!J136</f>
        <v>2017/18</v>
      </c>
      <c r="C138" t="str">
        <f>'Unformatted Trip Summary'!I136</f>
        <v>Local Ferry</v>
      </c>
      <c r="D138">
        <f>'Unformatted Trip Summary'!D136</f>
        <v>33</v>
      </c>
      <c r="E138">
        <f>'Unformatted Trip Summary'!E136</f>
        <v>75</v>
      </c>
      <c r="F138" s="1">
        <f>'Unformatted Trip Summary'!F136</f>
        <v>4.7459620760999996</v>
      </c>
      <c r="G138" s="1">
        <f>'Unformatted Trip Summary'!G136</f>
        <v>0</v>
      </c>
      <c r="H138" s="1">
        <f>'Unformatted Trip Summary'!H136</f>
        <v>1.3419084052000001</v>
      </c>
    </row>
    <row r="139" spans="1:8" x14ac:dyDescent="0.2">
      <c r="A139" t="str">
        <f>'Unformatted Trip Summary'!A137</f>
        <v>02 AUCKLAND</v>
      </c>
      <c r="B139" t="str">
        <f>'Unformatted Trip Summary'!J137</f>
        <v>2022/23</v>
      </c>
      <c r="C139" t="str">
        <f>'Unformatted Trip Summary'!I137</f>
        <v>Local Ferry</v>
      </c>
      <c r="D139">
        <f>'Unformatted Trip Summary'!D137</f>
        <v>33</v>
      </c>
      <c r="E139">
        <f>'Unformatted Trip Summary'!E137</f>
        <v>75</v>
      </c>
      <c r="F139" s="1">
        <f>'Unformatted Trip Summary'!F137</f>
        <v>5.0711723812000002</v>
      </c>
      <c r="G139" s="1">
        <f>'Unformatted Trip Summary'!G137</f>
        <v>0</v>
      </c>
      <c r="H139" s="1">
        <f>'Unformatted Trip Summary'!H137</f>
        <v>1.4287101494000001</v>
      </c>
    </row>
    <row r="140" spans="1:8" x14ac:dyDescent="0.2">
      <c r="A140" t="str">
        <f>'Unformatted Trip Summary'!A138</f>
        <v>02 AUCKLAND</v>
      </c>
      <c r="B140" t="str">
        <f>'Unformatted Trip Summary'!J138</f>
        <v>2027/28</v>
      </c>
      <c r="C140" t="str">
        <f>'Unformatted Trip Summary'!I138</f>
        <v>Local Ferry</v>
      </c>
      <c r="D140">
        <f>'Unformatted Trip Summary'!D138</f>
        <v>33</v>
      </c>
      <c r="E140">
        <f>'Unformatted Trip Summary'!E138</f>
        <v>75</v>
      </c>
      <c r="F140" s="1">
        <f>'Unformatted Trip Summary'!F138</f>
        <v>5.2346440496</v>
      </c>
      <c r="G140" s="1">
        <f>'Unformatted Trip Summary'!G138</f>
        <v>0</v>
      </c>
      <c r="H140" s="1">
        <f>'Unformatted Trip Summary'!H138</f>
        <v>1.4817644062999999</v>
      </c>
    </row>
    <row r="141" spans="1:8" x14ac:dyDescent="0.2">
      <c r="A141" t="str">
        <f>'Unformatted Trip Summary'!A139</f>
        <v>02 AUCKLAND</v>
      </c>
      <c r="B141" t="str">
        <f>'Unformatted Trip Summary'!J139</f>
        <v>2032/33</v>
      </c>
      <c r="C141" t="str">
        <f>'Unformatted Trip Summary'!I139</f>
        <v>Local Ferry</v>
      </c>
      <c r="D141">
        <f>'Unformatted Trip Summary'!D139</f>
        <v>33</v>
      </c>
      <c r="E141">
        <f>'Unformatted Trip Summary'!E139</f>
        <v>75</v>
      </c>
      <c r="F141" s="1">
        <f>'Unformatted Trip Summary'!F139</f>
        <v>5.3437246612999996</v>
      </c>
      <c r="G141" s="1">
        <f>'Unformatted Trip Summary'!G139</f>
        <v>0</v>
      </c>
      <c r="H141" s="1">
        <f>'Unformatted Trip Summary'!H139</f>
        <v>1.5224171607999999</v>
      </c>
    </row>
    <row r="142" spans="1:8" x14ac:dyDescent="0.2">
      <c r="A142" t="str">
        <f>'Unformatted Trip Summary'!A140</f>
        <v>02 AUCKLAND</v>
      </c>
      <c r="B142" t="str">
        <f>'Unformatted Trip Summary'!J140</f>
        <v>2037/38</v>
      </c>
      <c r="C142" t="str">
        <f>'Unformatted Trip Summary'!I140</f>
        <v>Local Ferry</v>
      </c>
      <c r="D142">
        <f>'Unformatted Trip Summary'!D140</f>
        <v>33</v>
      </c>
      <c r="E142">
        <f>'Unformatted Trip Summary'!E140</f>
        <v>75</v>
      </c>
      <c r="F142" s="1">
        <f>'Unformatted Trip Summary'!F140</f>
        <v>5.5945693960999998</v>
      </c>
      <c r="G142" s="1">
        <f>'Unformatted Trip Summary'!G140</f>
        <v>0</v>
      </c>
      <c r="H142" s="1">
        <f>'Unformatted Trip Summary'!H140</f>
        <v>1.5980605955</v>
      </c>
    </row>
    <row r="143" spans="1:8" x14ac:dyDescent="0.2">
      <c r="A143" t="str">
        <f>'Unformatted Trip Summary'!A141</f>
        <v>02 AUCKLAND</v>
      </c>
      <c r="B143" t="str">
        <f>'Unformatted Trip Summary'!J141</f>
        <v>2042/43</v>
      </c>
      <c r="C143" t="str">
        <f>'Unformatted Trip Summary'!I141</f>
        <v>Local Ferry</v>
      </c>
      <c r="D143">
        <f>'Unformatted Trip Summary'!D141</f>
        <v>33</v>
      </c>
      <c r="E143">
        <f>'Unformatted Trip Summary'!E141</f>
        <v>75</v>
      </c>
      <c r="F143" s="1">
        <f>'Unformatted Trip Summary'!F141</f>
        <v>5.7947294436999996</v>
      </c>
      <c r="G143" s="1">
        <f>'Unformatted Trip Summary'!G141</f>
        <v>0</v>
      </c>
      <c r="H143" s="1">
        <f>'Unformatted Trip Summary'!H141</f>
        <v>1.6597343600000001</v>
      </c>
    </row>
    <row r="144" spans="1:8" x14ac:dyDescent="0.2">
      <c r="A144" t="str">
        <f>'Unformatted Trip Summary'!A142</f>
        <v>02 AUCKLAND</v>
      </c>
      <c r="B144" t="str">
        <f>'Unformatted Trip Summary'!J142</f>
        <v>2012/13</v>
      </c>
      <c r="C144" t="str">
        <f>'Unformatted Trip Summary'!I142</f>
        <v>Other Household Travel</v>
      </c>
      <c r="D144">
        <f>'Unformatted Trip Summary'!D142</f>
        <v>21</v>
      </c>
      <c r="E144">
        <f>'Unformatted Trip Summary'!E142</f>
        <v>52</v>
      </c>
      <c r="F144" s="1">
        <f>'Unformatted Trip Summary'!F142</f>
        <v>2.2145179384000002</v>
      </c>
      <c r="G144" s="1">
        <f>'Unformatted Trip Summary'!G142</f>
        <v>1.8241938706</v>
      </c>
      <c r="H144" s="1">
        <f>'Unformatted Trip Summary'!H142</f>
        <v>2.4325058500000001</v>
      </c>
    </row>
    <row r="145" spans="1:8" x14ac:dyDescent="0.2">
      <c r="A145" t="str">
        <f>'Unformatted Trip Summary'!A143</f>
        <v>02 AUCKLAND</v>
      </c>
      <c r="B145" t="str">
        <f>'Unformatted Trip Summary'!J143</f>
        <v>2017/18</v>
      </c>
      <c r="C145" t="str">
        <f>'Unformatted Trip Summary'!I143</f>
        <v>Other Household Travel</v>
      </c>
      <c r="D145">
        <f>'Unformatted Trip Summary'!D143</f>
        <v>21</v>
      </c>
      <c r="E145">
        <f>'Unformatted Trip Summary'!E143</f>
        <v>52</v>
      </c>
      <c r="F145" s="1">
        <f>'Unformatted Trip Summary'!F143</f>
        <v>2.4174351365</v>
      </c>
      <c r="G145" s="1">
        <f>'Unformatted Trip Summary'!G143</f>
        <v>1.7774694251000001</v>
      </c>
      <c r="H145" s="1">
        <f>'Unformatted Trip Summary'!H143</f>
        <v>2.7789668867000001</v>
      </c>
    </row>
    <row r="146" spans="1:8" x14ac:dyDescent="0.2">
      <c r="A146" t="str">
        <f>'Unformatted Trip Summary'!A144</f>
        <v>02 AUCKLAND</v>
      </c>
      <c r="B146" t="str">
        <f>'Unformatted Trip Summary'!J144</f>
        <v>2022/23</v>
      </c>
      <c r="C146" t="str">
        <f>'Unformatted Trip Summary'!I144</f>
        <v>Other Household Travel</v>
      </c>
      <c r="D146">
        <f>'Unformatted Trip Summary'!D144</f>
        <v>21</v>
      </c>
      <c r="E146">
        <f>'Unformatted Trip Summary'!E144</f>
        <v>52</v>
      </c>
      <c r="F146" s="1">
        <f>'Unformatted Trip Summary'!F144</f>
        <v>2.5687270042999999</v>
      </c>
      <c r="G146" s="1">
        <f>'Unformatted Trip Summary'!G144</f>
        <v>1.6812944196999999</v>
      </c>
      <c r="H146" s="1">
        <f>'Unformatted Trip Summary'!H144</f>
        <v>2.9610359930999999</v>
      </c>
    </row>
    <row r="147" spans="1:8" x14ac:dyDescent="0.2">
      <c r="A147" t="str">
        <f>'Unformatted Trip Summary'!A145</f>
        <v>02 AUCKLAND</v>
      </c>
      <c r="B147" t="str">
        <f>'Unformatted Trip Summary'!J145</f>
        <v>2027/28</v>
      </c>
      <c r="C147" t="str">
        <f>'Unformatted Trip Summary'!I145</f>
        <v>Other Household Travel</v>
      </c>
      <c r="D147">
        <f>'Unformatted Trip Summary'!D145</f>
        <v>21</v>
      </c>
      <c r="E147">
        <f>'Unformatted Trip Summary'!E145</f>
        <v>52</v>
      </c>
      <c r="F147" s="1">
        <f>'Unformatted Trip Summary'!F145</f>
        <v>2.7157086280999998</v>
      </c>
      <c r="G147" s="1">
        <f>'Unformatted Trip Summary'!G145</f>
        <v>1.9308307612</v>
      </c>
      <c r="H147" s="1">
        <f>'Unformatted Trip Summary'!H145</f>
        <v>3.0022448159000001</v>
      </c>
    </row>
    <row r="148" spans="1:8" x14ac:dyDescent="0.2">
      <c r="A148" t="str">
        <f>'Unformatted Trip Summary'!A146</f>
        <v>02 AUCKLAND</v>
      </c>
      <c r="B148" t="str">
        <f>'Unformatted Trip Summary'!J146</f>
        <v>2032/33</v>
      </c>
      <c r="C148" t="str">
        <f>'Unformatted Trip Summary'!I146</f>
        <v>Other Household Travel</v>
      </c>
      <c r="D148">
        <f>'Unformatted Trip Summary'!D146</f>
        <v>21</v>
      </c>
      <c r="E148">
        <f>'Unformatted Trip Summary'!E146</f>
        <v>52</v>
      </c>
      <c r="F148" s="1">
        <f>'Unformatted Trip Summary'!F146</f>
        <v>2.8512370236</v>
      </c>
      <c r="G148" s="1">
        <f>'Unformatted Trip Summary'!G146</f>
        <v>2.0597820572000001</v>
      </c>
      <c r="H148" s="1">
        <f>'Unformatted Trip Summary'!H146</f>
        <v>3.064139838</v>
      </c>
    </row>
    <row r="149" spans="1:8" x14ac:dyDescent="0.2">
      <c r="A149" t="str">
        <f>'Unformatted Trip Summary'!A147</f>
        <v>02 AUCKLAND</v>
      </c>
      <c r="B149" t="str">
        <f>'Unformatted Trip Summary'!J147</f>
        <v>2037/38</v>
      </c>
      <c r="C149" t="str">
        <f>'Unformatted Trip Summary'!I147</f>
        <v>Other Household Travel</v>
      </c>
      <c r="D149">
        <f>'Unformatted Trip Summary'!D147</f>
        <v>21</v>
      </c>
      <c r="E149">
        <f>'Unformatted Trip Summary'!E147</f>
        <v>52</v>
      </c>
      <c r="F149" s="1">
        <f>'Unformatted Trip Summary'!F147</f>
        <v>3.0024289318999999</v>
      </c>
      <c r="G149" s="1">
        <f>'Unformatted Trip Summary'!G147</f>
        <v>2.0472325805999998</v>
      </c>
      <c r="H149" s="1">
        <f>'Unformatted Trip Summary'!H147</f>
        <v>3.1934478393000001</v>
      </c>
    </row>
    <row r="150" spans="1:8" x14ac:dyDescent="0.2">
      <c r="A150" t="str">
        <f>'Unformatted Trip Summary'!A148</f>
        <v>02 AUCKLAND</v>
      </c>
      <c r="B150" t="str">
        <f>'Unformatted Trip Summary'!J148</f>
        <v>2042/43</v>
      </c>
      <c r="C150" t="str">
        <f>'Unformatted Trip Summary'!I148</f>
        <v>Other Household Travel</v>
      </c>
      <c r="D150">
        <f>'Unformatted Trip Summary'!D148</f>
        <v>21</v>
      </c>
      <c r="E150">
        <f>'Unformatted Trip Summary'!E148</f>
        <v>52</v>
      </c>
      <c r="F150" s="1">
        <f>'Unformatted Trip Summary'!F148</f>
        <v>3.1470763378000002</v>
      </c>
      <c r="G150" s="1">
        <f>'Unformatted Trip Summary'!G148</f>
        <v>1.9888879017000001</v>
      </c>
      <c r="H150" s="1">
        <f>'Unformatted Trip Summary'!H148</f>
        <v>3.3190839157999998</v>
      </c>
    </row>
    <row r="151" spans="1:8" x14ac:dyDescent="0.2">
      <c r="A151" t="str">
        <f>'Unformatted Trip Summary'!A149</f>
        <v>02 AUCKLAND</v>
      </c>
      <c r="B151" t="str">
        <f>'Unformatted Trip Summary'!J149</f>
        <v>2012/13</v>
      </c>
      <c r="C151" t="str">
        <f>'Unformatted Trip Summary'!I149</f>
        <v>Air/Non-Local PT</v>
      </c>
      <c r="D151">
        <f>'Unformatted Trip Summary'!D149</f>
        <v>46</v>
      </c>
      <c r="E151">
        <f>'Unformatted Trip Summary'!E149</f>
        <v>52</v>
      </c>
      <c r="F151" s="1">
        <f>'Unformatted Trip Summary'!F149</f>
        <v>2.8879196329000001</v>
      </c>
      <c r="G151" s="1">
        <f>'Unformatted Trip Summary'!G149</f>
        <v>37.321781539</v>
      </c>
      <c r="H151" s="1">
        <f>'Unformatted Trip Summary'!H149</f>
        <v>5.1213278228999997</v>
      </c>
    </row>
    <row r="152" spans="1:8" x14ac:dyDescent="0.2">
      <c r="A152" t="str">
        <f>'Unformatted Trip Summary'!A150</f>
        <v>02 AUCKLAND</v>
      </c>
      <c r="B152" t="str">
        <f>'Unformatted Trip Summary'!J150</f>
        <v>2017/18</v>
      </c>
      <c r="C152" t="str">
        <f>'Unformatted Trip Summary'!I150</f>
        <v>Air/Non-Local PT</v>
      </c>
      <c r="D152">
        <f>'Unformatted Trip Summary'!D150</f>
        <v>46</v>
      </c>
      <c r="E152">
        <f>'Unformatted Trip Summary'!E150</f>
        <v>52</v>
      </c>
      <c r="F152" s="1">
        <f>'Unformatted Trip Summary'!F150</f>
        <v>3.5291859962999999</v>
      </c>
      <c r="G152" s="1">
        <f>'Unformatted Trip Summary'!G150</f>
        <v>43.085185574</v>
      </c>
      <c r="H152" s="1">
        <f>'Unformatted Trip Summary'!H150</f>
        <v>6.1943765715000003</v>
      </c>
    </row>
    <row r="153" spans="1:8" x14ac:dyDescent="0.2">
      <c r="A153" t="str">
        <f>'Unformatted Trip Summary'!A151</f>
        <v>02 AUCKLAND</v>
      </c>
      <c r="B153" t="str">
        <f>'Unformatted Trip Summary'!J151</f>
        <v>2022/23</v>
      </c>
      <c r="C153" t="str">
        <f>'Unformatted Trip Summary'!I151</f>
        <v>Air/Non-Local PT</v>
      </c>
      <c r="D153">
        <f>'Unformatted Trip Summary'!D151</f>
        <v>46</v>
      </c>
      <c r="E153">
        <f>'Unformatted Trip Summary'!E151</f>
        <v>52</v>
      </c>
      <c r="F153" s="1">
        <f>'Unformatted Trip Summary'!F151</f>
        <v>4.0033337046000002</v>
      </c>
      <c r="G153" s="1">
        <f>'Unformatted Trip Summary'!G151</f>
        <v>47.282993257999998</v>
      </c>
      <c r="H153" s="1">
        <f>'Unformatted Trip Summary'!H151</f>
        <v>6.9528388656000004</v>
      </c>
    </row>
    <row r="154" spans="1:8" x14ac:dyDescent="0.2">
      <c r="A154" t="str">
        <f>'Unformatted Trip Summary'!A152</f>
        <v>02 AUCKLAND</v>
      </c>
      <c r="B154" t="str">
        <f>'Unformatted Trip Summary'!J152</f>
        <v>2027/28</v>
      </c>
      <c r="C154" t="str">
        <f>'Unformatted Trip Summary'!I152</f>
        <v>Air/Non-Local PT</v>
      </c>
      <c r="D154">
        <f>'Unformatted Trip Summary'!D152</f>
        <v>46</v>
      </c>
      <c r="E154">
        <f>'Unformatted Trip Summary'!E152</f>
        <v>52</v>
      </c>
      <c r="F154" s="1">
        <f>'Unformatted Trip Summary'!F152</f>
        <v>4.3909340634999996</v>
      </c>
      <c r="G154" s="1">
        <f>'Unformatted Trip Summary'!G152</f>
        <v>49.496529887000001</v>
      </c>
      <c r="H154" s="1">
        <f>'Unformatted Trip Summary'!H152</f>
        <v>7.5357658908999996</v>
      </c>
    </row>
    <row r="155" spans="1:8" x14ac:dyDescent="0.2">
      <c r="A155" t="str">
        <f>'Unformatted Trip Summary'!A153</f>
        <v>02 AUCKLAND</v>
      </c>
      <c r="B155" t="str">
        <f>'Unformatted Trip Summary'!J153</f>
        <v>2032/33</v>
      </c>
      <c r="C155" t="str">
        <f>'Unformatted Trip Summary'!I153</f>
        <v>Air/Non-Local PT</v>
      </c>
      <c r="D155">
        <f>'Unformatted Trip Summary'!D153</f>
        <v>46</v>
      </c>
      <c r="E155">
        <f>'Unformatted Trip Summary'!E153</f>
        <v>52</v>
      </c>
      <c r="F155" s="1">
        <f>'Unformatted Trip Summary'!F153</f>
        <v>4.8178555565999996</v>
      </c>
      <c r="G155" s="1">
        <f>'Unformatted Trip Summary'!G153</f>
        <v>49.909354282000002</v>
      </c>
      <c r="H155" s="1">
        <f>'Unformatted Trip Summary'!H153</f>
        <v>8.2132569356000005</v>
      </c>
    </row>
    <row r="156" spans="1:8" x14ac:dyDescent="0.2">
      <c r="A156" t="str">
        <f>'Unformatted Trip Summary'!A154</f>
        <v>02 AUCKLAND</v>
      </c>
      <c r="B156" t="str">
        <f>'Unformatted Trip Summary'!J154</f>
        <v>2037/38</v>
      </c>
      <c r="C156" t="str">
        <f>'Unformatted Trip Summary'!I154</f>
        <v>Air/Non-Local PT</v>
      </c>
      <c r="D156">
        <f>'Unformatted Trip Summary'!D154</f>
        <v>46</v>
      </c>
      <c r="E156">
        <f>'Unformatted Trip Summary'!E154</f>
        <v>52</v>
      </c>
      <c r="F156" s="1">
        <f>'Unformatted Trip Summary'!F154</f>
        <v>5.2849164714999999</v>
      </c>
      <c r="G156" s="1">
        <f>'Unformatted Trip Summary'!G154</f>
        <v>53.076952507000001</v>
      </c>
      <c r="H156" s="1">
        <f>'Unformatted Trip Summary'!H154</f>
        <v>9.0080513095000008</v>
      </c>
    </row>
    <row r="157" spans="1:8" x14ac:dyDescent="0.2">
      <c r="A157" t="str">
        <f>'Unformatted Trip Summary'!A155</f>
        <v>02 AUCKLAND</v>
      </c>
      <c r="B157" t="str">
        <f>'Unformatted Trip Summary'!J155</f>
        <v>2042/43</v>
      </c>
      <c r="C157" t="str">
        <f>'Unformatted Trip Summary'!I155</f>
        <v>Air/Non-Local PT</v>
      </c>
      <c r="D157">
        <f>'Unformatted Trip Summary'!D155</f>
        <v>46</v>
      </c>
      <c r="E157">
        <f>'Unformatted Trip Summary'!E155</f>
        <v>52</v>
      </c>
      <c r="F157" s="1">
        <f>'Unformatted Trip Summary'!F155</f>
        <v>5.7524956448999998</v>
      </c>
      <c r="G157" s="1">
        <f>'Unformatted Trip Summary'!G155</f>
        <v>56.868012380000003</v>
      </c>
      <c r="H157" s="1">
        <f>'Unformatted Trip Summary'!H155</f>
        <v>9.8057136017000008</v>
      </c>
    </row>
    <row r="158" spans="1:8" x14ac:dyDescent="0.2">
      <c r="A158" t="str">
        <f>'Unformatted Trip Summary'!A156</f>
        <v>02 AUCKLAND</v>
      </c>
      <c r="B158" t="str">
        <f>'Unformatted Trip Summary'!J156</f>
        <v>2012/13</v>
      </c>
      <c r="C158" t="str">
        <f>'Unformatted Trip Summary'!I156</f>
        <v>Non-Household Travel</v>
      </c>
      <c r="D158">
        <f>'Unformatted Trip Summary'!D156</f>
        <v>49</v>
      </c>
      <c r="E158">
        <f>'Unformatted Trip Summary'!E156</f>
        <v>220</v>
      </c>
      <c r="F158" s="1">
        <f>'Unformatted Trip Summary'!F156</f>
        <v>12.895006201999999</v>
      </c>
      <c r="G158" s="1">
        <f>'Unformatted Trip Summary'!G156</f>
        <v>179.51641304</v>
      </c>
      <c r="H158" s="1">
        <f>'Unformatted Trip Summary'!H156</f>
        <v>5.2074041506000004</v>
      </c>
    </row>
    <row r="159" spans="1:8" x14ac:dyDescent="0.2">
      <c r="A159" t="str">
        <f>'Unformatted Trip Summary'!A157</f>
        <v>02 AUCKLAND</v>
      </c>
      <c r="B159" t="str">
        <f>'Unformatted Trip Summary'!J157</f>
        <v>2017/18</v>
      </c>
      <c r="C159" t="str">
        <f>'Unformatted Trip Summary'!I157</f>
        <v>Non-Household Travel</v>
      </c>
      <c r="D159">
        <f>'Unformatted Trip Summary'!D157</f>
        <v>49</v>
      </c>
      <c r="E159">
        <f>'Unformatted Trip Summary'!E157</f>
        <v>220</v>
      </c>
      <c r="F159" s="1">
        <f>'Unformatted Trip Summary'!F157</f>
        <v>13.882104159000001</v>
      </c>
      <c r="G159" s="1">
        <f>'Unformatted Trip Summary'!G157</f>
        <v>190.17794527000001</v>
      </c>
      <c r="H159" s="1">
        <f>'Unformatted Trip Summary'!H157</f>
        <v>5.5708770803999998</v>
      </c>
    </row>
    <row r="160" spans="1:8" x14ac:dyDescent="0.2">
      <c r="A160" t="str">
        <f>'Unformatted Trip Summary'!A158</f>
        <v>02 AUCKLAND</v>
      </c>
      <c r="B160" t="str">
        <f>'Unformatted Trip Summary'!J158</f>
        <v>2022/23</v>
      </c>
      <c r="C160" t="str">
        <f>'Unformatted Trip Summary'!I158</f>
        <v>Non-Household Travel</v>
      </c>
      <c r="D160">
        <f>'Unformatted Trip Summary'!D158</f>
        <v>49</v>
      </c>
      <c r="E160">
        <f>'Unformatted Trip Summary'!E158</f>
        <v>220</v>
      </c>
      <c r="F160" s="1">
        <f>'Unformatted Trip Summary'!F158</f>
        <v>14.41128413</v>
      </c>
      <c r="G160" s="1">
        <f>'Unformatted Trip Summary'!G158</f>
        <v>195.15185961</v>
      </c>
      <c r="H160" s="1">
        <f>'Unformatted Trip Summary'!H158</f>
        <v>5.7394633974999998</v>
      </c>
    </row>
    <row r="161" spans="1:8" x14ac:dyDescent="0.2">
      <c r="A161" t="str">
        <f>'Unformatted Trip Summary'!A159</f>
        <v>02 AUCKLAND</v>
      </c>
      <c r="B161" t="str">
        <f>'Unformatted Trip Summary'!J159</f>
        <v>2027/28</v>
      </c>
      <c r="C161" t="str">
        <f>'Unformatted Trip Summary'!I159</f>
        <v>Non-Household Travel</v>
      </c>
      <c r="D161">
        <f>'Unformatted Trip Summary'!D159</f>
        <v>49</v>
      </c>
      <c r="E161">
        <f>'Unformatted Trip Summary'!E159</f>
        <v>220</v>
      </c>
      <c r="F161" s="1">
        <f>'Unformatted Trip Summary'!F159</f>
        <v>14.633890203</v>
      </c>
      <c r="G161" s="1">
        <f>'Unformatted Trip Summary'!G159</f>
        <v>195.87755729</v>
      </c>
      <c r="H161" s="1">
        <f>'Unformatted Trip Summary'!H159</f>
        <v>5.7695390095999999</v>
      </c>
    </row>
    <row r="162" spans="1:8" x14ac:dyDescent="0.2">
      <c r="A162" t="str">
        <f>'Unformatted Trip Summary'!A160</f>
        <v>02 AUCKLAND</v>
      </c>
      <c r="B162" t="str">
        <f>'Unformatted Trip Summary'!J160</f>
        <v>2032/33</v>
      </c>
      <c r="C162" t="str">
        <f>'Unformatted Trip Summary'!I160</f>
        <v>Non-Household Travel</v>
      </c>
      <c r="D162">
        <f>'Unformatted Trip Summary'!D160</f>
        <v>49</v>
      </c>
      <c r="E162">
        <f>'Unformatted Trip Summary'!E160</f>
        <v>220</v>
      </c>
      <c r="F162" s="1">
        <f>'Unformatted Trip Summary'!F160</f>
        <v>15.053972889000001</v>
      </c>
      <c r="G162" s="1">
        <f>'Unformatted Trip Summary'!G160</f>
        <v>199.22886603000001</v>
      </c>
      <c r="H162" s="1">
        <f>'Unformatted Trip Summary'!H160</f>
        <v>5.9044775944000003</v>
      </c>
    </row>
    <row r="163" spans="1:8" x14ac:dyDescent="0.2">
      <c r="A163" t="str">
        <f>'Unformatted Trip Summary'!A161</f>
        <v>02 AUCKLAND</v>
      </c>
      <c r="B163" t="str">
        <f>'Unformatted Trip Summary'!J161</f>
        <v>2037/38</v>
      </c>
      <c r="C163" t="str">
        <f>'Unformatted Trip Summary'!I161</f>
        <v>Non-Household Travel</v>
      </c>
      <c r="D163">
        <f>'Unformatted Trip Summary'!D161</f>
        <v>49</v>
      </c>
      <c r="E163">
        <f>'Unformatted Trip Summary'!E161</f>
        <v>220</v>
      </c>
      <c r="F163" s="1">
        <f>'Unformatted Trip Summary'!F161</f>
        <v>15.683585963000001</v>
      </c>
      <c r="G163" s="1">
        <f>'Unformatted Trip Summary'!G161</f>
        <v>206.00090979000001</v>
      </c>
      <c r="H163" s="1">
        <f>'Unformatted Trip Summary'!H161</f>
        <v>6.1284525312999998</v>
      </c>
    </row>
    <row r="164" spans="1:8" x14ac:dyDescent="0.2">
      <c r="A164" t="str">
        <f>'Unformatted Trip Summary'!A162</f>
        <v>02 AUCKLAND</v>
      </c>
      <c r="B164" t="str">
        <f>'Unformatted Trip Summary'!J162</f>
        <v>2042/43</v>
      </c>
      <c r="C164" t="str">
        <f>'Unformatted Trip Summary'!I162</f>
        <v>Non-Household Travel</v>
      </c>
      <c r="D164">
        <f>'Unformatted Trip Summary'!D162</f>
        <v>49</v>
      </c>
      <c r="E164">
        <f>'Unformatted Trip Summary'!E162</f>
        <v>220</v>
      </c>
      <c r="F164" s="1">
        <f>'Unformatted Trip Summary'!F162</f>
        <v>16.214620775</v>
      </c>
      <c r="G164" s="1">
        <f>'Unformatted Trip Summary'!G162</f>
        <v>211.47261245000001</v>
      </c>
      <c r="H164" s="1">
        <f>'Unformatted Trip Summary'!H162</f>
        <v>6.3189890536000002</v>
      </c>
    </row>
    <row r="165" spans="1:8" x14ac:dyDescent="0.2">
      <c r="A165" t="str">
        <f>'Unformatted Trip Summary'!A163</f>
        <v>03 WAIKATO</v>
      </c>
      <c r="B165" t="str">
        <f>'Unformatted Trip Summary'!J163</f>
        <v>2012/13</v>
      </c>
      <c r="C165" t="str">
        <f>'Unformatted Trip Summary'!I163</f>
        <v>Pedestrian</v>
      </c>
      <c r="D165">
        <f>'Unformatted Trip Summary'!D163</f>
        <v>628</v>
      </c>
      <c r="E165">
        <f>'Unformatted Trip Summary'!E163</f>
        <v>2089</v>
      </c>
      <c r="F165" s="1">
        <f>'Unformatted Trip Summary'!F163</f>
        <v>68.689195601999998</v>
      </c>
      <c r="G165" s="1">
        <f>'Unformatted Trip Summary'!G163</f>
        <v>52.675735545000002</v>
      </c>
      <c r="H165" s="1">
        <f>'Unformatted Trip Summary'!H163</f>
        <v>13.69170819</v>
      </c>
    </row>
    <row r="166" spans="1:8" x14ac:dyDescent="0.2">
      <c r="A166" t="str">
        <f>'Unformatted Trip Summary'!A164</f>
        <v>03 WAIKATO</v>
      </c>
      <c r="B166" t="str">
        <f>'Unformatted Trip Summary'!J164</f>
        <v>2017/18</v>
      </c>
      <c r="C166" t="str">
        <f>'Unformatted Trip Summary'!I164</f>
        <v>Pedestrian</v>
      </c>
      <c r="D166">
        <f>'Unformatted Trip Summary'!D164</f>
        <v>628</v>
      </c>
      <c r="E166">
        <f>'Unformatted Trip Summary'!E164</f>
        <v>2089</v>
      </c>
      <c r="F166" s="1">
        <f>'Unformatted Trip Summary'!F164</f>
        <v>72.258477494999994</v>
      </c>
      <c r="G166" s="1">
        <f>'Unformatted Trip Summary'!G164</f>
        <v>55.208684005000002</v>
      </c>
      <c r="H166" s="1">
        <f>'Unformatted Trip Summary'!H164</f>
        <v>14.304164049000001</v>
      </c>
    </row>
    <row r="167" spans="1:8" x14ac:dyDescent="0.2">
      <c r="A167" t="str">
        <f>'Unformatted Trip Summary'!A165</f>
        <v>03 WAIKATO</v>
      </c>
      <c r="B167" t="str">
        <f>'Unformatted Trip Summary'!J165</f>
        <v>2022/23</v>
      </c>
      <c r="C167" t="str">
        <f>'Unformatted Trip Summary'!I165</f>
        <v>Pedestrian</v>
      </c>
      <c r="D167">
        <f>'Unformatted Trip Summary'!D165</f>
        <v>628</v>
      </c>
      <c r="E167">
        <f>'Unformatted Trip Summary'!E165</f>
        <v>2089</v>
      </c>
      <c r="F167" s="1">
        <f>'Unformatted Trip Summary'!F165</f>
        <v>74.409558212999997</v>
      </c>
      <c r="G167" s="1">
        <f>'Unformatted Trip Summary'!G165</f>
        <v>56.795656989999998</v>
      </c>
      <c r="H167" s="1">
        <f>'Unformatted Trip Summary'!H165</f>
        <v>14.694834445</v>
      </c>
    </row>
    <row r="168" spans="1:8" x14ac:dyDescent="0.2">
      <c r="A168" t="str">
        <f>'Unformatted Trip Summary'!A166</f>
        <v>03 WAIKATO</v>
      </c>
      <c r="B168" t="str">
        <f>'Unformatted Trip Summary'!J166</f>
        <v>2027/28</v>
      </c>
      <c r="C168" t="str">
        <f>'Unformatted Trip Summary'!I166</f>
        <v>Pedestrian</v>
      </c>
      <c r="D168">
        <f>'Unformatted Trip Summary'!D166</f>
        <v>628</v>
      </c>
      <c r="E168">
        <f>'Unformatted Trip Summary'!E166</f>
        <v>2089</v>
      </c>
      <c r="F168" s="1">
        <f>'Unformatted Trip Summary'!F166</f>
        <v>76.011718606000002</v>
      </c>
      <c r="G168" s="1">
        <f>'Unformatted Trip Summary'!G166</f>
        <v>57.514702135</v>
      </c>
      <c r="H168" s="1">
        <f>'Unformatted Trip Summary'!H166</f>
        <v>14.856618224</v>
      </c>
    </row>
    <row r="169" spans="1:8" x14ac:dyDescent="0.2">
      <c r="A169" t="str">
        <f>'Unformatted Trip Summary'!A167</f>
        <v>03 WAIKATO</v>
      </c>
      <c r="B169" t="str">
        <f>'Unformatted Trip Summary'!J167</f>
        <v>2032/33</v>
      </c>
      <c r="C169" t="str">
        <f>'Unformatted Trip Summary'!I167</f>
        <v>Pedestrian</v>
      </c>
      <c r="D169">
        <f>'Unformatted Trip Summary'!D167</f>
        <v>628</v>
      </c>
      <c r="E169">
        <f>'Unformatted Trip Summary'!E167</f>
        <v>2089</v>
      </c>
      <c r="F169" s="1">
        <f>'Unformatted Trip Summary'!F167</f>
        <v>76.862890426999996</v>
      </c>
      <c r="G169" s="1">
        <f>'Unformatted Trip Summary'!G167</f>
        <v>57.542433349</v>
      </c>
      <c r="H169" s="1">
        <f>'Unformatted Trip Summary'!H167</f>
        <v>14.87628525</v>
      </c>
    </row>
    <row r="170" spans="1:8" x14ac:dyDescent="0.2">
      <c r="A170" t="str">
        <f>'Unformatted Trip Summary'!A168</f>
        <v>03 WAIKATO</v>
      </c>
      <c r="B170" t="str">
        <f>'Unformatted Trip Summary'!J168</f>
        <v>2037/38</v>
      </c>
      <c r="C170" t="str">
        <f>'Unformatted Trip Summary'!I168</f>
        <v>Pedestrian</v>
      </c>
      <c r="D170">
        <f>'Unformatted Trip Summary'!D168</f>
        <v>628</v>
      </c>
      <c r="E170">
        <f>'Unformatted Trip Summary'!E168</f>
        <v>2089</v>
      </c>
      <c r="F170" s="1">
        <f>'Unformatted Trip Summary'!F168</f>
        <v>76.811026482000003</v>
      </c>
      <c r="G170" s="1">
        <f>'Unformatted Trip Summary'!G168</f>
        <v>57.249177396</v>
      </c>
      <c r="H170" s="1">
        <f>'Unformatted Trip Summary'!H168</f>
        <v>14.766309467999999</v>
      </c>
    </row>
    <row r="171" spans="1:8" x14ac:dyDescent="0.2">
      <c r="A171" t="str">
        <f>'Unformatted Trip Summary'!A169</f>
        <v>03 WAIKATO</v>
      </c>
      <c r="B171" t="str">
        <f>'Unformatted Trip Summary'!J169</f>
        <v>2042/43</v>
      </c>
      <c r="C171" t="str">
        <f>'Unformatted Trip Summary'!I169</f>
        <v>Pedestrian</v>
      </c>
      <c r="D171">
        <f>'Unformatted Trip Summary'!D169</f>
        <v>628</v>
      </c>
      <c r="E171">
        <f>'Unformatted Trip Summary'!E169</f>
        <v>2089</v>
      </c>
      <c r="F171" s="1">
        <f>'Unformatted Trip Summary'!F169</f>
        <v>76.484403732999994</v>
      </c>
      <c r="G171" s="1">
        <f>'Unformatted Trip Summary'!G169</f>
        <v>56.789133544999999</v>
      </c>
      <c r="H171" s="1">
        <f>'Unformatted Trip Summary'!H169</f>
        <v>14.605380390000001</v>
      </c>
    </row>
    <row r="172" spans="1:8" x14ac:dyDescent="0.2">
      <c r="A172" t="str">
        <f>'Unformatted Trip Summary'!A170</f>
        <v>03 WAIKATO</v>
      </c>
      <c r="B172" t="str">
        <f>'Unformatted Trip Summary'!J170</f>
        <v>2012/13</v>
      </c>
      <c r="C172" t="str">
        <f>'Unformatted Trip Summary'!I170</f>
        <v>Cyclist</v>
      </c>
      <c r="D172">
        <f>'Unformatted Trip Summary'!D170</f>
        <v>60</v>
      </c>
      <c r="E172">
        <f>'Unformatted Trip Summary'!E170</f>
        <v>183</v>
      </c>
      <c r="F172" s="1">
        <f>'Unformatted Trip Summary'!F170</f>
        <v>5.8956498267999997</v>
      </c>
      <c r="G172" s="1">
        <f>'Unformatted Trip Summary'!G170</f>
        <v>21.829422874999999</v>
      </c>
      <c r="H172" s="1">
        <f>'Unformatted Trip Summary'!H170</f>
        <v>1.7805943500000001</v>
      </c>
    </row>
    <row r="173" spans="1:8" x14ac:dyDescent="0.2">
      <c r="A173" t="str">
        <f>'Unformatted Trip Summary'!A171</f>
        <v>03 WAIKATO</v>
      </c>
      <c r="B173" t="str">
        <f>'Unformatted Trip Summary'!J171</f>
        <v>2017/18</v>
      </c>
      <c r="C173" t="str">
        <f>'Unformatted Trip Summary'!I171</f>
        <v>Cyclist</v>
      </c>
      <c r="D173">
        <f>'Unformatted Trip Summary'!D171</f>
        <v>60</v>
      </c>
      <c r="E173">
        <f>'Unformatted Trip Summary'!E171</f>
        <v>183</v>
      </c>
      <c r="F173" s="1">
        <f>'Unformatted Trip Summary'!F171</f>
        <v>6.1860716909000004</v>
      </c>
      <c r="G173" s="1">
        <f>'Unformatted Trip Summary'!G171</f>
        <v>22.632745491000001</v>
      </c>
      <c r="H173" s="1">
        <f>'Unformatted Trip Summary'!H171</f>
        <v>1.8871609659999999</v>
      </c>
    </row>
    <row r="174" spans="1:8" x14ac:dyDescent="0.2">
      <c r="A174" t="str">
        <f>'Unformatted Trip Summary'!A172</f>
        <v>03 WAIKATO</v>
      </c>
      <c r="B174" t="str">
        <f>'Unformatted Trip Summary'!J172</f>
        <v>2022/23</v>
      </c>
      <c r="C174" t="str">
        <f>'Unformatted Trip Summary'!I172</f>
        <v>Cyclist</v>
      </c>
      <c r="D174">
        <f>'Unformatted Trip Summary'!D172</f>
        <v>60</v>
      </c>
      <c r="E174">
        <f>'Unformatted Trip Summary'!E172</f>
        <v>183</v>
      </c>
      <c r="F174" s="1">
        <f>'Unformatted Trip Summary'!F172</f>
        <v>6.4966932080999999</v>
      </c>
      <c r="G174" s="1">
        <f>'Unformatted Trip Summary'!G172</f>
        <v>23.324990079999999</v>
      </c>
      <c r="H174" s="1">
        <f>'Unformatted Trip Summary'!H172</f>
        <v>1.9906934175</v>
      </c>
    </row>
    <row r="175" spans="1:8" x14ac:dyDescent="0.2">
      <c r="A175" t="str">
        <f>'Unformatted Trip Summary'!A173</f>
        <v>03 WAIKATO</v>
      </c>
      <c r="B175" t="str">
        <f>'Unformatted Trip Summary'!J173</f>
        <v>2027/28</v>
      </c>
      <c r="C175" t="str">
        <f>'Unformatted Trip Summary'!I173</f>
        <v>Cyclist</v>
      </c>
      <c r="D175">
        <f>'Unformatted Trip Summary'!D173</f>
        <v>60</v>
      </c>
      <c r="E175">
        <f>'Unformatted Trip Summary'!E173</f>
        <v>183</v>
      </c>
      <c r="F175" s="1">
        <f>'Unformatted Trip Summary'!F173</f>
        <v>6.6651491368000002</v>
      </c>
      <c r="G175" s="1">
        <f>'Unformatted Trip Summary'!G173</f>
        <v>23.438016534999999</v>
      </c>
      <c r="H175" s="1">
        <f>'Unformatted Trip Summary'!H173</f>
        <v>2.0367725298999999</v>
      </c>
    </row>
    <row r="176" spans="1:8" x14ac:dyDescent="0.2">
      <c r="A176" t="str">
        <f>'Unformatted Trip Summary'!A174</f>
        <v>03 WAIKATO</v>
      </c>
      <c r="B176" t="str">
        <f>'Unformatted Trip Summary'!J174</f>
        <v>2032/33</v>
      </c>
      <c r="C176" t="str">
        <f>'Unformatted Trip Summary'!I174</f>
        <v>Cyclist</v>
      </c>
      <c r="D176">
        <f>'Unformatted Trip Summary'!D174</f>
        <v>60</v>
      </c>
      <c r="E176">
        <f>'Unformatted Trip Summary'!E174</f>
        <v>183</v>
      </c>
      <c r="F176" s="1">
        <f>'Unformatted Trip Summary'!F174</f>
        <v>6.8642567968000003</v>
      </c>
      <c r="G176" s="1">
        <f>'Unformatted Trip Summary'!G174</f>
        <v>23.609239747</v>
      </c>
      <c r="H176" s="1">
        <f>'Unformatted Trip Summary'!H174</f>
        <v>2.090863111</v>
      </c>
    </row>
    <row r="177" spans="1:8" x14ac:dyDescent="0.2">
      <c r="A177" t="str">
        <f>'Unformatted Trip Summary'!A175</f>
        <v>03 WAIKATO</v>
      </c>
      <c r="B177" t="str">
        <f>'Unformatted Trip Summary'!J175</f>
        <v>2037/38</v>
      </c>
      <c r="C177" t="str">
        <f>'Unformatted Trip Summary'!I175</f>
        <v>Cyclist</v>
      </c>
      <c r="D177">
        <f>'Unformatted Trip Summary'!D175</f>
        <v>60</v>
      </c>
      <c r="E177">
        <f>'Unformatted Trip Summary'!E175</f>
        <v>183</v>
      </c>
      <c r="F177" s="1">
        <f>'Unformatted Trip Summary'!F175</f>
        <v>7.1187575123000002</v>
      </c>
      <c r="G177" s="1">
        <f>'Unformatted Trip Summary'!G175</f>
        <v>23.773394965000001</v>
      </c>
      <c r="H177" s="1">
        <f>'Unformatted Trip Summary'!H175</f>
        <v>2.1719885346000001</v>
      </c>
    </row>
    <row r="178" spans="1:8" x14ac:dyDescent="0.2">
      <c r="A178" t="str">
        <f>'Unformatted Trip Summary'!A176</f>
        <v>03 WAIKATO</v>
      </c>
      <c r="B178" t="str">
        <f>'Unformatted Trip Summary'!J176</f>
        <v>2042/43</v>
      </c>
      <c r="C178" t="str">
        <f>'Unformatted Trip Summary'!I176</f>
        <v>Cyclist</v>
      </c>
      <c r="D178">
        <f>'Unformatted Trip Summary'!D176</f>
        <v>60</v>
      </c>
      <c r="E178">
        <f>'Unformatted Trip Summary'!E176</f>
        <v>183</v>
      </c>
      <c r="F178" s="1">
        <f>'Unformatted Trip Summary'!F176</f>
        <v>7.3805511666000001</v>
      </c>
      <c r="G178" s="1">
        <f>'Unformatted Trip Summary'!G176</f>
        <v>23.845457355000001</v>
      </c>
      <c r="H178" s="1">
        <f>'Unformatted Trip Summary'!H176</f>
        <v>2.2572545791</v>
      </c>
    </row>
    <row r="179" spans="1:8" x14ac:dyDescent="0.2">
      <c r="A179" t="str">
        <f>'Unformatted Trip Summary'!A177</f>
        <v>03 WAIKATO</v>
      </c>
      <c r="B179" t="str">
        <f>'Unformatted Trip Summary'!J177</f>
        <v>2012/13</v>
      </c>
      <c r="C179" t="str">
        <f>'Unformatted Trip Summary'!I177</f>
        <v>Light Vehicle Driver</v>
      </c>
      <c r="D179">
        <f>'Unformatted Trip Summary'!D177</f>
        <v>1302</v>
      </c>
      <c r="E179">
        <f>'Unformatted Trip Summary'!E177</f>
        <v>9074</v>
      </c>
      <c r="F179" s="1">
        <f>'Unformatted Trip Summary'!F177</f>
        <v>305.41478153000003</v>
      </c>
      <c r="G179" s="1">
        <f>'Unformatted Trip Summary'!G177</f>
        <v>3709.9843593000001</v>
      </c>
      <c r="H179" s="1">
        <f>'Unformatted Trip Summary'!H177</f>
        <v>82.274552721999996</v>
      </c>
    </row>
    <row r="180" spans="1:8" x14ac:dyDescent="0.2">
      <c r="A180" t="str">
        <f>'Unformatted Trip Summary'!A178</f>
        <v>03 WAIKATO</v>
      </c>
      <c r="B180" t="str">
        <f>'Unformatted Trip Summary'!J178</f>
        <v>2017/18</v>
      </c>
      <c r="C180" t="str">
        <f>'Unformatted Trip Summary'!I178</f>
        <v>Light Vehicle Driver</v>
      </c>
      <c r="D180">
        <f>'Unformatted Trip Summary'!D178</f>
        <v>1302</v>
      </c>
      <c r="E180">
        <f>'Unformatted Trip Summary'!E178</f>
        <v>9074</v>
      </c>
      <c r="F180" s="1">
        <f>'Unformatted Trip Summary'!F178</f>
        <v>330.29876482999998</v>
      </c>
      <c r="G180" s="1">
        <f>'Unformatted Trip Summary'!G178</f>
        <v>4002.4446392</v>
      </c>
      <c r="H180" s="1">
        <f>'Unformatted Trip Summary'!H178</f>
        <v>88.893635059999994</v>
      </c>
    </row>
    <row r="181" spans="1:8" x14ac:dyDescent="0.2">
      <c r="A181" t="str">
        <f>'Unformatted Trip Summary'!A179</f>
        <v>03 WAIKATO</v>
      </c>
      <c r="B181" t="str">
        <f>'Unformatted Trip Summary'!J179</f>
        <v>2022/23</v>
      </c>
      <c r="C181" t="str">
        <f>'Unformatted Trip Summary'!I179</f>
        <v>Light Vehicle Driver</v>
      </c>
      <c r="D181">
        <f>'Unformatted Trip Summary'!D179</f>
        <v>1302</v>
      </c>
      <c r="E181">
        <f>'Unformatted Trip Summary'!E179</f>
        <v>9074</v>
      </c>
      <c r="F181" s="1">
        <f>'Unformatted Trip Summary'!F179</f>
        <v>345.21511448000001</v>
      </c>
      <c r="G181" s="1">
        <f>'Unformatted Trip Summary'!G179</f>
        <v>4182.2287169000001</v>
      </c>
      <c r="H181" s="1">
        <f>'Unformatted Trip Summary'!H179</f>
        <v>92.839139782999993</v>
      </c>
    </row>
    <row r="182" spans="1:8" x14ac:dyDescent="0.2">
      <c r="A182" t="str">
        <f>'Unformatted Trip Summary'!A180</f>
        <v>03 WAIKATO</v>
      </c>
      <c r="B182" t="str">
        <f>'Unformatted Trip Summary'!J180</f>
        <v>2027/28</v>
      </c>
      <c r="C182" t="str">
        <f>'Unformatted Trip Summary'!I180</f>
        <v>Light Vehicle Driver</v>
      </c>
      <c r="D182">
        <f>'Unformatted Trip Summary'!D180</f>
        <v>1302</v>
      </c>
      <c r="E182">
        <f>'Unformatted Trip Summary'!E180</f>
        <v>9074</v>
      </c>
      <c r="F182" s="1">
        <f>'Unformatted Trip Summary'!F180</f>
        <v>359.81501169000001</v>
      </c>
      <c r="G182" s="1">
        <f>'Unformatted Trip Summary'!G180</f>
        <v>4359.7222639000001</v>
      </c>
      <c r="H182" s="1">
        <f>'Unformatted Trip Summary'!H180</f>
        <v>96.698583576999994</v>
      </c>
    </row>
    <row r="183" spans="1:8" x14ac:dyDescent="0.2">
      <c r="A183" t="str">
        <f>'Unformatted Trip Summary'!A181</f>
        <v>03 WAIKATO</v>
      </c>
      <c r="B183" t="str">
        <f>'Unformatted Trip Summary'!J181</f>
        <v>2032/33</v>
      </c>
      <c r="C183" t="str">
        <f>'Unformatted Trip Summary'!I181</f>
        <v>Light Vehicle Driver</v>
      </c>
      <c r="D183">
        <f>'Unformatted Trip Summary'!D181</f>
        <v>1302</v>
      </c>
      <c r="E183">
        <f>'Unformatted Trip Summary'!E181</f>
        <v>9074</v>
      </c>
      <c r="F183" s="1">
        <f>'Unformatted Trip Summary'!F181</f>
        <v>372.43632517999998</v>
      </c>
      <c r="G183" s="1">
        <f>'Unformatted Trip Summary'!G181</f>
        <v>4510.7520056000003</v>
      </c>
      <c r="H183" s="1">
        <f>'Unformatted Trip Summary'!H181</f>
        <v>99.973836821999996</v>
      </c>
    </row>
    <row r="184" spans="1:8" x14ac:dyDescent="0.2">
      <c r="A184" t="str">
        <f>'Unformatted Trip Summary'!A182</f>
        <v>03 WAIKATO</v>
      </c>
      <c r="B184" t="str">
        <f>'Unformatted Trip Summary'!J182</f>
        <v>2037/38</v>
      </c>
      <c r="C184" t="str">
        <f>'Unformatted Trip Summary'!I182</f>
        <v>Light Vehicle Driver</v>
      </c>
      <c r="D184">
        <f>'Unformatted Trip Summary'!D182</f>
        <v>1302</v>
      </c>
      <c r="E184">
        <f>'Unformatted Trip Summary'!E182</f>
        <v>9074</v>
      </c>
      <c r="F184" s="1">
        <f>'Unformatted Trip Summary'!F182</f>
        <v>379.88178004000002</v>
      </c>
      <c r="G184" s="1">
        <f>'Unformatted Trip Summary'!G182</f>
        <v>4600.8706493999998</v>
      </c>
      <c r="H184" s="1">
        <f>'Unformatted Trip Summary'!H182</f>
        <v>101.88054483000001</v>
      </c>
    </row>
    <row r="185" spans="1:8" x14ac:dyDescent="0.2">
      <c r="A185" t="str">
        <f>'Unformatted Trip Summary'!A183</f>
        <v>03 WAIKATO</v>
      </c>
      <c r="B185" t="str">
        <f>'Unformatted Trip Summary'!J183</f>
        <v>2042/43</v>
      </c>
      <c r="C185" t="str">
        <f>'Unformatted Trip Summary'!I183</f>
        <v>Light Vehicle Driver</v>
      </c>
      <c r="D185">
        <f>'Unformatted Trip Summary'!D183</f>
        <v>1302</v>
      </c>
      <c r="E185">
        <f>'Unformatted Trip Summary'!E183</f>
        <v>9074</v>
      </c>
      <c r="F185" s="1">
        <f>'Unformatted Trip Summary'!F183</f>
        <v>385.66445700999998</v>
      </c>
      <c r="G185" s="1">
        <f>'Unformatted Trip Summary'!G183</f>
        <v>4670.4442607999999</v>
      </c>
      <c r="H185" s="1">
        <f>'Unformatted Trip Summary'!H183</f>
        <v>103.34460266000001</v>
      </c>
    </row>
    <row r="186" spans="1:8" x14ac:dyDescent="0.2">
      <c r="A186" t="str">
        <f>'Unformatted Trip Summary'!A184</f>
        <v>03 WAIKATO</v>
      </c>
      <c r="B186" t="str">
        <f>'Unformatted Trip Summary'!J184</f>
        <v>2012/13</v>
      </c>
      <c r="C186" t="str">
        <f>'Unformatted Trip Summary'!I184</f>
        <v>Light Vehicle Passenger</v>
      </c>
      <c r="D186">
        <f>'Unformatted Trip Summary'!D184</f>
        <v>931</v>
      </c>
      <c r="E186">
        <f>'Unformatted Trip Summary'!E184</f>
        <v>4349</v>
      </c>
      <c r="F186" s="1">
        <f>'Unformatted Trip Summary'!F184</f>
        <v>139.07206360000001</v>
      </c>
      <c r="G186" s="1">
        <f>'Unformatted Trip Summary'!G184</f>
        <v>1955.0668243</v>
      </c>
      <c r="H186" s="1">
        <f>'Unformatted Trip Summary'!H184</f>
        <v>42.037273755000001</v>
      </c>
    </row>
    <row r="187" spans="1:8" x14ac:dyDescent="0.2">
      <c r="A187" t="str">
        <f>'Unformatted Trip Summary'!A185</f>
        <v>03 WAIKATO</v>
      </c>
      <c r="B187" t="str">
        <f>'Unformatted Trip Summary'!J185</f>
        <v>2017/18</v>
      </c>
      <c r="C187" t="str">
        <f>'Unformatted Trip Summary'!I185</f>
        <v>Light Vehicle Passenger</v>
      </c>
      <c r="D187">
        <f>'Unformatted Trip Summary'!D185</f>
        <v>931</v>
      </c>
      <c r="E187">
        <f>'Unformatted Trip Summary'!E185</f>
        <v>4349</v>
      </c>
      <c r="F187" s="1">
        <f>'Unformatted Trip Summary'!F185</f>
        <v>142.11637804</v>
      </c>
      <c r="G187" s="1">
        <f>'Unformatted Trip Summary'!G185</f>
        <v>2033.7490640000001</v>
      </c>
      <c r="H187" s="1">
        <f>'Unformatted Trip Summary'!H185</f>
        <v>43.521482438</v>
      </c>
    </row>
    <row r="188" spans="1:8" x14ac:dyDescent="0.2">
      <c r="A188" t="str">
        <f>'Unformatted Trip Summary'!A186</f>
        <v>03 WAIKATO</v>
      </c>
      <c r="B188" t="str">
        <f>'Unformatted Trip Summary'!J186</f>
        <v>2022/23</v>
      </c>
      <c r="C188" t="str">
        <f>'Unformatted Trip Summary'!I186</f>
        <v>Light Vehicle Passenger</v>
      </c>
      <c r="D188">
        <f>'Unformatted Trip Summary'!D186</f>
        <v>931</v>
      </c>
      <c r="E188">
        <f>'Unformatted Trip Summary'!E186</f>
        <v>4349</v>
      </c>
      <c r="F188" s="1">
        <f>'Unformatted Trip Summary'!F186</f>
        <v>143.79781371000001</v>
      </c>
      <c r="G188" s="1">
        <f>'Unformatted Trip Summary'!G186</f>
        <v>2076.9316530999999</v>
      </c>
      <c r="H188" s="1">
        <f>'Unformatted Trip Summary'!H186</f>
        <v>44.346513686000002</v>
      </c>
    </row>
    <row r="189" spans="1:8" x14ac:dyDescent="0.2">
      <c r="A189" t="str">
        <f>'Unformatted Trip Summary'!A187</f>
        <v>03 WAIKATO</v>
      </c>
      <c r="B189" t="str">
        <f>'Unformatted Trip Summary'!J187</f>
        <v>2027/28</v>
      </c>
      <c r="C189" t="str">
        <f>'Unformatted Trip Summary'!I187</f>
        <v>Light Vehicle Passenger</v>
      </c>
      <c r="D189">
        <f>'Unformatted Trip Summary'!D187</f>
        <v>931</v>
      </c>
      <c r="E189">
        <f>'Unformatted Trip Summary'!E187</f>
        <v>4349</v>
      </c>
      <c r="F189" s="1">
        <f>'Unformatted Trip Summary'!F187</f>
        <v>144.99975484999999</v>
      </c>
      <c r="G189" s="1">
        <f>'Unformatted Trip Summary'!G187</f>
        <v>2108.1734858999998</v>
      </c>
      <c r="H189" s="1">
        <f>'Unformatted Trip Summary'!H187</f>
        <v>44.933746507000002</v>
      </c>
    </row>
    <row r="190" spans="1:8" x14ac:dyDescent="0.2">
      <c r="A190" t="str">
        <f>'Unformatted Trip Summary'!A188</f>
        <v>03 WAIKATO</v>
      </c>
      <c r="B190" t="str">
        <f>'Unformatted Trip Summary'!J188</f>
        <v>2032/33</v>
      </c>
      <c r="C190" t="str">
        <f>'Unformatted Trip Summary'!I188</f>
        <v>Light Vehicle Passenger</v>
      </c>
      <c r="D190">
        <f>'Unformatted Trip Summary'!D188</f>
        <v>931</v>
      </c>
      <c r="E190">
        <f>'Unformatted Trip Summary'!E188</f>
        <v>4349</v>
      </c>
      <c r="F190" s="1">
        <f>'Unformatted Trip Summary'!F188</f>
        <v>146.48890739999999</v>
      </c>
      <c r="G190" s="1">
        <f>'Unformatted Trip Summary'!G188</f>
        <v>2139.4295701999999</v>
      </c>
      <c r="H190" s="1">
        <f>'Unformatted Trip Summary'!H188</f>
        <v>45.535976818999998</v>
      </c>
    </row>
    <row r="191" spans="1:8" x14ac:dyDescent="0.2">
      <c r="A191" t="str">
        <f>'Unformatted Trip Summary'!A189</f>
        <v>03 WAIKATO</v>
      </c>
      <c r="B191" t="str">
        <f>'Unformatted Trip Summary'!J189</f>
        <v>2037/38</v>
      </c>
      <c r="C191" t="str">
        <f>'Unformatted Trip Summary'!I189</f>
        <v>Light Vehicle Passenger</v>
      </c>
      <c r="D191">
        <f>'Unformatted Trip Summary'!D189</f>
        <v>931</v>
      </c>
      <c r="E191">
        <f>'Unformatted Trip Summary'!E189</f>
        <v>4349</v>
      </c>
      <c r="F191" s="1">
        <f>'Unformatted Trip Summary'!F189</f>
        <v>146.38801282</v>
      </c>
      <c r="G191" s="1">
        <f>'Unformatted Trip Summary'!G189</f>
        <v>2144.2184969</v>
      </c>
      <c r="H191" s="1">
        <f>'Unformatted Trip Summary'!H189</f>
        <v>45.602521842000002</v>
      </c>
    </row>
    <row r="192" spans="1:8" x14ac:dyDescent="0.2">
      <c r="A192" t="str">
        <f>'Unformatted Trip Summary'!A190</f>
        <v>03 WAIKATO</v>
      </c>
      <c r="B192" t="str">
        <f>'Unformatted Trip Summary'!J190</f>
        <v>2042/43</v>
      </c>
      <c r="C192" t="str">
        <f>'Unformatted Trip Summary'!I190</f>
        <v>Light Vehicle Passenger</v>
      </c>
      <c r="D192">
        <f>'Unformatted Trip Summary'!D190</f>
        <v>931</v>
      </c>
      <c r="E192">
        <f>'Unformatted Trip Summary'!E190</f>
        <v>4349</v>
      </c>
      <c r="F192" s="1">
        <f>'Unformatted Trip Summary'!F190</f>
        <v>145.37489722000001</v>
      </c>
      <c r="G192" s="1">
        <f>'Unformatted Trip Summary'!G190</f>
        <v>2134.7262110000001</v>
      </c>
      <c r="H192" s="1">
        <f>'Unformatted Trip Summary'!H190</f>
        <v>45.374472976</v>
      </c>
    </row>
    <row r="193" spans="1:8" x14ac:dyDescent="0.2">
      <c r="A193" t="str">
        <f>'Unformatted Trip Summary'!A191</f>
        <v>03 WAIKATO</v>
      </c>
      <c r="B193" t="str">
        <f>'Unformatted Trip Summary'!J191</f>
        <v>2012/13</v>
      </c>
      <c r="C193" t="str">
        <f>'Unformatted Trip Summary'!I191</f>
        <v>Taxi/Vehicle Share</v>
      </c>
      <c r="D193">
        <f>'Unformatted Trip Summary'!D191</f>
        <v>13</v>
      </c>
      <c r="E193">
        <f>'Unformatted Trip Summary'!E191</f>
        <v>20</v>
      </c>
      <c r="F193" s="1">
        <f>'Unformatted Trip Summary'!F191</f>
        <v>0.69122996950000004</v>
      </c>
      <c r="G193" s="1">
        <f>'Unformatted Trip Summary'!G191</f>
        <v>2.4426175743999998</v>
      </c>
      <c r="H193" s="1">
        <f>'Unformatted Trip Summary'!H191</f>
        <v>0.1633822556</v>
      </c>
    </row>
    <row r="194" spans="1:8" x14ac:dyDescent="0.2">
      <c r="A194" t="str">
        <f>'Unformatted Trip Summary'!A192</f>
        <v>03 WAIKATO</v>
      </c>
      <c r="B194" t="str">
        <f>'Unformatted Trip Summary'!J192</f>
        <v>2017/18</v>
      </c>
      <c r="C194" t="str">
        <f>'Unformatted Trip Summary'!I192</f>
        <v>Taxi/Vehicle Share</v>
      </c>
      <c r="D194">
        <f>'Unformatted Trip Summary'!D192</f>
        <v>13</v>
      </c>
      <c r="E194">
        <f>'Unformatted Trip Summary'!E192</f>
        <v>20</v>
      </c>
      <c r="F194" s="1">
        <f>'Unformatted Trip Summary'!F192</f>
        <v>0.81565700559999998</v>
      </c>
      <c r="G194" s="1">
        <f>'Unformatted Trip Summary'!G192</f>
        <v>2.9879469715</v>
      </c>
      <c r="H194" s="1">
        <f>'Unformatted Trip Summary'!H192</f>
        <v>0.19543850779999999</v>
      </c>
    </row>
    <row r="195" spans="1:8" x14ac:dyDescent="0.2">
      <c r="A195" t="str">
        <f>'Unformatted Trip Summary'!A193</f>
        <v>03 WAIKATO</v>
      </c>
      <c r="B195" t="str">
        <f>'Unformatted Trip Summary'!J193</f>
        <v>2022/23</v>
      </c>
      <c r="C195" t="str">
        <f>'Unformatted Trip Summary'!I193</f>
        <v>Taxi/Vehicle Share</v>
      </c>
      <c r="D195">
        <f>'Unformatted Trip Summary'!D193</f>
        <v>13</v>
      </c>
      <c r="E195">
        <f>'Unformatted Trip Summary'!E193</f>
        <v>20</v>
      </c>
      <c r="F195" s="1">
        <f>'Unformatted Trip Summary'!F193</f>
        <v>0.89059021719999998</v>
      </c>
      <c r="G195" s="1">
        <f>'Unformatted Trip Summary'!G193</f>
        <v>3.3605150725000001</v>
      </c>
      <c r="H195" s="1">
        <f>'Unformatted Trip Summary'!H193</f>
        <v>0.21613281409999999</v>
      </c>
    </row>
    <row r="196" spans="1:8" x14ac:dyDescent="0.2">
      <c r="A196" t="str">
        <f>'Unformatted Trip Summary'!A194</f>
        <v>03 WAIKATO</v>
      </c>
      <c r="B196" t="str">
        <f>'Unformatted Trip Summary'!J194</f>
        <v>2027/28</v>
      </c>
      <c r="C196" t="str">
        <f>'Unformatted Trip Summary'!I194</f>
        <v>Taxi/Vehicle Share</v>
      </c>
      <c r="D196">
        <f>'Unformatted Trip Summary'!D194</f>
        <v>13</v>
      </c>
      <c r="E196">
        <f>'Unformatted Trip Summary'!E194</f>
        <v>20</v>
      </c>
      <c r="F196" s="1">
        <f>'Unformatted Trip Summary'!F194</f>
        <v>0.92931547489999999</v>
      </c>
      <c r="G196" s="1">
        <f>'Unformatted Trip Summary'!G194</f>
        <v>3.6563511143</v>
      </c>
      <c r="H196" s="1">
        <f>'Unformatted Trip Summary'!H194</f>
        <v>0.230939691</v>
      </c>
    </row>
    <row r="197" spans="1:8" x14ac:dyDescent="0.2">
      <c r="A197" t="str">
        <f>'Unformatted Trip Summary'!A195</f>
        <v>03 WAIKATO</v>
      </c>
      <c r="B197" t="str">
        <f>'Unformatted Trip Summary'!J195</f>
        <v>2032/33</v>
      </c>
      <c r="C197" t="str">
        <f>'Unformatted Trip Summary'!I195</f>
        <v>Taxi/Vehicle Share</v>
      </c>
      <c r="D197">
        <f>'Unformatted Trip Summary'!D195</f>
        <v>13</v>
      </c>
      <c r="E197">
        <f>'Unformatted Trip Summary'!E195</f>
        <v>20</v>
      </c>
      <c r="F197" s="1">
        <f>'Unformatted Trip Summary'!F195</f>
        <v>0.95376628990000001</v>
      </c>
      <c r="G197" s="1">
        <f>'Unformatted Trip Summary'!G195</f>
        <v>3.8724128494999999</v>
      </c>
      <c r="H197" s="1">
        <f>'Unformatted Trip Summary'!H195</f>
        <v>0.24086022679999999</v>
      </c>
    </row>
    <row r="198" spans="1:8" x14ac:dyDescent="0.2">
      <c r="A198" t="str">
        <f>'Unformatted Trip Summary'!A196</f>
        <v>03 WAIKATO</v>
      </c>
      <c r="B198" t="str">
        <f>'Unformatted Trip Summary'!J196</f>
        <v>2037/38</v>
      </c>
      <c r="C198" t="str">
        <f>'Unformatted Trip Summary'!I196</f>
        <v>Taxi/Vehicle Share</v>
      </c>
      <c r="D198">
        <f>'Unformatted Trip Summary'!D196</f>
        <v>13</v>
      </c>
      <c r="E198">
        <f>'Unformatted Trip Summary'!E196</f>
        <v>20</v>
      </c>
      <c r="F198" s="1">
        <f>'Unformatted Trip Summary'!F196</f>
        <v>0.9510391534</v>
      </c>
      <c r="G198" s="1">
        <f>'Unformatted Trip Summary'!G196</f>
        <v>3.9639561427999999</v>
      </c>
      <c r="H198" s="1">
        <f>'Unformatted Trip Summary'!H196</f>
        <v>0.24114815479999999</v>
      </c>
    </row>
    <row r="199" spans="1:8" x14ac:dyDescent="0.2">
      <c r="A199" t="str">
        <f>'Unformatted Trip Summary'!A197</f>
        <v>03 WAIKATO</v>
      </c>
      <c r="B199" t="str">
        <f>'Unformatted Trip Summary'!J197</f>
        <v>2042/43</v>
      </c>
      <c r="C199" t="str">
        <f>'Unformatted Trip Summary'!I197</f>
        <v>Taxi/Vehicle Share</v>
      </c>
      <c r="D199">
        <f>'Unformatted Trip Summary'!D197</f>
        <v>13</v>
      </c>
      <c r="E199">
        <f>'Unformatted Trip Summary'!E197</f>
        <v>20</v>
      </c>
      <c r="F199" s="1">
        <f>'Unformatted Trip Summary'!F197</f>
        <v>0.94668030140000003</v>
      </c>
      <c r="G199" s="1">
        <f>'Unformatted Trip Summary'!G197</f>
        <v>4.0583560696000003</v>
      </c>
      <c r="H199" s="1">
        <f>'Unformatted Trip Summary'!H197</f>
        <v>0.2412706016</v>
      </c>
    </row>
    <row r="200" spans="1:8" x14ac:dyDescent="0.2">
      <c r="A200" t="str">
        <f>'Unformatted Trip Summary'!A198</f>
        <v>03 WAIKATO</v>
      </c>
      <c r="B200" t="str">
        <f>'Unformatted Trip Summary'!J198</f>
        <v>2012/13</v>
      </c>
      <c r="C200" t="str">
        <f>'Unformatted Trip Summary'!I198</f>
        <v>Motorcyclist</v>
      </c>
      <c r="D200">
        <f>'Unformatted Trip Summary'!D198</f>
        <v>16</v>
      </c>
      <c r="E200">
        <f>'Unformatted Trip Summary'!E198</f>
        <v>51</v>
      </c>
      <c r="F200" s="1">
        <f>'Unformatted Trip Summary'!F198</f>
        <v>1.8680965575999999</v>
      </c>
      <c r="G200" s="1">
        <f>'Unformatted Trip Summary'!G198</f>
        <v>38.030338682999997</v>
      </c>
      <c r="H200" s="1">
        <f>'Unformatted Trip Summary'!H198</f>
        <v>0.60639269429999998</v>
      </c>
    </row>
    <row r="201" spans="1:8" x14ac:dyDescent="0.2">
      <c r="A201" t="str">
        <f>'Unformatted Trip Summary'!A199</f>
        <v>03 WAIKATO</v>
      </c>
      <c r="B201" t="str">
        <f>'Unformatted Trip Summary'!J199</f>
        <v>2017/18</v>
      </c>
      <c r="C201" t="str">
        <f>'Unformatted Trip Summary'!I199</f>
        <v>Motorcyclist</v>
      </c>
      <c r="D201">
        <f>'Unformatted Trip Summary'!D199</f>
        <v>16</v>
      </c>
      <c r="E201">
        <f>'Unformatted Trip Summary'!E199</f>
        <v>51</v>
      </c>
      <c r="F201" s="1">
        <f>'Unformatted Trip Summary'!F199</f>
        <v>1.8105065215</v>
      </c>
      <c r="G201" s="1">
        <f>'Unformatted Trip Summary'!G199</f>
        <v>39.067269113999998</v>
      </c>
      <c r="H201" s="1">
        <f>'Unformatted Trip Summary'!H199</f>
        <v>0.60472408720000004</v>
      </c>
    </row>
    <row r="202" spans="1:8" x14ac:dyDescent="0.2">
      <c r="A202" t="str">
        <f>'Unformatted Trip Summary'!A200</f>
        <v>03 WAIKATO</v>
      </c>
      <c r="B202" t="str">
        <f>'Unformatted Trip Summary'!J200</f>
        <v>2022/23</v>
      </c>
      <c r="C202" t="str">
        <f>'Unformatted Trip Summary'!I200</f>
        <v>Motorcyclist</v>
      </c>
      <c r="D202">
        <f>'Unformatted Trip Summary'!D200</f>
        <v>16</v>
      </c>
      <c r="E202">
        <f>'Unformatted Trip Summary'!E200</f>
        <v>51</v>
      </c>
      <c r="F202" s="1">
        <f>'Unformatted Trip Summary'!F200</f>
        <v>1.7566280296000001</v>
      </c>
      <c r="G202" s="1">
        <f>'Unformatted Trip Summary'!G200</f>
        <v>39.341600004</v>
      </c>
      <c r="H202" s="1">
        <f>'Unformatted Trip Summary'!H200</f>
        <v>0.60112393710000001</v>
      </c>
    </row>
    <row r="203" spans="1:8" x14ac:dyDescent="0.2">
      <c r="A203" t="str">
        <f>'Unformatted Trip Summary'!A201</f>
        <v>03 WAIKATO</v>
      </c>
      <c r="B203" t="str">
        <f>'Unformatted Trip Summary'!J201</f>
        <v>2027/28</v>
      </c>
      <c r="C203" t="str">
        <f>'Unformatted Trip Summary'!I201</f>
        <v>Motorcyclist</v>
      </c>
      <c r="D203">
        <f>'Unformatted Trip Summary'!D201</f>
        <v>16</v>
      </c>
      <c r="E203">
        <f>'Unformatted Trip Summary'!E201</f>
        <v>51</v>
      </c>
      <c r="F203" s="1">
        <f>'Unformatted Trip Summary'!F201</f>
        <v>1.7016727361999999</v>
      </c>
      <c r="G203" s="1">
        <f>'Unformatted Trip Summary'!G201</f>
        <v>38.273178999000002</v>
      </c>
      <c r="H203" s="1">
        <f>'Unformatted Trip Summary'!H201</f>
        <v>0.58658774719999995</v>
      </c>
    </row>
    <row r="204" spans="1:8" x14ac:dyDescent="0.2">
      <c r="A204" t="str">
        <f>'Unformatted Trip Summary'!A202</f>
        <v>03 WAIKATO</v>
      </c>
      <c r="B204" t="str">
        <f>'Unformatted Trip Summary'!J202</f>
        <v>2032/33</v>
      </c>
      <c r="C204" t="str">
        <f>'Unformatted Trip Summary'!I202</f>
        <v>Motorcyclist</v>
      </c>
      <c r="D204">
        <f>'Unformatted Trip Summary'!D202</f>
        <v>16</v>
      </c>
      <c r="E204">
        <f>'Unformatted Trip Summary'!E202</f>
        <v>51</v>
      </c>
      <c r="F204" s="1">
        <f>'Unformatted Trip Summary'!F202</f>
        <v>1.6399714889000001</v>
      </c>
      <c r="G204" s="1">
        <f>'Unformatted Trip Summary'!G202</f>
        <v>35.986495767000001</v>
      </c>
      <c r="H204" s="1">
        <f>'Unformatted Trip Summary'!H202</f>
        <v>0.5580878011</v>
      </c>
    </row>
    <row r="205" spans="1:8" x14ac:dyDescent="0.2">
      <c r="A205" t="str">
        <f>'Unformatted Trip Summary'!A203</f>
        <v>03 WAIKATO</v>
      </c>
      <c r="B205" t="str">
        <f>'Unformatted Trip Summary'!J203</f>
        <v>2037/38</v>
      </c>
      <c r="C205" t="str">
        <f>'Unformatted Trip Summary'!I203</f>
        <v>Motorcyclist</v>
      </c>
      <c r="D205">
        <f>'Unformatted Trip Summary'!D203</f>
        <v>16</v>
      </c>
      <c r="E205">
        <f>'Unformatted Trip Summary'!E203</f>
        <v>51</v>
      </c>
      <c r="F205" s="1">
        <f>'Unformatted Trip Summary'!F203</f>
        <v>1.5227283914</v>
      </c>
      <c r="G205" s="1">
        <f>'Unformatted Trip Summary'!G203</f>
        <v>32.244708412000001</v>
      </c>
      <c r="H205" s="1">
        <f>'Unformatted Trip Summary'!H203</f>
        <v>0.50559415919999995</v>
      </c>
    </row>
    <row r="206" spans="1:8" x14ac:dyDescent="0.2">
      <c r="A206" t="str">
        <f>'Unformatted Trip Summary'!A204</f>
        <v>03 WAIKATO</v>
      </c>
      <c r="B206" t="str">
        <f>'Unformatted Trip Summary'!J204</f>
        <v>2042/43</v>
      </c>
      <c r="C206" t="str">
        <f>'Unformatted Trip Summary'!I204</f>
        <v>Motorcyclist</v>
      </c>
      <c r="D206">
        <f>'Unformatted Trip Summary'!D204</f>
        <v>16</v>
      </c>
      <c r="E206">
        <f>'Unformatted Trip Summary'!E204</f>
        <v>51</v>
      </c>
      <c r="F206" s="1">
        <f>'Unformatted Trip Summary'!F204</f>
        <v>1.4065124389999999</v>
      </c>
      <c r="G206" s="1">
        <f>'Unformatted Trip Summary'!G204</f>
        <v>28.540054794</v>
      </c>
      <c r="H206" s="1">
        <f>'Unformatted Trip Summary'!H204</f>
        <v>0.45355252159999998</v>
      </c>
    </row>
    <row r="207" spans="1:8" x14ac:dyDescent="0.2">
      <c r="A207" t="str">
        <f>'Unformatted Trip Summary'!A205</f>
        <v>03 WAIKATO</v>
      </c>
      <c r="B207" t="str">
        <f>'Unformatted Trip Summary'!J205</f>
        <v>2012/13</v>
      </c>
      <c r="C207" t="str">
        <f>'Unformatted Trip Summary'!I205</f>
        <v>Local Train</v>
      </c>
      <c r="D207">
        <f>'Unformatted Trip Summary'!D205</f>
        <v>2</v>
      </c>
      <c r="E207">
        <f>'Unformatted Trip Summary'!E205</f>
        <v>5</v>
      </c>
      <c r="F207" s="1">
        <f>'Unformatted Trip Summary'!F205</f>
        <v>0.12019006359999999</v>
      </c>
      <c r="G207" s="1">
        <f>'Unformatted Trip Summary'!G205</f>
        <v>2.9773519310999998</v>
      </c>
      <c r="H207" s="1">
        <f>'Unformatted Trip Summary'!H205</f>
        <v>7.0969514100000006E-2</v>
      </c>
    </row>
    <row r="208" spans="1:8" x14ac:dyDescent="0.2">
      <c r="A208" t="str">
        <f>'Unformatted Trip Summary'!A206</f>
        <v>03 WAIKATO</v>
      </c>
      <c r="B208" t="str">
        <f>'Unformatted Trip Summary'!J206</f>
        <v>2017/18</v>
      </c>
      <c r="C208" t="str">
        <f>'Unformatted Trip Summary'!I206</f>
        <v>Local Train</v>
      </c>
      <c r="D208">
        <f>'Unformatted Trip Summary'!D206</f>
        <v>2</v>
      </c>
      <c r="E208">
        <f>'Unformatted Trip Summary'!E206</f>
        <v>5</v>
      </c>
      <c r="F208" s="1">
        <f>'Unformatted Trip Summary'!F206</f>
        <v>0.12603751490000001</v>
      </c>
      <c r="G208" s="1">
        <f>'Unformatted Trip Summary'!G206</f>
        <v>3.2247440363000002</v>
      </c>
      <c r="H208" s="1">
        <f>'Unformatted Trip Summary'!H206</f>
        <v>7.6824290700000006E-2</v>
      </c>
    </row>
    <row r="209" spans="1:8" x14ac:dyDescent="0.2">
      <c r="A209" t="str">
        <f>'Unformatted Trip Summary'!A207</f>
        <v>03 WAIKATO</v>
      </c>
      <c r="B209" t="str">
        <f>'Unformatted Trip Summary'!J207</f>
        <v>2022/23</v>
      </c>
      <c r="C209" t="str">
        <f>'Unformatted Trip Summary'!I207</f>
        <v>Local Train</v>
      </c>
      <c r="D209">
        <f>'Unformatted Trip Summary'!D207</f>
        <v>2</v>
      </c>
      <c r="E209">
        <f>'Unformatted Trip Summary'!E207</f>
        <v>5</v>
      </c>
      <c r="F209" s="1">
        <f>'Unformatted Trip Summary'!F207</f>
        <v>0.1386505321</v>
      </c>
      <c r="G209" s="1">
        <f>'Unformatted Trip Summary'!G207</f>
        <v>3.7852317361000001</v>
      </c>
      <c r="H209" s="1">
        <f>'Unformatted Trip Summary'!H207</f>
        <v>9.0082312900000003E-2</v>
      </c>
    </row>
    <row r="210" spans="1:8" x14ac:dyDescent="0.2">
      <c r="A210" t="str">
        <f>'Unformatted Trip Summary'!A208</f>
        <v>03 WAIKATO</v>
      </c>
      <c r="B210" t="str">
        <f>'Unformatted Trip Summary'!J208</f>
        <v>2027/28</v>
      </c>
      <c r="C210" t="str">
        <f>'Unformatted Trip Summary'!I208</f>
        <v>Local Train</v>
      </c>
      <c r="D210">
        <f>'Unformatted Trip Summary'!D208</f>
        <v>2</v>
      </c>
      <c r="E210">
        <f>'Unformatted Trip Summary'!E208</f>
        <v>5</v>
      </c>
      <c r="F210" s="1">
        <f>'Unformatted Trip Summary'!F208</f>
        <v>0.1530656155</v>
      </c>
      <c r="G210" s="1">
        <f>'Unformatted Trip Summary'!G208</f>
        <v>4.2715674273999999</v>
      </c>
      <c r="H210" s="1">
        <f>'Unformatted Trip Summary'!H208</f>
        <v>0.1016216734</v>
      </c>
    </row>
    <row r="211" spans="1:8" x14ac:dyDescent="0.2">
      <c r="A211" t="str">
        <f>'Unformatted Trip Summary'!A209</f>
        <v>03 WAIKATO</v>
      </c>
      <c r="B211" t="str">
        <f>'Unformatted Trip Summary'!J209</f>
        <v>2032/33</v>
      </c>
      <c r="C211" t="str">
        <f>'Unformatted Trip Summary'!I209</f>
        <v>Local Train</v>
      </c>
      <c r="D211">
        <f>'Unformatted Trip Summary'!D209</f>
        <v>2</v>
      </c>
      <c r="E211">
        <f>'Unformatted Trip Summary'!E209</f>
        <v>5</v>
      </c>
      <c r="F211" s="1">
        <f>'Unformatted Trip Summary'!F209</f>
        <v>0.16319836739999999</v>
      </c>
      <c r="G211" s="1">
        <f>'Unformatted Trip Summary'!G209</f>
        <v>4.5838057079999999</v>
      </c>
      <c r="H211" s="1">
        <f>'Unformatted Trip Summary'!H209</f>
        <v>0.1090391434</v>
      </c>
    </row>
    <row r="212" spans="1:8" x14ac:dyDescent="0.2">
      <c r="A212" t="str">
        <f>'Unformatted Trip Summary'!A210</f>
        <v>03 WAIKATO</v>
      </c>
      <c r="B212" t="str">
        <f>'Unformatted Trip Summary'!J210</f>
        <v>2037/38</v>
      </c>
      <c r="C212" t="str">
        <f>'Unformatted Trip Summary'!I210</f>
        <v>Local Train</v>
      </c>
      <c r="D212">
        <f>'Unformatted Trip Summary'!D210</f>
        <v>2</v>
      </c>
      <c r="E212">
        <f>'Unformatted Trip Summary'!E210</f>
        <v>5</v>
      </c>
      <c r="F212" s="1">
        <f>'Unformatted Trip Summary'!F210</f>
        <v>0.16873562380000001</v>
      </c>
      <c r="G212" s="1">
        <f>'Unformatted Trip Summary'!G210</f>
        <v>4.8505736543999998</v>
      </c>
      <c r="H212" s="1">
        <f>'Unformatted Trip Summary'!H210</f>
        <v>0.1153446417</v>
      </c>
    </row>
    <row r="213" spans="1:8" x14ac:dyDescent="0.2">
      <c r="A213" t="str">
        <f>'Unformatted Trip Summary'!A211</f>
        <v>03 WAIKATO</v>
      </c>
      <c r="B213" t="str">
        <f>'Unformatted Trip Summary'!J211</f>
        <v>2042/43</v>
      </c>
      <c r="C213" t="str">
        <f>'Unformatted Trip Summary'!I211</f>
        <v>Local Train</v>
      </c>
      <c r="D213">
        <f>'Unformatted Trip Summary'!D211</f>
        <v>2</v>
      </c>
      <c r="E213">
        <f>'Unformatted Trip Summary'!E211</f>
        <v>5</v>
      </c>
      <c r="F213" s="1">
        <f>'Unformatted Trip Summary'!F211</f>
        <v>0.1724781611</v>
      </c>
      <c r="G213" s="1">
        <f>'Unformatted Trip Summary'!G211</f>
        <v>5.0637603946</v>
      </c>
      <c r="H213" s="1">
        <f>'Unformatted Trip Summary'!H211</f>
        <v>0.120376706</v>
      </c>
    </row>
    <row r="214" spans="1:8" x14ac:dyDescent="0.2">
      <c r="A214" t="str">
        <f>'Unformatted Trip Summary'!A212</f>
        <v>03 WAIKATO</v>
      </c>
      <c r="B214" t="str">
        <f>'Unformatted Trip Summary'!J212</f>
        <v>2012/13</v>
      </c>
      <c r="C214" t="str">
        <f>'Unformatted Trip Summary'!I212</f>
        <v>Local Bus</v>
      </c>
      <c r="D214">
        <f>'Unformatted Trip Summary'!D212</f>
        <v>81</v>
      </c>
      <c r="E214">
        <f>'Unformatted Trip Summary'!E212</f>
        <v>183</v>
      </c>
      <c r="F214" s="1">
        <f>'Unformatted Trip Summary'!F212</f>
        <v>5.7199103379</v>
      </c>
      <c r="G214" s="1">
        <f>'Unformatted Trip Summary'!G212</f>
        <v>54.303948532</v>
      </c>
      <c r="H214" s="1">
        <f>'Unformatted Trip Summary'!H212</f>
        <v>2.2088814398999999</v>
      </c>
    </row>
    <row r="215" spans="1:8" x14ac:dyDescent="0.2">
      <c r="A215" t="str">
        <f>'Unformatted Trip Summary'!A213</f>
        <v>03 WAIKATO</v>
      </c>
      <c r="B215" t="str">
        <f>'Unformatted Trip Summary'!J213</f>
        <v>2017/18</v>
      </c>
      <c r="C215" t="str">
        <f>'Unformatted Trip Summary'!I213</f>
        <v>Local Bus</v>
      </c>
      <c r="D215">
        <f>'Unformatted Trip Summary'!D213</f>
        <v>81</v>
      </c>
      <c r="E215">
        <f>'Unformatted Trip Summary'!E213</f>
        <v>183</v>
      </c>
      <c r="F215" s="1">
        <f>'Unformatted Trip Summary'!F213</f>
        <v>5.7257349207999999</v>
      </c>
      <c r="G215" s="1">
        <f>'Unformatted Trip Summary'!G213</f>
        <v>51.536525441000002</v>
      </c>
      <c r="H215" s="1">
        <f>'Unformatted Trip Summary'!H213</f>
        <v>2.1784041637999998</v>
      </c>
    </row>
    <row r="216" spans="1:8" x14ac:dyDescent="0.2">
      <c r="A216" t="str">
        <f>'Unformatted Trip Summary'!A214</f>
        <v>03 WAIKATO</v>
      </c>
      <c r="B216" t="str">
        <f>'Unformatted Trip Summary'!J214</f>
        <v>2022/23</v>
      </c>
      <c r="C216" t="str">
        <f>'Unformatted Trip Summary'!I214</f>
        <v>Local Bus</v>
      </c>
      <c r="D216">
        <f>'Unformatted Trip Summary'!D214</f>
        <v>81</v>
      </c>
      <c r="E216">
        <f>'Unformatted Trip Summary'!E214</f>
        <v>183</v>
      </c>
      <c r="F216" s="1">
        <f>'Unformatted Trip Summary'!F214</f>
        <v>5.6614309494999997</v>
      </c>
      <c r="G216" s="1">
        <f>'Unformatted Trip Summary'!G214</f>
        <v>50.132294424999998</v>
      </c>
      <c r="H216" s="1">
        <f>'Unformatted Trip Summary'!H214</f>
        <v>2.1414187404999998</v>
      </c>
    </row>
    <row r="217" spans="1:8" x14ac:dyDescent="0.2">
      <c r="A217" t="str">
        <f>'Unformatted Trip Summary'!A215</f>
        <v>03 WAIKATO</v>
      </c>
      <c r="B217" t="str">
        <f>'Unformatted Trip Summary'!J215</f>
        <v>2027/28</v>
      </c>
      <c r="C217" t="str">
        <f>'Unformatted Trip Summary'!I215</f>
        <v>Local Bus</v>
      </c>
      <c r="D217">
        <f>'Unformatted Trip Summary'!D215</f>
        <v>81</v>
      </c>
      <c r="E217">
        <f>'Unformatted Trip Summary'!E215</f>
        <v>183</v>
      </c>
      <c r="F217" s="1">
        <f>'Unformatted Trip Summary'!F215</f>
        <v>5.6946054087000002</v>
      </c>
      <c r="G217" s="1">
        <f>'Unformatted Trip Summary'!G215</f>
        <v>49.492534735</v>
      </c>
      <c r="H217" s="1">
        <f>'Unformatted Trip Summary'!H215</f>
        <v>2.1513853402000001</v>
      </c>
    </row>
    <row r="218" spans="1:8" x14ac:dyDescent="0.2">
      <c r="A218" t="str">
        <f>'Unformatted Trip Summary'!A216</f>
        <v>03 WAIKATO</v>
      </c>
      <c r="B218" t="str">
        <f>'Unformatted Trip Summary'!J216</f>
        <v>2032/33</v>
      </c>
      <c r="C218" t="str">
        <f>'Unformatted Trip Summary'!I216</f>
        <v>Local Bus</v>
      </c>
      <c r="D218">
        <f>'Unformatted Trip Summary'!D216</f>
        <v>81</v>
      </c>
      <c r="E218">
        <f>'Unformatted Trip Summary'!E216</f>
        <v>183</v>
      </c>
      <c r="F218" s="1">
        <f>'Unformatted Trip Summary'!F216</f>
        <v>5.7077027926000001</v>
      </c>
      <c r="G218" s="1">
        <f>'Unformatted Trip Summary'!G216</f>
        <v>48.566042340000003</v>
      </c>
      <c r="H218" s="1">
        <f>'Unformatted Trip Summary'!H216</f>
        <v>2.1495823582</v>
      </c>
    </row>
    <row r="219" spans="1:8" x14ac:dyDescent="0.2">
      <c r="A219" t="str">
        <f>'Unformatted Trip Summary'!A217</f>
        <v>03 WAIKATO</v>
      </c>
      <c r="B219" t="str">
        <f>'Unformatted Trip Summary'!J217</f>
        <v>2037/38</v>
      </c>
      <c r="C219" t="str">
        <f>'Unformatted Trip Summary'!I217</f>
        <v>Local Bus</v>
      </c>
      <c r="D219">
        <f>'Unformatted Trip Summary'!D217</f>
        <v>81</v>
      </c>
      <c r="E219">
        <f>'Unformatted Trip Summary'!E217</f>
        <v>183</v>
      </c>
      <c r="F219" s="1">
        <f>'Unformatted Trip Summary'!F217</f>
        <v>5.6724398447000004</v>
      </c>
      <c r="G219" s="1">
        <f>'Unformatted Trip Summary'!G217</f>
        <v>47.671426746999998</v>
      </c>
      <c r="H219" s="1">
        <f>'Unformatted Trip Summary'!H217</f>
        <v>2.1339300755999999</v>
      </c>
    </row>
    <row r="220" spans="1:8" x14ac:dyDescent="0.2">
      <c r="A220" t="str">
        <f>'Unformatted Trip Summary'!A218</f>
        <v>03 WAIKATO</v>
      </c>
      <c r="B220" t="str">
        <f>'Unformatted Trip Summary'!J218</f>
        <v>2042/43</v>
      </c>
      <c r="C220" t="str">
        <f>'Unformatted Trip Summary'!I218</f>
        <v>Local Bus</v>
      </c>
      <c r="D220">
        <f>'Unformatted Trip Summary'!D218</f>
        <v>81</v>
      </c>
      <c r="E220">
        <f>'Unformatted Trip Summary'!E218</f>
        <v>183</v>
      </c>
      <c r="F220" s="1">
        <f>'Unformatted Trip Summary'!F218</f>
        <v>5.5894233382999996</v>
      </c>
      <c r="G220" s="1">
        <f>'Unformatted Trip Summary'!G218</f>
        <v>46.578065094000003</v>
      </c>
      <c r="H220" s="1">
        <f>'Unformatted Trip Summary'!H218</f>
        <v>2.1051715586999999</v>
      </c>
    </row>
    <row r="221" spans="1:8" x14ac:dyDescent="0.2">
      <c r="A221" t="str">
        <f>'Unformatted Trip Summary'!A219</f>
        <v>03 WAIKATO</v>
      </c>
      <c r="B221" t="str">
        <f>'Unformatted Trip Summary'!J219</f>
        <v>2012/13</v>
      </c>
      <c r="C221" t="str">
        <f>'Unformatted Trip Summary'!I219</f>
        <v>Local Ferry</v>
      </c>
      <c r="D221">
        <f>'Unformatted Trip Summary'!D219</f>
        <v>3</v>
      </c>
      <c r="E221">
        <f>'Unformatted Trip Summary'!E219</f>
        <v>7</v>
      </c>
      <c r="F221" s="1">
        <f>'Unformatted Trip Summary'!F219</f>
        <v>0.2446181519</v>
      </c>
      <c r="G221" s="1">
        <f>'Unformatted Trip Summary'!G219</f>
        <v>0</v>
      </c>
      <c r="H221" s="1">
        <f>'Unformatted Trip Summary'!H219</f>
        <v>9.3342661800000004E-2</v>
      </c>
    </row>
    <row r="222" spans="1:8" x14ac:dyDescent="0.2">
      <c r="A222" t="str">
        <f>'Unformatted Trip Summary'!A220</f>
        <v>03 WAIKATO</v>
      </c>
      <c r="B222" t="str">
        <f>'Unformatted Trip Summary'!J220</f>
        <v>2017/18</v>
      </c>
      <c r="C222" t="str">
        <f>'Unformatted Trip Summary'!I220</f>
        <v>Local Ferry</v>
      </c>
      <c r="D222">
        <f>'Unformatted Trip Summary'!D220</f>
        <v>3</v>
      </c>
      <c r="E222">
        <f>'Unformatted Trip Summary'!E220</f>
        <v>7</v>
      </c>
      <c r="F222" s="1">
        <f>'Unformatted Trip Summary'!F220</f>
        <v>0.26666501790000002</v>
      </c>
      <c r="G222" s="1">
        <f>'Unformatted Trip Summary'!G220</f>
        <v>0</v>
      </c>
      <c r="H222" s="1">
        <f>'Unformatted Trip Summary'!H220</f>
        <v>0.1046778337</v>
      </c>
    </row>
    <row r="223" spans="1:8" x14ac:dyDescent="0.2">
      <c r="A223" t="str">
        <f>'Unformatted Trip Summary'!A221</f>
        <v>03 WAIKATO</v>
      </c>
      <c r="B223" t="str">
        <f>'Unformatted Trip Summary'!J221</f>
        <v>2022/23</v>
      </c>
      <c r="C223" t="str">
        <f>'Unformatted Trip Summary'!I221</f>
        <v>Local Ferry</v>
      </c>
      <c r="D223">
        <f>'Unformatted Trip Summary'!D221</f>
        <v>3</v>
      </c>
      <c r="E223">
        <f>'Unformatted Trip Summary'!E221</f>
        <v>7</v>
      </c>
      <c r="F223" s="1">
        <f>'Unformatted Trip Summary'!F221</f>
        <v>0.27982721459999998</v>
      </c>
      <c r="G223" s="1">
        <f>'Unformatted Trip Summary'!G221</f>
        <v>0</v>
      </c>
      <c r="H223" s="1">
        <f>'Unformatted Trip Summary'!H221</f>
        <v>0.1114525544</v>
      </c>
    </row>
    <row r="224" spans="1:8" x14ac:dyDescent="0.2">
      <c r="A224" t="str">
        <f>'Unformatted Trip Summary'!A222</f>
        <v>03 WAIKATO</v>
      </c>
      <c r="B224" t="str">
        <f>'Unformatted Trip Summary'!J222</f>
        <v>2027/28</v>
      </c>
      <c r="C224" t="str">
        <f>'Unformatted Trip Summary'!I222</f>
        <v>Local Ferry</v>
      </c>
      <c r="D224">
        <f>'Unformatted Trip Summary'!D222</f>
        <v>3</v>
      </c>
      <c r="E224">
        <f>'Unformatted Trip Summary'!E222</f>
        <v>7</v>
      </c>
      <c r="F224" s="1">
        <f>'Unformatted Trip Summary'!F222</f>
        <v>0.30104455829999999</v>
      </c>
      <c r="G224" s="1">
        <f>'Unformatted Trip Summary'!G222</f>
        <v>0</v>
      </c>
      <c r="H224" s="1">
        <f>'Unformatted Trip Summary'!H222</f>
        <v>0.1226770699</v>
      </c>
    </row>
    <row r="225" spans="1:8" x14ac:dyDescent="0.2">
      <c r="A225" t="str">
        <f>'Unformatted Trip Summary'!A223</f>
        <v>03 WAIKATO</v>
      </c>
      <c r="B225" t="str">
        <f>'Unformatted Trip Summary'!J223</f>
        <v>2032/33</v>
      </c>
      <c r="C225" t="str">
        <f>'Unformatted Trip Summary'!I223</f>
        <v>Local Ferry</v>
      </c>
      <c r="D225">
        <f>'Unformatted Trip Summary'!D223</f>
        <v>3</v>
      </c>
      <c r="E225">
        <f>'Unformatted Trip Summary'!E223</f>
        <v>7</v>
      </c>
      <c r="F225" s="1">
        <f>'Unformatted Trip Summary'!F223</f>
        <v>0.3087742792</v>
      </c>
      <c r="G225" s="1">
        <f>'Unformatted Trip Summary'!G223</f>
        <v>0</v>
      </c>
      <c r="H225" s="1">
        <f>'Unformatted Trip Summary'!H223</f>
        <v>0.12633993630000001</v>
      </c>
    </row>
    <row r="226" spans="1:8" x14ac:dyDescent="0.2">
      <c r="A226" t="str">
        <f>'Unformatted Trip Summary'!A224</f>
        <v>03 WAIKATO</v>
      </c>
      <c r="B226" t="str">
        <f>'Unformatted Trip Summary'!J224</f>
        <v>2037/38</v>
      </c>
      <c r="C226" t="str">
        <f>'Unformatted Trip Summary'!I224</f>
        <v>Local Ferry</v>
      </c>
      <c r="D226">
        <f>'Unformatted Trip Summary'!D224</f>
        <v>3</v>
      </c>
      <c r="E226">
        <f>'Unformatted Trip Summary'!E224</f>
        <v>7</v>
      </c>
      <c r="F226" s="1">
        <f>'Unformatted Trip Summary'!F224</f>
        <v>0.3009980518</v>
      </c>
      <c r="G226" s="1">
        <f>'Unformatted Trip Summary'!G224</f>
        <v>0</v>
      </c>
      <c r="H226" s="1">
        <f>'Unformatted Trip Summary'!H224</f>
        <v>0.1228553507</v>
      </c>
    </row>
    <row r="227" spans="1:8" x14ac:dyDescent="0.2">
      <c r="A227" t="str">
        <f>'Unformatted Trip Summary'!A225</f>
        <v>03 WAIKATO</v>
      </c>
      <c r="B227" t="str">
        <f>'Unformatted Trip Summary'!J225</f>
        <v>2042/43</v>
      </c>
      <c r="C227" t="str">
        <f>'Unformatted Trip Summary'!I225</f>
        <v>Local Ferry</v>
      </c>
      <c r="D227">
        <f>'Unformatted Trip Summary'!D225</f>
        <v>3</v>
      </c>
      <c r="E227">
        <f>'Unformatted Trip Summary'!E225</f>
        <v>7</v>
      </c>
      <c r="F227" s="1">
        <f>'Unformatted Trip Summary'!F225</f>
        <v>0.29039867270000003</v>
      </c>
      <c r="G227" s="1">
        <f>'Unformatted Trip Summary'!G225</f>
        <v>0</v>
      </c>
      <c r="H227" s="1">
        <f>'Unformatted Trip Summary'!H225</f>
        <v>0.1181202234</v>
      </c>
    </row>
    <row r="228" spans="1:8" x14ac:dyDescent="0.2">
      <c r="A228" t="str">
        <f>'Unformatted Trip Summary'!A226</f>
        <v>03 WAIKATO</v>
      </c>
      <c r="B228" t="str">
        <f>'Unformatted Trip Summary'!J226</f>
        <v>2012/13</v>
      </c>
      <c r="C228" t="str">
        <f>'Unformatted Trip Summary'!I226</f>
        <v>Other Household Travel</v>
      </c>
      <c r="D228">
        <f>'Unformatted Trip Summary'!D226</f>
        <v>17</v>
      </c>
      <c r="E228">
        <f>'Unformatted Trip Summary'!E226</f>
        <v>46</v>
      </c>
      <c r="F228" s="1">
        <f>'Unformatted Trip Summary'!F226</f>
        <v>1.8854250596</v>
      </c>
      <c r="G228" s="1">
        <f>'Unformatted Trip Summary'!G226</f>
        <v>0</v>
      </c>
      <c r="H228" s="1">
        <f>'Unformatted Trip Summary'!H226</f>
        <v>0.63404452519999999</v>
      </c>
    </row>
    <row r="229" spans="1:8" x14ac:dyDescent="0.2">
      <c r="A229" t="str">
        <f>'Unformatted Trip Summary'!A227</f>
        <v>03 WAIKATO</v>
      </c>
      <c r="B229" t="str">
        <f>'Unformatted Trip Summary'!J227</f>
        <v>2017/18</v>
      </c>
      <c r="C229" t="str">
        <f>'Unformatted Trip Summary'!I227</f>
        <v>Other Household Travel</v>
      </c>
      <c r="D229">
        <f>'Unformatted Trip Summary'!D227</f>
        <v>17</v>
      </c>
      <c r="E229">
        <f>'Unformatted Trip Summary'!E227</f>
        <v>46</v>
      </c>
      <c r="F229" s="1">
        <f>'Unformatted Trip Summary'!F227</f>
        <v>2.0034004061999999</v>
      </c>
      <c r="G229" s="1">
        <f>'Unformatted Trip Summary'!G227</f>
        <v>0</v>
      </c>
      <c r="H229" s="1">
        <f>'Unformatted Trip Summary'!H227</f>
        <v>0.6553509045</v>
      </c>
    </row>
    <row r="230" spans="1:8" x14ac:dyDescent="0.2">
      <c r="A230" t="str">
        <f>'Unformatted Trip Summary'!A228</f>
        <v>03 WAIKATO</v>
      </c>
      <c r="B230" t="str">
        <f>'Unformatted Trip Summary'!J228</f>
        <v>2022/23</v>
      </c>
      <c r="C230" t="str">
        <f>'Unformatted Trip Summary'!I228</f>
        <v>Other Household Travel</v>
      </c>
      <c r="D230">
        <f>'Unformatted Trip Summary'!D228</f>
        <v>17</v>
      </c>
      <c r="E230">
        <f>'Unformatted Trip Summary'!E228</f>
        <v>46</v>
      </c>
      <c r="F230" s="1">
        <f>'Unformatted Trip Summary'!F228</f>
        <v>2.1077764355999999</v>
      </c>
      <c r="G230" s="1">
        <f>'Unformatted Trip Summary'!G228</f>
        <v>0</v>
      </c>
      <c r="H230" s="1">
        <f>'Unformatted Trip Summary'!H228</f>
        <v>0.67284001000000004</v>
      </c>
    </row>
    <row r="231" spans="1:8" x14ac:dyDescent="0.2">
      <c r="A231" t="str">
        <f>'Unformatted Trip Summary'!A229</f>
        <v>03 WAIKATO</v>
      </c>
      <c r="B231" t="str">
        <f>'Unformatted Trip Summary'!J229</f>
        <v>2027/28</v>
      </c>
      <c r="C231" t="str">
        <f>'Unformatted Trip Summary'!I229</f>
        <v>Other Household Travel</v>
      </c>
      <c r="D231">
        <f>'Unformatted Trip Summary'!D229</f>
        <v>17</v>
      </c>
      <c r="E231">
        <f>'Unformatted Trip Summary'!E229</f>
        <v>46</v>
      </c>
      <c r="F231" s="1">
        <f>'Unformatted Trip Summary'!F229</f>
        <v>2.1976608989000002</v>
      </c>
      <c r="G231" s="1">
        <f>'Unformatted Trip Summary'!G229</f>
        <v>0</v>
      </c>
      <c r="H231" s="1">
        <f>'Unformatted Trip Summary'!H229</f>
        <v>0.67359742619999996</v>
      </c>
    </row>
    <row r="232" spans="1:8" x14ac:dyDescent="0.2">
      <c r="A232" t="str">
        <f>'Unformatted Trip Summary'!A230</f>
        <v>03 WAIKATO</v>
      </c>
      <c r="B232" t="str">
        <f>'Unformatted Trip Summary'!J230</f>
        <v>2032/33</v>
      </c>
      <c r="C232" t="str">
        <f>'Unformatted Trip Summary'!I230</f>
        <v>Other Household Travel</v>
      </c>
      <c r="D232">
        <f>'Unformatted Trip Summary'!D230</f>
        <v>17</v>
      </c>
      <c r="E232">
        <f>'Unformatted Trip Summary'!E230</f>
        <v>46</v>
      </c>
      <c r="F232" s="1">
        <f>'Unformatted Trip Summary'!F230</f>
        <v>2.3207338117999998</v>
      </c>
      <c r="G232" s="1">
        <f>'Unformatted Trip Summary'!G230</f>
        <v>0</v>
      </c>
      <c r="H232" s="1">
        <f>'Unformatted Trip Summary'!H230</f>
        <v>0.67168305319999999</v>
      </c>
    </row>
    <row r="233" spans="1:8" x14ac:dyDescent="0.2">
      <c r="A233" t="str">
        <f>'Unformatted Trip Summary'!A231</f>
        <v>03 WAIKATO</v>
      </c>
      <c r="B233" t="str">
        <f>'Unformatted Trip Summary'!J231</f>
        <v>2037/38</v>
      </c>
      <c r="C233" t="str">
        <f>'Unformatted Trip Summary'!I231</f>
        <v>Other Household Travel</v>
      </c>
      <c r="D233">
        <f>'Unformatted Trip Summary'!D231</f>
        <v>17</v>
      </c>
      <c r="E233">
        <f>'Unformatted Trip Summary'!E231</f>
        <v>46</v>
      </c>
      <c r="F233" s="1">
        <f>'Unformatted Trip Summary'!F231</f>
        <v>2.3705992278000001</v>
      </c>
      <c r="G233" s="1">
        <f>'Unformatted Trip Summary'!G231</f>
        <v>0</v>
      </c>
      <c r="H233" s="1">
        <f>'Unformatted Trip Summary'!H231</f>
        <v>0.66277105729999997</v>
      </c>
    </row>
    <row r="234" spans="1:8" x14ac:dyDescent="0.2">
      <c r="A234" t="str">
        <f>'Unformatted Trip Summary'!A232</f>
        <v>03 WAIKATO</v>
      </c>
      <c r="B234" t="str">
        <f>'Unformatted Trip Summary'!J232</f>
        <v>2042/43</v>
      </c>
      <c r="C234" t="str">
        <f>'Unformatted Trip Summary'!I232</f>
        <v>Other Household Travel</v>
      </c>
      <c r="D234">
        <f>'Unformatted Trip Summary'!D232</f>
        <v>17</v>
      </c>
      <c r="E234">
        <f>'Unformatted Trip Summary'!E232</f>
        <v>46</v>
      </c>
      <c r="F234" s="1">
        <f>'Unformatted Trip Summary'!F232</f>
        <v>2.3320672464999999</v>
      </c>
      <c r="G234" s="1">
        <f>'Unformatted Trip Summary'!G232</f>
        <v>0</v>
      </c>
      <c r="H234" s="1">
        <f>'Unformatted Trip Summary'!H232</f>
        <v>0.63847556090000002</v>
      </c>
    </row>
    <row r="235" spans="1:8" x14ac:dyDescent="0.2">
      <c r="A235" t="str">
        <f>'Unformatted Trip Summary'!A233</f>
        <v>03 WAIKATO</v>
      </c>
      <c r="B235" t="str">
        <f>'Unformatted Trip Summary'!J233</f>
        <v>2012/13</v>
      </c>
      <c r="C235" t="str">
        <f>'Unformatted Trip Summary'!I233</f>
        <v>Air/Non-Local PT</v>
      </c>
      <c r="D235">
        <f>'Unformatted Trip Summary'!D233</f>
        <v>18</v>
      </c>
      <c r="E235">
        <f>'Unformatted Trip Summary'!E233</f>
        <v>32</v>
      </c>
      <c r="F235" s="1">
        <f>'Unformatted Trip Summary'!F233</f>
        <v>0.92406733060000001</v>
      </c>
      <c r="G235" s="1">
        <f>'Unformatted Trip Summary'!G233</f>
        <v>54.768337629999998</v>
      </c>
      <c r="H235" s="1">
        <f>'Unformatted Trip Summary'!H233</f>
        <v>2.3234459650999999</v>
      </c>
    </row>
    <row r="236" spans="1:8" x14ac:dyDescent="0.2">
      <c r="A236" t="str">
        <f>'Unformatted Trip Summary'!A234</f>
        <v>03 WAIKATO</v>
      </c>
      <c r="B236" t="str">
        <f>'Unformatted Trip Summary'!J234</f>
        <v>2017/18</v>
      </c>
      <c r="C236" t="str">
        <f>'Unformatted Trip Summary'!I234</f>
        <v>Air/Non-Local PT</v>
      </c>
      <c r="D236">
        <f>'Unformatted Trip Summary'!D234</f>
        <v>18</v>
      </c>
      <c r="E236">
        <f>'Unformatted Trip Summary'!E234</f>
        <v>32</v>
      </c>
      <c r="F236" s="1">
        <f>'Unformatted Trip Summary'!F234</f>
        <v>1.023659541</v>
      </c>
      <c r="G236" s="1">
        <f>'Unformatted Trip Summary'!G234</f>
        <v>58.321314299000001</v>
      </c>
      <c r="H236" s="1">
        <f>'Unformatted Trip Summary'!H234</f>
        <v>2.5956071389000002</v>
      </c>
    </row>
    <row r="237" spans="1:8" x14ac:dyDescent="0.2">
      <c r="A237" t="str">
        <f>'Unformatted Trip Summary'!A235</f>
        <v>03 WAIKATO</v>
      </c>
      <c r="B237" t="str">
        <f>'Unformatted Trip Summary'!J235</f>
        <v>2022/23</v>
      </c>
      <c r="C237" t="str">
        <f>'Unformatted Trip Summary'!I235</f>
        <v>Air/Non-Local PT</v>
      </c>
      <c r="D237">
        <f>'Unformatted Trip Summary'!D235</f>
        <v>18</v>
      </c>
      <c r="E237">
        <f>'Unformatted Trip Summary'!E235</f>
        <v>32</v>
      </c>
      <c r="F237" s="1">
        <f>'Unformatted Trip Summary'!F235</f>
        <v>1.1421907382000001</v>
      </c>
      <c r="G237" s="1">
        <f>'Unformatted Trip Summary'!G235</f>
        <v>61.402125130000002</v>
      </c>
      <c r="H237" s="1">
        <f>'Unformatted Trip Summary'!H235</f>
        <v>2.8556200465999999</v>
      </c>
    </row>
    <row r="238" spans="1:8" x14ac:dyDescent="0.2">
      <c r="A238" t="str">
        <f>'Unformatted Trip Summary'!A236</f>
        <v>03 WAIKATO</v>
      </c>
      <c r="B238" t="str">
        <f>'Unformatted Trip Summary'!J236</f>
        <v>2027/28</v>
      </c>
      <c r="C238" t="str">
        <f>'Unformatted Trip Summary'!I236</f>
        <v>Air/Non-Local PT</v>
      </c>
      <c r="D238">
        <f>'Unformatted Trip Summary'!D236</f>
        <v>18</v>
      </c>
      <c r="E238">
        <f>'Unformatted Trip Summary'!E236</f>
        <v>32</v>
      </c>
      <c r="F238" s="1">
        <f>'Unformatted Trip Summary'!F236</f>
        <v>1.2675978182000001</v>
      </c>
      <c r="G238" s="1">
        <f>'Unformatted Trip Summary'!G236</f>
        <v>64.405354600999999</v>
      </c>
      <c r="H238" s="1">
        <f>'Unformatted Trip Summary'!H236</f>
        <v>3.1823519722000002</v>
      </c>
    </row>
    <row r="239" spans="1:8" x14ac:dyDescent="0.2">
      <c r="A239" t="str">
        <f>'Unformatted Trip Summary'!A237</f>
        <v>03 WAIKATO</v>
      </c>
      <c r="B239" t="str">
        <f>'Unformatted Trip Summary'!J237</f>
        <v>2032/33</v>
      </c>
      <c r="C239" t="str">
        <f>'Unformatted Trip Summary'!I237</f>
        <v>Air/Non-Local PT</v>
      </c>
      <c r="D239">
        <f>'Unformatted Trip Summary'!D237</f>
        <v>18</v>
      </c>
      <c r="E239">
        <f>'Unformatted Trip Summary'!E237</f>
        <v>32</v>
      </c>
      <c r="F239" s="1">
        <f>'Unformatted Trip Summary'!F237</f>
        <v>1.3676408996</v>
      </c>
      <c r="G239" s="1">
        <f>'Unformatted Trip Summary'!G237</f>
        <v>68.300358532000004</v>
      </c>
      <c r="H239" s="1">
        <f>'Unformatted Trip Summary'!H237</f>
        <v>3.4491640044</v>
      </c>
    </row>
    <row r="240" spans="1:8" x14ac:dyDescent="0.2">
      <c r="A240" t="str">
        <f>'Unformatted Trip Summary'!A238</f>
        <v>03 WAIKATO</v>
      </c>
      <c r="B240" t="str">
        <f>'Unformatted Trip Summary'!J238</f>
        <v>2037/38</v>
      </c>
      <c r="C240" t="str">
        <f>'Unformatted Trip Summary'!I238</f>
        <v>Air/Non-Local PT</v>
      </c>
      <c r="D240">
        <f>'Unformatted Trip Summary'!D238</f>
        <v>18</v>
      </c>
      <c r="E240">
        <f>'Unformatted Trip Summary'!E238</f>
        <v>32</v>
      </c>
      <c r="F240" s="1">
        <f>'Unformatted Trip Summary'!F238</f>
        <v>1.4361630139999999</v>
      </c>
      <c r="G240" s="1">
        <f>'Unformatted Trip Summary'!G238</f>
        <v>72.958549443999999</v>
      </c>
      <c r="H240" s="1">
        <f>'Unformatted Trip Summary'!H238</f>
        <v>3.5139988008</v>
      </c>
    </row>
    <row r="241" spans="1:8" x14ac:dyDescent="0.2">
      <c r="A241" t="str">
        <f>'Unformatted Trip Summary'!A239</f>
        <v>03 WAIKATO</v>
      </c>
      <c r="B241" t="str">
        <f>'Unformatted Trip Summary'!J239</f>
        <v>2042/43</v>
      </c>
      <c r="C241" t="str">
        <f>'Unformatted Trip Summary'!I239</f>
        <v>Air/Non-Local PT</v>
      </c>
      <c r="D241">
        <f>'Unformatted Trip Summary'!D239</f>
        <v>18</v>
      </c>
      <c r="E241">
        <f>'Unformatted Trip Summary'!E239</f>
        <v>32</v>
      </c>
      <c r="F241" s="1">
        <f>'Unformatted Trip Summary'!F239</f>
        <v>1.5029459859000001</v>
      </c>
      <c r="G241" s="1">
        <f>'Unformatted Trip Summary'!G239</f>
        <v>78.067428015999994</v>
      </c>
      <c r="H241" s="1">
        <f>'Unformatted Trip Summary'!H239</f>
        <v>3.5668287424999998</v>
      </c>
    </row>
    <row r="242" spans="1:8" x14ac:dyDescent="0.2">
      <c r="A242" t="str">
        <f>'Unformatted Trip Summary'!A240</f>
        <v>03 WAIKATO</v>
      </c>
      <c r="B242" t="str">
        <f>'Unformatted Trip Summary'!J240</f>
        <v>2012/13</v>
      </c>
      <c r="C242" t="str">
        <f>'Unformatted Trip Summary'!I240</f>
        <v>Non-Household Travel</v>
      </c>
      <c r="D242">
        <f>'Unformatted Trip Summary'!D240</f>
        <v>52</v>
      </c>
      <c r="E242">
        <f>'Unformatted Trip Summary'!E240</f>
        <v>244</v>
      </c>
      <c r="F242" s="1">
        <f>'Unformatted Trip Summary'!F240</f>
        <v>8.7527428694000005</v>
      </c>
      <c r="G242" s="1">
        <f>'Unformatted Trip Summary'!G240</f>
        <v>166.86894676</v>
      </c>
      <c r="H242" s="1">
        <f>'Unformatted Trip Summary'!H240</f>
        <v>3.3327759721999999</v>
      </c>
    </row>
    <row r="243" spans="1:8" x14ac:dyDescent="0.2">
      <c r="A243" t="str">
        <f>'Unformatted Trip Summary'!A241</f>
        <v>03 WAIKATO</v>
      </c>
      <c r="B243" t="str">
        <f>'Unformatted Trip Summary'!J241</f>
        <v>2017/18</v>
      </c>
      <c r="C243" t="str">
        <f>'Unformatted Trip Summary'!I241</f>
        <v>Non-Household Travel</v>
      </c>
      <c r="D243">
        <f>'Unformatted Trip Summary'!D241</f>
        <v>52</v>
      </c>
      <c r="E243">
        <f>'Unformatted Trip Summary'!E241</f>
        <v>244</v>
      </c>
      <c r="F243" s="1">
        <f>'Unformatted Trip Summary'!F241</f>
        <v>9.0866560417999995</v>
      </c>
      <c r="G243" s="1">
        <f>'Unformatted Trip Summary'!G241</f>
        <v>170.90649252</v>
      </c>
      <c r="H243" s="1">
        <f>'Unformatted Trip Summary'!H241</f>
        <v>3.4309005706</v>
      </c>
    </row>
    <row r="244" spans="1:8" x14ac:dyDescent="0.2">
      <c r="A244" t="str">
        <f>'Unformatted Trip Summary'!A242</f>
        <v>03 WAIKATO</v>
      </c>
      <c r="B244" t="str">
        <f>'Unformatted Trip Summary'!J242</f>
        <v>2022/23</v>
      </c>
      <c r="C244" t="str">
        <f>'Unformatted Trip Summary'!I242</f>
        <v>Non-Household Travel</v>
      </c>
      <c r="D244">
        <f>'Unformatted Trip Summary'!D242</f>
        <v>52</v>
      </c>
      <c r="E244">
        <f>'Unformatted Trip Summary'!E242</f>
        <v>244</v>
      </c>
      <c r="F244" s="1">
        <f>'Unformatted Trip Summary'!F242</f>
        <v>9.1892753584999998</v>
      </c>
      <c r="G244" s="1">
        <f>'Unformatted Trip Summary'!G242</f>
        <v>172.72659002</v>
      </c>
      <c r="H244" s="1">
        <f>'Unformatted Trip Summary'!H242</f>
        <v>3.4694929380000001</v>
      </c>
    </row>
    <row r="245" spans="1:8" x14ac:dyDescent="0.2">
      <c r="A245" t="str">
        <f>'Unformatted Trip Summary'!A243</f>
        <v>03 WAIKATO</v>
      </c>
      <c r="B245" t="str">
        <f>'Unformatted Trip Summary'!J243</f>
        <v>2027/28</v>
      </c>
      <c r="C245" t="str">
        <f>'Unformatted Trip Summary'!I243</f>
        <v>Non-Household Travel</v>
      </c>
      <c r="D245">
        <f>'Unformatted Trip Summary'!D243</f>
        <v>52</v>
      </c>
      <c r="E245">
        <f>'Unformatted Trip Summary'!E243</f>
        <v>244</v>
      </c>
      <c r="F245" s="1">
        <f>'Unformatted Trip Summary'!F243</f>
        <v>9.3080625817999998</v>
      </c>
      <c r="G245" s="1">
        <f>'Unformatted Trip Summary'!G243</f>
        <v>177.21304817000001</v>
      </c>
      <c r="H245" s="1">
        <f>'Unformatted Trip Summary'!H243</f>
        <v>3.5476018424000002</v>
      </c>
    </row>
    <row r="246" spans="1:8" x14ac:dyDescent="0.2">
      <c r="A246" t="str">
        <f>'Unformatted Trip Summary'!A244</f>
        <v>03 WAIKATO</v>
      </c>
      <c r="B246" t="str">
        <f>'Unformatted Trip Summary'!J244</f>
        <v>2032/33</v>
      </c>
      <c r="C246" t="str">
        <f>'Unformatted Trip Summary'!I244</f>
        <v>Non-Household Travel</v>
      </c>
      <c r="D246">
        <f>'Unformatted Trip Summary'!D244</f>
        <v>52</v>
      </c>
      <c r="E246">
        <f>'Unformatted Trip Summary'!E244</f>
        <v>244</v>
      </c>
      <c r="F246" s="1">
        <f>'Unformatted Trip Summary'!F244</f>
        <v>9.4313776434999994</v>
      </c>
      <c r="G246" s="1">
        <f>'Unformatted Trip Summary'!G244</f>
        <v>183.39286111999999</v>
      </c>
      <c r="H246" s="1">
        <f>'Unformatted Trip Summary'!H244</f>
        <v>3.6475445584999999</v>
      </c>
    </row>
    <row r="247" spans="1:8" x14ac:dyDescent="0.2">
      <c r="A247" t="str">
        <f>'Unformatted Trip Summary'!A245</f>
        <v>03 WAIKATO</v>
      </c>
      <c r="B247" t="str">
        <f>'Unformatted Trip Summary'!J245</f>
        <v>2037/38</v>
      </c>
      <c r="C247" t="str">
        <f>'Unformatted Trip Summary'!I245</f>
        <v>Non-Household Travel</v>
      </c>
      <c r="D247">
        <f>'Unformatted Trip Summary'!D245</f>
        <v>52</v>
      </c>
      <c r="E247">
        <f>'Unformatted Trip Summary'!E245</f>
        <v>244</v>
      </c>
      <c r="F247" s="1">
        <f>'Unformatted Trip Summary'!F245</f>
        <v>9.5848856632999997</v>
      </c>
      <c r="G247" s="1">
        <f>'Unformatted Trip Summary'!G245</f>
        <v>189.18015742</v>
      </c>
      <c r="H247" s="1">
        <f>'Unformatted Trip Summary'!H245</f>
        <v>3.7502860804</v>
      </c>
    </row>
    <row r="248" spans="1:8" x14ac:dyDescent="0.2">
      <c r="A248" t="str">
        <f>'Unformatted Trip Summary'!A246</f>
        <v>03 WAIKATO</v>
      </c>
      <c r="B248" t="str">
        <f>'Unformatted Trip Summary'!J246</f>
        <v>2042/43</v>
      </c>
      <c r="C248" t="str">
        <f>'Unformatted Trip Summary'!I246</f>
        <v>Non-Household Travel</v>
      </c>
      <c r="D248">
        <f>'Unformatted Trip Summary'!D246</f>
        <v>52</v>
      </c>
      <c r="E248">
        <f>'Unformatted Trip Summary'!E246</f>
        <v>244</v>
      </c>
      <c r="F248" s="1">
        <f>'Unformatted Trip Summary'!F246</f>
        <v>9.6870967024999999</v>
      </c>
      <c r="G248" s="1">
        <f>'Unformatted Trip Summary'!G246</f>
        <v>193.99576429999999</v>
      </c>
      <c r="H248" s="1">
        <f>'Unformatted Trip Summary'!H246</f>
        <v>3.8330268336</v>
      </c>
    </row>
    <row r="249" spans="1:8" x14ac:dyDescent="0.2">
      <c r="A249" t="str">
        <f>'Unformatted Trip Summary'!A247</f>
        <v>04 BAY OF PLENTY</v>
      </c>
      <c r="B249" t="str">
        <f>'Unformatted Trip Summary'!J247</f>
        <v>2012/13</v>
      </c>
      <c r="C249" t="str">
        <f>'Unformatted Trip Summary'!I247</f>
        <v>Pedestrian</v>
      </c>
      <c r="D249">
        <f>'Unformatted Trip Summary'!D247</f>
        <v>436</v>
      </c>
      <c r="E249">
        <f>'Unformatted Trip Summary'!E247</f>
        <v>1419</v>
      </c>
      <c r="F249" s="1">
        <f>'Unformatted Trip Summary'!F247</f>
        <v>43.402809341999998</v>
      </c>
      <c r="G249" s="1">
        <f>'Unformatted Trip Summary'!G247</f>
        <v>35.579183637</v>
      </c>
      <c r="H249" s="1">
        <f>'Unformatted Trip Summary'!H247</f>
        <v>9.1706746114000008</v>
      </c>
    </row>
    <row r="250" spans="1:8" x14ac:dyDescent="0.2">
      <c r="A250" t="str">
        <f>'Unformatted Trip Summary'!A248</f>
        <v>04 BAY OF PLENTY</v>
      </c>
      <c r="B250" t="str">
        <f>'Unformatted Trip Summary'!J248</f>
        <v>2017/18</v>
      </c>
      <c r="C250" t="str">
        <f>'Unformatted Trip Summary'!I248</f>
        <v>Pedestrian</v>
      </c>
      <c r="D250">
        <f>'Unformatted Trip Summary'!D248</f>
        <v>436</v>
      </c>
      <c r="E250">
        <f>'Unformatted Trip Summary'!E248</f>
        <v>1419</v>
      </c>
      <c r="F250" s="1">
        <f>'Unformatted Trip Summary'!F248</f>
        <v>43.663906396000002</v>
      </c>
      <c r="G250" s="1">
        <f>'Unformatted Trip Summary'!G248</f>
        <v>35.029163228000002</v>
      </c>
      <c r="H250" s="1">
        <f>'Unformatted Trip Summary'!H248</f>
        <v>9.1822825685999998</v>
      </c>
    </row>
    <row r="251" spans="1:8" x14ac:dyDescent="0.2">
      <c r="A251" t="str">
        <f>'Unformatted Trip Summary'!A249</f>
        <v>04 BAY OF PLENTY</v>
      </c>
      <c r="B251" t="str">
        <f>'Unformatted Trip Summary'!J249</f>
        <v>2022/23</v>
      </c>
      <c r="C251" t="str">
        <f>'Unformatted Trip Summary'!I249</f>
        <v>Pedestrian</v>
      </c>
      <c r="D251">
        <f>'Unformatted Trip Summary'!D249</f>
        <v>436</v>
      </c>
      <c r="E251">
        <f>'Unformatted Trip Summary'!E249</f>
        <v>1419</v>
      </c>
      <c r="F251" s="1">
        <f>'Unformatted Trip Summary'!F249</f>
        <v>44.275137067999999</v>
      </c>
      <c r="G251" s="1">
        <f>'Unformatted Trip Summary'!G249</f>
        <v>34.956622230999997</v>
      </c>
      <c r="H251" s="1">
        <f>'Unformatted Trip Summary'!H249</f>
        <v>9.2777099450999998</v>
      </c>
    </row>
    <row r="252" spans="1:8" x14ac:dyDescent="0.2">
      <c r="A252" t="str">
        <f>'Unformatted Trip Summary'!A250</f>
        <v>04 BAY OF PLENTY</v>
      </c>
      <c r="B252" t="str">
        <f>'Unformatted Trip Summary'!J250</f>
        <v>2027/28</v>
      </c>
      <c r="C252" t="str">
        <f>'Unformatted Trip Summary'!I250</f>
        <v>Pedestrian</v>
      </c>
      <c r="D252">
        <f>'Unformatted Trip Summary'!D250</f>
        <v>436</v>
      </c>
      <c r="E252">
        <f>'Unformatted Trip Summary'!E250</f>
        <v>1419</v>
      </c>
      <c r="F252" s="1">
        <f>'Unformatted Trip Summary'!F250</f>
        <v>45.378665779999999</v>
      </c>
      <c r="G252" s="1">
        <f>'Unformatted Trip Summary'!G250</f>
        <v>34.989895302000001</v>
      </c>
      <c r="H252" s="1">
        <f>'Unformatted Trip Summary'!H250</f>
        <v>9.3779635272000004</v>
      </c>
    </row>
    <row r="253" spans="1:8" x14ac:dyDescent="0.2">
      <c r="A253" t="str">
        <f>'Unformatted Trip Summary'!A251</f>
        <v>04 BAY OF PLENTY</v>
      </c>
      <c r="B253" t="str">
        <f>'Unformatted Trip Summary'!J251</f>
        <v>2032/33</v>
      </c>
      <c r="C253" t="str">
        <f>'Unformatted Trip Summary'!I251</f>
        <v>Pedestrian</v>
      </c>
      <c r="D253">
        <f>'Unformatted Trip Summary'!D251</f>
        <v>436</v>
      </c>
      <c r="E253">
        <f>'Unformatted Trip Summary'!E251</f>
        <v>1419</v>
      </c>
      <c r="F253" s="1">
        <f>'Unformatted Trip Summary'!F251</f>
        <v>46.01604553</v>
      </c>
      <c r="G253" s="1">
        <f>'Unformatted Trip Summary'!G251</f>
        <v>34.515843705999998</v>
      </c>
      <c r="H253" s="1">
        <f>'Unformatted Trip Summary'!H251</f>
        <v>9.3398550747000009</v>
      </c>
    </row>
    <row r="254" spans="1:8" x14ac:dyDescent="0.2">
      <c r="A254" t="str">
        <f>'Unformatted Trip Summary'!A252</f>
        <v>04 BAY OF PLENTY</v>
      </c>
      <c r="B254" t="str">
        <f>'Unformatted Trip Summary'!J252</f>
        <v>2037/38</v>
      </c>
      <c r="C254" t="str">
        <f>'Unformatted Trip Summary'!I252</f>
        <v>Pedestrian</v>
      </c>
      <c r="D254">
        <f>'Unformatted Trip Summary'!D252</f>
        <v>436</v>
      </c>
      <c r="E254">
        <f>'Unformatted Trip Summary'!E252</f>
        <v>1419</v>
      </c>
      <c r="F254" s="1">
        <f>'Unformatted Trip Summary'!F252</f>
        <v>46.498504173999997</v>
      </c>
      <c r="G254" s="1">
        <f>'Unformatted Trip Summary'!G252</f>
        <v>34.139319307999997</v>
      </c>
      <c r="H254" s="1">
        <f>'Unformatted Trip Summary'!H252</f>
        <v>9.2799116918000006</v>
      </c>
    </row>
    <row r="255" spans="1:8" x14ac:dyDescent="0.2">
      <c r="A255" t="str">
        <f>'Unformatted Trip Summary'!A253</f>
        <v>04 BAY OF PLENTY</v>
      </c>
      <c r="B255" t="str">
        <f>'Unformatted Trip Summary'!J253</f>
        <v>2042/43</v>
      </c>
      <c r="C255" t="str">
        <f>'Unformatted Trip Summary'!I253</f>
        <v>Pedestrian</v>
      </c>
      <c r="D255">
        <f>'Unformatted Trip Summary'!D253</f>
        <v>436</v>
      </c>
      <c r="E255">
        <f>'Unformatted Trip Summary'!E253</f>
        <v>1419</v>
      </c>
      <c r="F255" s="1">
        <f>'Unformatted Trip Summary'!F253</f>
        <v>46.844869711000001</v>
      </c>
      <c r="G255" s="1">
        <f>'Unformatted Trip Summary'!G253</f>
        <v>33.689295264999998</v>
      </c>
      <c r="H255" s="1">
        <f>'Unformatted Trip Summary'!H253</f>
        <v>9.1951220658999997</v>
      </c>
    </row>
    <row r="256" spans="1:8" x14ac:dyDescent="0.2">
      <c r="A256" t="str">
        <f>'Unformatted Trip Summary'!A254</f>
        <v>04 BAY OF PLENTY</v>
      </c>
      <c r="B256" t="str">
        <f>'Unformatted Trip Summary'!J254</f>
        <v>2012/13</v>
      </c>
      <c r="C256" t="str">
        <f>'Unformatted Trip Summary'!I254</f>
        <v>Cyclist</v>
      </c>
      <c r="D256">
        <f>'Unformatted Trip Summary'!D254</f>
        <v>53</v>
      </c>
      <c r="E256">
        <f>'Unformatted Trip Summary'!E254</f>
        <v>183</v>
      </c>
      <c r="F256" s="1">
        <f>'Unformatted Trip Summary'!F254</f>
        <v>5.1579391552000002</v>
      </c>
      <c r="G256" s="1">
        <f>'Unformatted Trip Summary'!G254</f>
        <v>8.5028812633000008</v>
      </c>
      <c r="H256" s="1">
        <f>'Unformatted Trip Summary'!H254</f>
        <v>0.91801276549999999</v>
      </c>
    </row>
    <row r="257" spans="1:8" x14ac:dyDescent="0.2">
      <c r="A257" t="str">
        <f>'Unformatted Trip Summary'!A255</f>
        <v>04 BAY OF PLENTY</v>
      </c>
      <c r="B257" t="str">
        <f>'Unformatted Trip Summary'!J255</f>
        <v>2017/18</v>
      </c>
      <c r="C257" t="str">
        <f>'Unformatted Trip Summary'!I255</f>
        <v>Cyclist</v>
      </c>
      <c r="D257">
        <f>'Unformatted Trip Summary'!D255</f>
        <v>53</v>
      </c>
      <c r="E257">
        <f>'Unformatted Trip Summary'!E255</f>
        <v>183</v>
      </c>
      <c r="F257" s="1">
        <f>'Unformatted Trip Summary'!F255</f>
        <v>4.9827693765000003</v>
      </c>
      <c r="G257" s="1">
        <f>'Unformatted Trip Summary'!G255</f>
        <v>8.2315490368000006</v>
      </c>
      <c r="H257" s="1">
        <f>'Unformatted Trip Summary'!H255</f>
        <v>0.8791574539</v>
      </c>
    </row>
    <row r="258" spans="1:8" x14ac:dyDescent="0.2">
      <c r="A258" t="str">
        <f>'Unformatted Trip Summary'!A256</f>
        <v>04 BAY OF PLENTY</v>
      </c>
      <c r="B258" t="str">
        <f>'Unformatted Trip Summary'!J256</f>
        <v>2022/23</v>
      </c>
      <c r="C258" t="str">
        <f>'Unformatted Trip Summary'!I256</f>
        <v>Cyclist</v>
      </c>
      <c r="D258">
        <f>'Unformatted Trip Summary'!D256</f>
        <v>53</v>
      </c>
      <c r="E258">
        <f>'Unformatted Trip Summary'!E256</f>
        <v>183</v>
      </c>
      <c r="F258" s="1">
        <f>'Unformatted Trip Summary'!F256</f>
        <v>4.8955823973000001</v>
      </c>
      <c r="G258" s="1">
        <f>'Unformatted Trip Summary'!G256</f>
        <v>8.0982222264000008</v>
      </c>
      <c r="H258" s="1">
        <f>'Unformatted Trip Summary'!H256</f>
        <v>0.85836833410000002</v>
      </c>
    </row>
    <row r="259" spans="1:8" x14ac:dyDescent="0.2">
      <c r="A259" t="str">
        <f>'Unformatted Trip Summary'!A257</f>
        <v>04 BAY OF PLENTY</v>
      </c>
      <c r="B259" t="str">
        <f>'Unformatted Trip Summary'!J257</f>
        <v>2027/28</v>
      </c>
      <c r="C259" t="str">
        <f>'Unformatted Trip Summary'!I257</f>
        <v>Cyclist</v>
      </c>
      <c r="D259">
        <f>'Unformatted Trip Summary'!D257</f>
        <v>53</v>
      </c>
      <c r="E259">
        <f>'Unformatted Trip Summary'!E257</f>
        <v>183</v>
      </c>
      <c r="F259" s="1">
        <f>'Unformatted Trip Summary'!F257</f>
        <v>4.9782720830000002</v>
      </c>
      <c r="G259" s="1">
        <f>'Unformatted Trip Summary'!G257</f>
        <v>8.2095150522000004</v>
      </c>
      <c r="H259" s="1">
        <f>'Unformatted Trip Summary'!H257</f>
        <v>0.86409261400000004</v>
      </c>
    </row>
    <row r="260" spans="1:8" x14ac:dyDescent="0.2">
      <c r="A260" t="str">
        <f>'Unformatted Trip Summary'!A258</f>
        <v>04 BAY OF PLENTY</v>
      </c>
      <c r="B260" t="str">
        <f>'Unformatted Trip Summary'!J258</f>
        <v>2032/33</v>
      </c>
      <c r="C260" t="str">
        <f>'Unformatted Trip Summary'!I258</f>
        <v>Cyclist</v>
      </c>
      <c r="D260">
        <f>'Unformatted Trip Summary'!D258</f>
        <v>53</v>
      </c>
      <c r="E260">
        <f>'Unformatted Trip Summary'!E258</f>
        <v>183</v>
      </c>
      <c r="F260" s="1">
        <f>'Unformatted Trip Summary'!F258</f>
        <v>4.9989148572</v>
      </c>
      <c r="G260" s="1">
        <f>'Unformatted Trip Summary'!G258</f>
        <v>8.1483671742000006</v>
      </c>
      <c r="H260" s="1">
        <f>'Unformatted Trip Summary'!H258</f>
        <v>0.85656932129999996</v>
      </c>
    </row>
    <row r="261" spans="1:8" x14ac:dyDescent="0.2">
      <c r="A261" t="str">
        <f>'Unformatted Trip Summary'!A259</f>
        <v>04 BAY OF PLENTY</v>
      </c>
      <c r="B261" t="str">
        <f>'Unformatted Trip Summary'!J259</f>
        <v>2037/38</v>
      </c>
      <c r="C261" t="str">
        <f>'Unformatted Trip Summary'!I259</f>
        <v>Cyclist</v>
      </c>
      <c r="D261">
        <f>'Unformatted Trip Summary'!D259</f>
        <v>53</v>
      </c>
      <c r="E261">
        <f>'Unformatted Trip Summary'!E259</f>
        <v>183</v>
      </c>
      <c r="F261" s="1">
        <f>'Unformatted Trip Summary'!F259</f>
        <v>4.9790502586000001</v>
      </c>
      <c r="G261" s="1">
        <f>'Unformatted Trip Summary'!G259</f>
        <v>8.1552031444999997</v>
      </c>
      <c r="H261" s="1">
        <f>'Unformatted Trip Summary'!H259</f>
        <v>0.84786423399999999</v>
      </c>
    </row>
    <row r="262" spans="1:8" x14ac:dyDescent="0.2">
      <c r="A262" t="str">
        <f>'Unformatted Trip Summary'!A260</f>
        <v>04 BAY OF PLENTY</v>
      </c>
      <c r="B262" t="str">
        <f>'Unformatted Trip Summary'!J260</f>
        <v>2042/43</v>
      </c>
      <c r="C262" t="str">
        <f>'Unformatted Trip Summary'!I260</f>
        <v>Cyclist</v>
      </c>
      <c r="D262">
        <f>'Unformatted Trip Summary'!D260</f>
        <v>53</v>
      </c>
      <c r="E262">
        <f>'Unformatted Trip Summary'!E260</f>
        <v>183</v>
      </c>
      <c r="F262" s="1">
        <f>'Unformatted Trip Summary'!F260</f>
        <v>4.9420739463999999</v>
      </c>
      <c r="G262" s="1">
        <f>'Unformatted Trip Summary'!G260</f>
        <v>8.1458586698000008</v>
      </c>
      <c r="H262" s="1">
        <f>'Unformatted Trip Summary'!H260</f>
        <v>0.83733579680000003</v>
      </c>
    </row>
    <row r="263" spans="1:8" x14ac:dyDescent="0.2">
      <c r="A263" t="str">
        <f>'Unformatted Trip Summary'!A261</f>
        <v>04 BAY OF PLENTY</v>
      </c>
      <c r="B263" t="str">
        <f>'Unformatted Trip Summary'!J261</f>
        <v>2012/13</v>
      </c>
      <c r="C263" t="str">
        <f>'Unformatted Trip Summary'!I261</f>
        <v>Light Vehicle Driver</v>
      </c>
      <c r="D263">
        <f>'Unformatted Trip Summary'!D261</f>
        <v>777</v>
      </c>
      <c r="E263">
        <f>'Unformatted Trip Summary'!E261</f>
        <v>5260</v>
      </c>
      <c r="F263" s="1">
        <f>'Unformatted Trip Summary'!F261</f>
        <v>178.59124365</v>
      </c>
      <c r="G263" s="1">
        <f>'Unformatted Trip Summary'!G261</f>
        <v>1972.0747595</v>
      </c>
      <c r="H263" s="1">
        <f>'Unformatted Trip Summary'!H261</f>
        <v>45.59682093</v>
      </c>
    </row>
    <row r="264" spans="1:8" x14ac:dyDescent="0.2">
      <c r="A264" t="str">
        <f>'Unformatted Trip Summary'!A262</f>
        <v>04 BAY OF PLENTY</v>
      </c>
      <c r="B264" t="str">
        <f>'Unformatted Trip Summary'!J262</f>
        <v>2017/18</v>
      </c>
      <c r="C264" t="str">
        <f>'Unformatted Trip Summary'!I262</f>
        <v>Light Vehicle Driver</v>
      </c>
      <c r="D264">
        <f>'Unformatted Trip Summary'!D262</f>
        <v>777</v>
      </c>
      <c r="E264">
        <f>'Unformatted Trip Summary'!E262</f>
        <v>5260</v>
      </c>
      <c r="F264" s="1">
        <f>'Unformatted Trip Summary'!F262</f>
        <v>183.41807656</v>
      </c>
      <c r="G264" s="1">
        <f>'Unformatted Trip Summary'!G262</f>
        <v>2056.0025636999999</v>
      </c>
      <c r="H264" s="1">
        <f>'Unformatted Trip Summary'!H262</f>
        <v>47.237207701000003</v>
      </c>
    </row>
    <row r="265" spans="1:8" x14ac:dyDescent="0.2">
      <c r="A265" t="str">
        <f>'Unformatted Trip Summary'!A263</f>
        <v>04 BAY OF PLENTY</v>
      </c>
      <c r="B265" t="str">
        <f>'Unformatted Trip Summary'!J263</f>
        <v>2022/23</v>
      </c>
      <c r="C265" t="str">
        <f>'Unformatted Trip Summary'!I263</f>
        <v>Light Vehicle Driver</v>
      </c>
      <c r="D265">
        <f>'Unformatted Trip Summary'!D263</f>
        <v>777</v>
      </c>
      <c r="E265">
        <f>'Unformatted Trip Summary'!E263</f>
        <v>5260</v>
      </c>
      <c r="F265" s="1">
        <f>'Unformatted Trip Summary'!F263</f>
        <v>189.97582352000001</v>
      </c>
      <c r="G265" s="1">
        <f>'Unformatted Trip Summary'!G263</f>
        <v>2154.2082433</v>
      </c>
      <c r="H265" s="1">
        <f>'Unformatted Trip Summary'!H263</f>
        <v>49.263257840999998</v>
      </c>
    </row>
    <row r="266" spans="1:8" x14ac:dyDescent="0.2">
      <c r="A266" t="str">
        <f>'Unformatted Trip Summary'!A264</f>
        <v>04 BAY OF PLENTY</v>
      </c>
      <c r="B266" t="str">
        <f>'Unformatted Trip Summary'!J264</f>
        <v>2027/28</v>
      </c>
      <c r="C266" t="str">
        <f>'Unformatted Trip Summary'!I264</f>
        <v>Light Vehicle Driver</v>
      </c>
      <c r="D266">
        <f>'Unformatted Trip Summary'!D264</f>
        <v>777</v>
      </c>
      <c r="E266">
        <f>'Unformatted Trip Summary'!E264</f>
        <v>5260</v>
      </c>
      <c r="F266" s="1">
        <f>'Unformatted Trip Summary'!F264</f>
        <v>199.51884321</v>
      </c>
      <c r="G266" s="1">
        <f>'Unformatted Trip Summary'!G264</f>
        <v>2285.9314626999999</v>
      </c>
      <c r="H266" s="1">
        <f>'Unformatted Trip Summary'!H264</f>
        <v>52.094210295000003</v>
      </c>
    </row>
    <row r="267" spans="1:8" x14ac:dyDescent="0.2">
      <c r="A267" t="str">
        <f>'Unformatted Trip Summary'!A265</f>
        <v>04 BAY OF PLENTY</v>
      </c>
      <c r="B267" t="str">
        <f>'Unformatted Trip Summary'!J265</f>
        <v>2032/33</v>
      </c>
      <c r="C267" t="str">
        <f>'Unformatted Trip Summary'!I265</f>
        <v>Light Vehicle Driver</v>
      </c>
      <c r="D267">
        <f>'Unformatted Trip Summary'!D265</f>
        <v>777</v>
      </c>
      <c r="E267">
        <f>'Unformatted Trip Summary'!E265</f>
        <v>5260</v>
      </c>
      <c r="F267" s="1">
        <f>'Unformatted Trip Summary'!F265</f>
        <v>205.87266271999999</v>
      </c>
      <c r="G267" s="1">
        <f>'Unformatted Trip Summary'!G265</f>
        <v>2374.3156632</v>
      </c>
      <c r="H267" s="1">
        <f>'Unformatted Trip Summary'!H265</f>
        <v>54.006944941</v>
      </c>
    </row>
    <row r="268" spans="1:8" x14ac:dyDescent="0.2">
      <c r="A268" t="str">
        <f>'Unformatted Trip Summary'!A266</f>
        <v>04 BAY OF PLENTY</v>
      </c>
      <c r="B268" t="str">
        <f>'Unformatted Trip Summary'!J266</f>
        <v>2037/38</v>
      </c>
      <c r="C268" t="str">
        <f>'Unformatted Trip Summary'!I266</f>
        <v>Light Vehicle Driver</v>
      </c>
      <c r="D268">
        <f>'Unformatted Trip Summary'!D266</f>
        <v>777</v>
      </c>
      <c r="E268">
        <f>'Unformatted Trip Summary'!E266</f>
        <v>5260</v>
      </c>
      <c r="F268" s="1">
        <f>'Unformatted Trip Summary'!F266</f>
        <v>208.25289835999999</v>
      </c>
      <c r="G268" s="1">
        <f>'Unformatted Trip Summary'!G266</f>
        <v>2410.4551999999999</v>
      </c>
      <c r="H268" s="1">
        <f>'Unformatted Trip Summary'!H266</f>
        <v>54.844608465999997</v>
      </c>
    </row>
    <row r="269" spans="1:8" x14ac:dyDescent="0.2">
      <c r="A269" t="str">
        <f>'Unformatted Trip Summary'!A267</f>
        <v>04 BAY OF PLENTY</v>
      </c>
      <c r="B269" t="str">
        <f>'Unformatted Trip Summary'!J267</f>
        <v>2042/43</v>
      </c>
      <c r="C269" t="str">
        <f>'Unformatted Trip Summary'!I267</f>
        <v>Light Vehicle Driver</v>
      </c>
      <c r="D269">
        <f>'Unformatted Trip Summary'!D267</f>
        <v>777</v>
      </c>
      <c r="E269">
        <f>'Unformatted Trip Summary'!E267</f>
        <v>5260</v>
      </c>
      <c r="F269" s="1">
        <f>'Unformatted Trip Summary'!F267</f>
        <v>209.72284010999999</v>
      </c>
      <c r="G269" s="1">
        <f>'Unformatted Trip Summary'!G267</f>
        <v>2435.6388357999999</v>
      </c>
      <c r="H269" s="1">
        <f>'Unformatted Trip Summary'!H267</f>
        <v>55.457790736</v>
      </c>
    </row>
    <row r="270" spans="1:8" x14ac:dyDescent="0.2">
      <c r="A270" t="str">
        <f>'Unformatted Trip Summary'!A268</f>
        <v>04 BAY OF PLENTY</v>
      </c>
      <c r="B270" t="str">
        <f>'Unformatted Trip Summary'!J268</f>
        <v>2012/13</v>
      </c>
      <c r="C270" t="str">
        <f>'Unformatted Trip Summary'!I268</f>
        <v>Light Vehicle Passenger</v>
      </c>
      <c r="D270">
        <f>'Unformatted Trip Summary'!D268</f>
        <v>591</v>
      </c>
      <c r="E270">
        <f>'Unformatted Trip Summary'!E268</f>
        <v>2668</v>
      </c>
      <c r="F270" s="1">
        <f>'Unformatted Trip Summary'!F268</f>
        <v>98.719582360000004</v>
      </c>
      <c r="G270" s="1">
        <f>'Unformatted Trip Summary'!G268</f>
        <v>1385.2330090999999</v>
      </c>
      <c r="H270" s="1">
        <f>'Unformatted Trip Summary'!H268</f>
        <v>28.895615969000001</v>
      </c>
    </row>
    <row r="271" spans="1:8" x14ac:dyDescent="0.2">
      <c r="A271" t="str">
        <f>'Unformatted Trip Summary'!A269</f>
        <v>04 BAY OF PLENTY</v>
      </c>
      <c r="B271" t="str">
        <f>'Unformatted Trip Summary'!J269</f>
        <v>2017/18</v>
      </c>
      <c r="C271" t="str">
        <f>'Unformatted Trip Summary'!I269</f>
        <v>Light Vehicle Passenger</v>
      </c>
      <c r="D271">
        <f>'Unformatted Trip Summary'!D269</f>
        <v>591</v>
      </c>
      <c r="E271">
        <f>'Unformatted Trip Summary'!E269</f>
        <v>2668</v>
      </c>
      <c r="F271" s="1">
        <f>'Unformatted Trip Summary'!F269</f>
        <v>97.677089113999997</v>
      </c>
      <c r="G271" s="1">
        <f>'Unformatted Trip Summary'!G269</f>
        <v>1446.0898532000001</v>
      </c>
      <c r="H271" s="1">
        <f>'Unformatted Trip Summary'!H269</f>
        <v>29.624864923000001</v>
      </c>
    </row>
    <row r="272" spans="1:8" x14ac:dyDescent="0.2">
      <c r="A272" t="str">
        <f>'Unformatted Trip Summary'!A270</f>
        <v>04 BAY OF PLENTY</v>
      </c>
      <c r="B272" t="str">
        <f>'Unformatted Trip Summary'!J270</f>
        <v>2022/23</v>
      </c>
      <c r="C272" t="str">
        <f>'Unformatted Trip Summary'!I270</f>
        <v>Light Vehicle Passenger</v>
      </c>
      <c r="D272">
        <f>'Unformatted Trip Summary'!D270</f>
        <v>591</v>
      </c>
      <c r="E272">
        <f>'Unformatted Trip Summary'!E270</f>
        <v>2668</v>
      </c>
      <c r="F272" s="1">
        <f>'Unformatted Trip Summary'!F270</f>
        <v>97.260813882999997</v>
      </c>
      <c r="G272" s="1">
        <f>'Unformatted Trip Summary'!G270</f>
        <v>1498.4200486</v>
      </c>
      <c r="H272" s="1">
        <f>'Unformatted Trip Summary'!H270</f>
        <v>30.356712344999998</v>
      </c>
    </row>
    <row r="273" spans="1:8" x14ac:dyDescent="0.2">
      <c r="A273" t="str">
        <f>'Unformatted Trip Summary'!A271</f>
        <v>04 BAY OF PLENTY</v>
      </c>
      <c r="B273" t="str">
        <f>'Unformatted Trip Summary'!J271</f>
        <v>2027/28</v>
      </c>
      <c r="C273" t="str">
        <f>'Unformatted Trip Summary'!I271</f>
        <v>Light Vehicle Passenger</v>
      </c>
      <c r="D273">
        <f>'Unformatted Trip Summary'!D271</f>
        <v>591</v>
      </c>
      <c r="E273">
        <f>'Unformatted Trip Summary'!E271</f>
        <v>2668</v>
      </c>
      <c r="F273" s="1">
        <f>'Unformatted Trip Summary'!F271</f>
        <v>98.100619762999997</v>
      </c>
      <c r="G273" s="1">
        <f>'Unformatted Trip Summary'!G271</f>
        <v>1554.5235935999999</v>
      </c>
      <c r="H273" s="1">
        <f>'Unformatted Trip Summary'!H271</f>
        <v>31.248359484000002</v>
      </c>
    </row>
    <row r="274" spans="1:8" x14ac:dyDescent="0.2">
      <c r="A274" t="str">
        <f>'Unformatted Trip Summary'!A272</f>
        <v>04 BAY OF PLENTY</v>
      </c>
      <c r="B274" t="str">
        <f>'Unformatted Trip Summary'!J272</f>
        <v>2032/33</v>
      </c>
      <c r="C274" t="str">
        <f>'Unformatted Trip Summary'!I272</f>
        <v>Light Vehicle Passenger</v>
      </c>
      <c r="D274">
        <f>'Unformatted Trip Summary'!D272</f>
        <v>591</v>
      </c>
      <c r="E274">
        <f>'Unformatted Trip Summary'!E272</f>
        <v>2668</v>
      </c>
      <c r="F274" s="1">
        <f>'Unformatted Trip Summary'!F272</f>
        <v>98.181350034999994</v>
      </c>
      <c r="G274" s="1">
        <f>'Unformatted Trip Summary'!G272</f>
        <v>1579.7949521999999</v>
      </c>
      <c r="H274" s="1">
        <f>'Unformatted Trip Summary'!H272</f>
        <v>31.609344279999998</v>
      </c>
    </row>
    <row r="275" spans="1:8" x14ac:dyDescent="0.2">
      <c r="A275" t="str">
        <f>'Unformatted Trip Summary'!A273</f>
        <v>04 BAY OF PLENTY</v>
      </c>
      <c r="B275" t="str">
        <f>'Unformatted Trip Summary'!J273</f>
        <v>2037/38</v>
      </c>
      <c r="C275" t="str">
        <f>'Unformatted Trip Summary'!I273</f>
        <v>Light Vehicle Passenger</v>
      </c>
      <c r="D275">
        <f>'Unformatted Trip Summary'!D273</f>
        <v>591</v>
      </c>
      <c r="E275">
        <f>'Unformatted Trip Summary'!E273</f>
        <v>2668</v>
      </c>
      <c r="F275" s="1">
        <f>'Unformatted Trip Summary'!F273</f>
        <v>97.591675924</v>
      </c>
      <c r="G275" s="1">
        <f>'Unformatted Trip Summary'!G273</f>
        <v>1590.506359</v>
      </c>
      <c r="H275" s="1">
        <f>'Unformatted Trip Summary'!H273</f>
        <v>31.709783174999998</v>
      </c>
    </row>
    <row r="276" spans="1:8" x14ac:dyDescent="0.2">
      <c r="A276" t="str">
        <f>'Unformatted Trip Summary'!A274</f>
        <v>04 BAY OF PLENTY</v>
      </c>
      <c r="B276" t="str">
        <f>'Unformatted Trip Summary'!J274</f>
        <v>2042/43</v>
      </c>
      <c r="C276" t="str">
        <f>'Unformatted Trip Summary'!I274</f>
        <v>Light Vehicle Passenger</v>
      </c>
      <c r="D276">
        <f>'Unformatted Trip Summary'!D274</f>
        <v>591</v>
      </c>
      <c r="E276">
        <f>'Unformatted Trip Summary'!E274</f>
        <v>2668</v>
      </c>
      <c r="F276" s="1">
        <f>'Unformatted Trip Summary'!F274</f>
        <v>96.694828552000004</v>
      </c>
      <c r="G276" s="1">
        <f>'Unformatted Trip Summary'!G274</f>
        <v>1595.193364</v>
      </c>
      <c r="H276" s="1">
        <f>'Unformatted Trip Summary'!H274</f>
        <v>31.698775372</v>
      </c>
    </row>
    <row r="277" spans="1:8" x14ac:dyDescent="0.2">
      <c r="A277" t="str">
        <f>'Unformatted Trip Summary'!A275</f>
        <v>04 BAY OF PLENTY</v>
      </c>
      <c r="B277" t="str">
        <f>'Unformatted Trip Summary'!J275</f>
        <v>2012/13</v>
      </c>
      <c r="C277" t="str">
        <f>'Unformatted Trip Summary'!I275</f>
        <v>Taxi/Vehicle Share</v>
      </c>
      <c r="D277">
        <f>'Unformatted Trip Summary'!D275</f>
        <v>4</v>
      </c>
      <c r="E277">
        <f>'Unformatted Trip Summary'!E275</f>
        <v>8</v>
      </c>
      <c r="F277" s="1">
        <f>'Unformatted Trip Summary'!F275</f>
        <v>0.15552198610000001</v>
      </c>
      <c r="G277" s="1">
        <f>'Unformatted Trip Summary'!G275</f>
        <v>0.98369936449999995</v>
      </c>
      <c r="H277" s="1">
        <f>'Unformatted Trip Summary'!H275</f>
        <v>7.3048454499999999E-2</v>
      </c>
    </row>
    <row r="278" spans="1:8" x14ac:dyDescent="0.2">
      <c r="A278" t="str">
        <f>'Unformatted Trip Summary'!A276</f>
        <v>04 BAY OF PLENTY</v>
      </c>
      <c r="B278" t="str">
        <f>'Unformatted Trip Summary'!J276</f>
        <v>2017/18</v>
      </c>
      <c r="C278" t="str">
        <f>'Unformatted Trip Summary'!I276</f>
        <v>Taxi/Vehicle Share</v>
      </c>
      <c r="D278">
        <f>'Unformatted Trip Summary'!D276</f>
        <v>4</v>
      </c>
      <c r="E278">
        <f>'Unformatted Trip Summary'!E276</f>
        <v>8</v>
      </c>
      <c r="F278" s="1">
        <f>'Unformatted Trip Summary'!F276</f>
        <v>0.14137100180000001</v>
      </c>
      <c r="G278" s="1">
        <f>'Unformatted Trip Summary'!G276</f>
        <v>0.89351436979999999</v>
      </c>
      <c r="H278" s="1">
        <f>'Unformatted Trip Summary'!H276</f>
        <v>6.6438523900000004E-2</v>
      </c>
    </row>
    <row r="279" spans="1:8" x14ac:dyDescent="0.2">
      <c r="A279" t="str">
        <f>'Unformatted Trip Summary'!A277</f>
        <v>04 BAY OF PLENTY</v>
      </c>
      <c r="B279" t="str">
        <f>'Unformatted Trip Summary'!J277</f>
        <v>2022/23</v>
      </c>
      <c r="C279" t="str">
        <f>'Unformatted Trip Summary'!I277</f>
        <v>Taxi/Vehicle Share</v>
      </c>
      <c r="D279">
        <f>'Unformatted Trip Summary'!D277</f>
        <v>4</v>
      </c>
      <c r="E279">
        <f>'Unformatted Trip Summary'!E277</f>
        <v>8</v>
      </c>
      <c r="F279" s="1">
        <f>'Unformatted Trip Summary'!F277</f>
        <v>0.13093516099999999</v>
      </c>
      <c r="G279" s="1">
        <f>'Unformatted Trip Summary'!G277</f>
        <v>0.85966123189999999</v>
      </c>
      <c r="H279" s="1">
        <f>'Unformatted Trip Summary'!H277</f>
        <v>6.3879517100000005E-2</v>
      </c>
    </row>
    <row r="280" spans="1:8" x14ac:dyDescent="0.2">
      <c r="A280" t="str">
        <f>'Unformatted Trip Summary'!A278</f>
        <v>04 BAY OF PLENTY</v>
      </c>
      <c r="B280" t="str">
        <f>'Unformatted Trip Summary'!J278</f>
        <v>2027/28</v>
      </c>
      <c r="C280" t="str">
        <f>'Unformatted Trip Summary'!I278</f>
        <v>Taxi/Vehicle Share</v>
      </c>
      <c r="D280">
        <f>'Unformatted Trip Summary'!D278</f>
        <v>4</v>
      </c>
      <c r="E280">
        <f>'Unformatted Trip Summary'!E278</f>
        <v>8</v>
      </c>
      <c r="F280" s="1">
        <f>'Unformatted Trip Summary'!F278</f>
        <v>0.12536028390000001</v>
      </c>
      <c r="G280" s="1">
        <f>'Unformatted Trip Summary'!G278</f>
        <v>0.8724248711</v>
      </c>
      <c r="H280" s="1">
        <f>'Unformatted Trip Summary'!H278</f>
        <v>6.4537960300000002E-2</v>
      </c>
    </row>
    <row r="281" spans="1:8" x14ac:dyDescent="0.2">
      <c r="A281" t="str">
        <f>'Unformatted Trip Summary'!A279</f>
        <v>04 BAY OF PLENTY</v>
      </c>
      <c r="B281" t="str">
        <f>'Unformatted Trip Summary'!J279</f>
        <v>2032/33</v>
      </c>
      <c r="C281" t="str">
        <f>'Unformatted Trip Summary'!I279</f>
        <v>Taxi/Vehicle Share</v>
      </c>
      <c r="D281">
        <f>'Unformatted Trip Summary'!D279</f>
        <v>4</v>
      </c>
      <c r="E281">
        <f>'Unformatted Trip Summary'!E279</f>
        <v>8</v>
      </c>
      <c r="F281" s="1">
        <f>'Unformatted Trip Summary'!F279</f>
        <v>0.1199400987</v>
      </c>
      <c r="G281" s="1">
        <f>'Unformatted Trip Summary'!G279</f>
        <v>0.84285550490000005</v>
      </c>
      <c r="H281" s="1">
        <f>'Unformatted Trip Summary'!H279</f>
        <v>6.1972370300000003E-2</v>
      </c>
    </row>
    <row r="282" spans="1:8" x14ac:dyDescent="0.2">
      <c r="A282" t="str">
        <f>'Unformatted Trip Summary'!A280</f>
        <v>04 BAY OF PLENTY</v>
      </c>
      <c r="B282" t="str">
        <f>'Unformatted Trip Summary'!J280</f>
        <v>2037/38</v>
      </c>
      <c r="C282" t="str">
        <f>'Unformatted Trip Summary'!I280</f>
        <v>Taxi/Vehicle Share</v>
      </c>
      <c r="D282">
        <f>'Unformatted Trip Summary'!D280</f>
        <v>4</v>
      </c>
      <c r="E282">
        <f>'Unformatted Trip Summary'!E280</f>
        <v>8</v>
      </c>
      <c r="F282" s="1">
        <f>'Unformatted Trip Summary'!F280</f>
        <v>0.1161409333</v>
      </c>
      <c r="G282" s="1">
        <f>'Unformatted Trip Summary'!G280</f>
        <v>0.8182133506</v>
      </c>
      <c r="H282" s="1">
        <f>'Unformatted Trip Summary'!H280</f>
        <v>6.0184243200000001E-2</v>
      </c>
    </row>
    <row r="283" spans="1:8" x14ac:dyDescent="0.2">
      <c r="A283" t="str">
        <f>'Unformatted Trip Summary'!A281</f>
        <v>04 BAY OF PLENTY</v>
      </c>
      <c r="B283" t="str">
        <f>'Unformatted Trip Summary'!J281</f>
        <v>2042/43</v>
      </c>
      <c r="C283" t="str">
        <f>'Unformatted Trip Summary'!I281</f>
        <v>Taxi/Vehicle Share</v>
      </c>
      <c r="D283">
        <f>'Unformatted Trip Summary'!D281</f>
        <v>4</v>
      </c>
      <c r="E283">
        <f>'Unformatted Trip Summary'!E281</f>
        <v>8</v>
      </c>
      <c r="F283" s="1">
        <f>'Unformatted Trip Summary'!F281</f>
        <v>0.1114040967</v>
      </c>
      <c r="G283" s="1">
        <f>'Unformatted Trip Summary'!G281</f>
        <v>0.78926405300000002</v>
      </c>
      <c r="H283" s="1">
        <f>'Unformatted Trip Summary'!H281</f>
        <v>5.8150837499999997E-2</v>
      </c>
    </row>
    <row r="284" spans="1:8" x14ac:dyDescent="0.2">
      <c r="A284" t="str">
        <f>'Unformatted Trip Summary'!A282</f>
        <v>04 BAY OF PLENTY</v>
      </c>
      <c r="B284" t="str">
        <f>'Unformatted Trip Summary'!J282</f>
        <v>2012/13</v>
      </c>
      <c r="C284" t="str">
        <f>'Unformatted Trip Summary'!I282</f>
        <v>Motorcyclist</v>
      </c>
      <c r="D284">
        <f>'Unformatted Trip Summary'!D282</f>
        <v>10</v>
      </c>
      <c r="E284">
        <f>'Unformatted Trip Summary'!E282</f>
        <v>40</v>
      </c>
      <c r="F284" s="1">
        <f>'Unformatted Trip Summary'!F282</f>
        <v>0.90641599910000004</v>
      </c>
      <c r="G284" s="1">
        <f>'Unformatted Trip Summary'!G282</f>
        <v>35.608960758999999</v>
      </c>
      <c r="H284" s="1">
        <f>'Unformatted Trip Summary'!H282</f>
        <v>0.60409197079999999</v>
      </c>
    </row>
    <row r="285" spans="1:8" x14ac:dyDescent="0.2">
      <c r="A285" t="str">
        <f>'Unformatted Trip Summary'!A283</f>
        <v>04 BAY OF PLENTY</v>
      </c>
      <c r="B285" t="str">
        <f>'Unformatted Trip Summary'!J283</f>
        <v>2017/18</v>
      </c>
      <c r="C285" t="str">
        <f>'Unformatted Trip Summary'!I283</f>
        <v>Motorcyclist</v>
      </c>
      <c r="D285">
        <f>'Unformatted Trip Summary'!D283</f>
        <v>10</v>
      </c>
      <c r="E285">
        <f>'Unformatted Trip Summary'!E283</f>
        <v>40</v>
      </c>
      <c r="F285" s="1">
        <f>'Unformatted Trip Summary'!F283</f>
        <v>0.95704096250000004</v>
      </c>
      <c r="G285" s="1">
        <f>'Unformatted Trip Summary'!G283</f>
        <v>38.225260372000001</v>
      </c>
      <c r="H285" s="1">
        <f>'Unformatted Trip Summary'!H283</f>
        <v>0.64585139979999995</v>
      </c>
    </row>
    <row r="286" spans="1:8" x14ac:dyDescent="0.2">
      <c r="A286" t="str">
        <f>'Unformatted Trip Summary'!A284</f>
        <v>04 BAY OF PLENTY</v>
      </c>
      <c r="B286" t="str">
        <f>'Unformatted Trip Summary'!J284</f>
        <v>2022/23</v>
      </c>
      <c r="C286" t="str">
        <f>'Unformatted Trip Summary'!I284</f>
        <v>Motorcyclist</v>
      </c>
      <c r="D286">
        <f>'Unformatted Trip Summary'!D284</f>
        <v>10</v>
      </c>
      <c r="E286">
        <f>'Unformatted Trip Summary'!E284</f>
        <v>40</v>
      </c>
      <c r="F286" s="1">
        <f>'Unformatted Trip Summary'!F284</f>
        <v>0.98681349119999995</v>
      </c>
      <c r="G286" s="1">
        <f>'Unformatted Trip Summary'!G284</f>
        <v>39.383273011999997</v>
      </c>
      <c r="H286" s="1">
        <f>'Unformatted Trip Summary'!H284</f>
        <v>0.66414298589999998</v>
      </c>
    </row>
    <row r="287" spans="1:8" x14ac:dyDescent="0.2">
      <c r="A287" t="str">
        <f>'Unformatted Trip Summary'!A285</f>
        <v>04 BAY OF PLENTY</v>
      </c>
      <c r="B287" t="str">
        <f>'Unformatted Trip Summary'!J285</f>
        <v>2027/28</v>
      </c>
      <c r="C287" t="str">
        <f>'Unformatted Trip Summary'!I285</f>
        <v>Motorcyclist</v>
      </c>
      <c r="D287">
        <f>'Unformatted Trip Summary'!D285</f>
        <v>10</v>
      </c>
      <c r="E287">
        <f>'Unformatted Trip Summary'!E285</f>
        <v>40</v>
      </c>
      <c r="F287" s="1">
        <f>'Unformatted Trip Summary'!F285</f>
        <v>1.0218663844</v>
      </c>
      <c r="G287" s="1">
        <f>'Unformatted Trip Summary'!G285</f>
        <v>40.676002734000001</v>
      </c>
      <c r="H287" s="1">
        <f>'Unformatted Trip Summary'!H285</f>
        <v>0.68447772120000006</v>
      </c>
    </row>
    <row r="288" spans="1:8" x14ac:dyDescent="0.2">
      <c r="A288" t="str">
        <f>'Unformatted Trip Summary'!A286</f>
        <v>04 BAY OF PLENTY</v>
      </c>
      <c r="B288" t="str">
        <f>'Unformatted Trip Summary'!J286</f>
        <v>2032/33</v>
      </c>
      <c r="C288" t="str">
        <f>'Unformatted Trip Summary'!I286</f>
        <v>Motorcyclist</v>
      </c>
      <c r="D288">
        <f>'Unformatted Trip Summary'!D286</f>
        <v>10</v>
      </c>
      <c r="E288">
        <f>'Unformatted Trip Summary'!E286</f>
        <v>40</v>
      </c>
      <c r="F288" s="1">
        <f>'Unformatted Trip Summary'!F286</f>
        <v>1.0248171406</v>
      </c>
      <c r="G288" s="1">
        <f>'Unformatted Trip Summary'!G286</f>
        <v>40.772050935999999</v>
      </c>
      <c r="H288" s="1">
        <f>'Unformatted Trip Summary'!H286</f>
        <v>0.68622905059999995</v>
      </c>
    </row>
    <row r="289" spans="1:8" x14ac:dyDescent="0.2">
      <c r="A289" t="str">
        <f>'Unformatted Trip Summary'!A287</f>
        <v>04 BAY OF PLENTY</v>
      </c>
      <c r="B289" t="str">
        <f>'Unformatted Trip Summary'!J287</f>
        <v>2037/38</v>
      </c>
      <c r="C289" t="str">
        <f>'Unformatted Trip Summary'!I287</f>
        <v>Motorcyclist</v>
      </c>
      <c r="D289">
        <f>'Unformatted Trip Summary'!D287</f>
        <v>10</v>
      </c>
      <c r="E289">
        <f>'Unformatted Trip Summary'!E287</f>
        <v>40</v>
      </c>
      <c r="F289" s="1">
        <f>'Unformatted Trip Summary'!F287</f>
        <v>1.0034397989999999</v>
      </c>
      <c r="G289" s="1">
        <f>'Unformatted Trip Summary'!G287</f>
        <v>40.133745939000001</v>
      </c>
      <c r="H289" s="1">
        <f>'Unformatted Trip Summary'!H287</f>
        <v>0.67630531670000005</v>
      </c>
    </row>
    <row r="290" spans="1:8" x14ac:dyDescent="0.2">
      <c r="A290" t="str">
        <f>'Unformatted Trip Summary'!A288</f>
        <v>04 BAY OF PLENTY</v>
      </c>
      <c r="B290" t="str">
        <f>'Unformatted Trip Summary'!J288</f>
        <v>2042/43</v>
      </c>
      <c r="C290" t="str">
        <f>'Unformatted Trip Summary'!I288</f>
        <v>Motorcyclist</v>
      </c>
      <c r="D290">
        <f>'Unformatted Trip Summary'!D288</f>
        <v>10</v>
      </c>
      <c r="E290">
        <f>'Unformatted Trip Summary'!E288</f>
        <v>40</v>
      </c>
      <c r="F290" s="1">
        <f>'Unformatted Trip Summary'!F288</f>
        <v>0.97501016439999999</v>
      </c>
      <c r="G290" s="1">
        <f>'Unformatted Trip Summary'!G288</f>
        <v>39.234323132999997</v>
      </c>
      <c r="H290" s="1">
        <f>'Unformatted Trip Summary'!H288</f>
        <v>0.66196281099999998</v>
      </c>
    </row>
    <row r="291" spans="1:8" x14ac:dyDescent="0.2">
      <c r="A291" t="str">
        <f>'Unformatted Trip Summary'!A289</f>
        <v>04 BAY OF PLENTY</v>
      </c>
      <c r="B291" t="str">
        <f>'Unformatted Trip Summary'!J289</f>
        <v>2012/13</v>
      </c>
      <c r="C291" t="str">
        <f>'Unformatted Trip Summary'!I289</f>
        <v>Local Bus</v>
      </c>
      <c r="D291">
        <f>'Unformatted Trip Summary'!D289</f>
        <v>73</v>
      </c>
      <c r="E291">
        <f>'Unformatted Trip Summary'!E289</f>
        <v>194</v>
      </c>
      <c r="F291" s="1">
        <f>'Unformatted Trip Summary'!F289</f>
        <v>7.4672006229000001</v>
      </c>
      <c r="G291" s="1">
        <f>'Unformatted Trip Summary'!G289</f>
        <v>52.669440211999998</v>
      </c>
      <c r="H291" s="1">
        <f>'Unformatted Trip Summary'!H289</f>
        <v>2.9412276716000001</v>
      </c>
    </row>
    <row r="292" spans="1:8" x14ac:dyDescent="0.2">
      <c r="A292" t="str">
        <f>'Unformatted Trip Summary'!A290</f>
        <v>04 BAY OF PLENTY</v>
      </c>
      <c r="B292" t="str">
        <f>'Unformatted Trip Summary'!J290</f>
        <v>2017/18</v>
      </c>
      <c r="C292" t="str">
        <f>'Unformatted Trip Summary'!I290</f>
        <v>Local Bus</v>
      </c>
      <c r="D292">
        <f>'Unformatted Trip Summary'!D290</f>
        <v>73</v>
      </c>
      <c r="E292">
        <f>'Unformatted Trip Summary'!E290</f>
        <v>194</v>
      </c>
      <c r="F292" s="1">
        <f>'Unformatted Trip Summary'!F290</f>
        <v>7.2202824368999998</v>
      </c>
      <c r="G292" s="1">
        <f>'Unformatted Trip Summary'!G290</f>
        <v>49.998238008999998</v>
      </c>
      <c r="H292" s="1">
        <f>'Unformatted Trip Summary'!H290</f>
        <v>2.8010159497</v>
      </c>
    </row>
    <row r="293" spans="1:8" x14ac:dyDescent="0.2">
      <c r="A293" t="str">
        <f>'Unformatted Trip Summary'!A291</f>
        <v>04 BAY OF PLENTY</v>
      </c>
      <c r="B293" t="str">
        <f>'Unformatted Trip Summary'!J291</f>
        <v>2022/23</v>
      </c>
      <c r="C293" t="str">
        <f>'Unformatted Trip Summary'!I291</f>
        <v>Local Bus</v>
      </c>
      <c r="D293">
        <f>'Unformatted Trip Summary'!D291</f>
        <v>73</v>
      </c>
      <c r="E293">
        <f>'Unformatted Trip Summary'!E291</f>
        <v>194</v>
      </c>
      <c r="F293" s="1">
        <f>'Unformatted Trip Summary'!F291</f>
        <v>7.0483778690000003</v>
      </c>
      <c r="G293" s="1">
        <f>'Unformatted Trip Summary'!G291</f>
        <v>48.204225807999997</v>
      </c>
      <c r="H293" s="1">
        <f>'Unformatted Trip Summary'!H291</f>
        <v>2.7055517973000001</v>
      </c>
    </row>
    <row r="294" spans="1:8" x14ac:dyDescent="0.2">
      <c r="A294" t="str">
        <f>'Unformatted Trip Summary'!A292</f>
        <v>04 BAY OF PLENTY</v>
      </c>
      <c r="B294" t="str">
        <f>'Unformatted Trip Summary'!J292</f>
        <v>2027/28</v>
      </c>
      <c r="C294" t="str">
        <f>'Unformatted Trip Summary'!I292</f>
        <v>Local Bus</v>
      </c>
      <c r="D294">
        <f>'Unformatted Trip Summary'!D292</f>
        <v>73</v>
      </c>
      <c r="E294">
        <f>'Unformatted Trip Summary'!E292</f>
        <v>194</v>
      </c>
      <c r="F294" s="1">
        <f>'Unformatted Trip Summary'!F292</f>
        <v>7.0339497007</v>
      </c>
      <c r="G294" s="1">
        <f>'Unformatted Trip Summary'!G292</f>
        <v>46.578744061999998</v>
      </c>
      <c r="H294" s="1">
        <f>'Unformatted Trip Summary'!H292</f>
        <v>2.6569454331000002</v>
      </c>
    </row>
    <row r="295" spans="1:8" x14ac:dyDescent="0.2">
      <c r="A295" t="str">
        <f>'Unformatted Trip Summary'!A293</f>
        <v>04 BAY OF PLENTY</v>
      </c>
      <c r="B295" t="str">
        <f>'Unformatted Trip Summary'!J293</f>
        <v>2032/33</v>
      </c>
      <c r="C295" t="str">
        <f>'Unformatted Trip Summary'!I293</f>
        <v>Local Bus</v>
      </c>
      <c r="D295">
        <f>'Unformatted Trip Summary'!D293</f>
        <v>73</v>
      </c>
      <c r="E295">
        <f>'Unformatted Trip Summary'!E293</f>
        <v>194</v>
      </c>
      <c r="F295" s="1">
        <f>'Unformatted Trip Summary'!F293</f>
        <v>6.9950660974999996</v>
      </c>
      <c r="G295" s="1">
        <f>'Unformatted Trip Summary'!G293</f>
        <v>44.546903673000003</v>
      </c>
      <c r="H295" s="1">
        <f>'Unformatted Trip Summary'!H293</f>
        <v>2.5967820613999999</v>
      </c>
    </row>
    <row r="296" spans="1:8" x14ac:dyDescent="0.2">
      <c r="A296" t="str">
        <f>'Unformatted Trip Summary'!A294</f>
        <v>04 BAY OF PLENTY</v>
      </c>
      <c r="B296" t="str">
        <f>'Unformatted Trip Summary'!J294</f>
        <v>2037/38</v>
      </c>
      <c r="C296" t="str">
        <f>'Unformatted Trip Summary'!I294</f>
        <v>Local Bus</v>
      </c>
      <c r="D296">
        <f>'Unformatted Trip Summary'!D294</f>
        <v>73</v>
      </c>
      <c r="E296">
        <f>'Unformatted Trip Summary'!E294</f>
        <v>194</v>
      </c>
      <c r="F296" s="1">
        <f>'Unformatted Trip Summary'!F294</f>
        <v>6.9814892734000003</v>
      </c>
      <c r="G296" s="1">
        <f>'Unformatted Trip Summary'!G294</f>
        <v>43.075124041999999</v>
      </c>
      <c r="H296" s="1">
        <f>'Unformatted Trip Summary'!H294</f>
        <v>2.5508458577000002</v>
      </c>
    </row>
    <row r="297" spans="1:8" x14ac:dyDescent="0.2">
      <c r="A297" t="str">
        <f>'Unformatted Trip Summary'!A295</f>
        <v>04 BAY OF PLENTY</v>
      </c>
      <c r="B297" t="str">
        <f>'Unformatted Trip Summary'!J295</f>
        <v>2042/43</v>
      </c>
      <c r="C297" t="str">
        <f>'Unformatted Trip Summary'!I295</f>
        <v>Local Bus</v>
      </c>
      <c r="D297">
        <f>'Unformatted Trip Summary'!D295</f>
        <v>73</v>
      </c>
      <c r="E297">
        <f>'Unformatted Trip Summary'!E295</f>
        <v>194</v>
      </c>
      <c r="F297" s="1">
        <f>'Unformatted Trip Summary'!F295</f>
        <v>6.9398570434</v>
      </c>
      <c r="G297" s="1">
        <f>'Unformatted Trip Summary'!G295</f>
        <v>41.474494905999997</v>
      </c>
      <c r="H297" s="1">
        <f>'Unformatted Trip Summary'!H295</f>
        <v>2.4954603698</v>
      </c>
    </row>
    <row r="298" spans="1:8" x14ac:dyDescent="0.2">
      <c r="A298" t="str">
        <f>'Unformatted Trip Summary'!A296</f>
        <v>04 BAY OF PLENTY</v>
      </c>
      <c r="B298" t="str">
        <f>'Unformatted Trip Summary'!J296</f>
        <v>2012/13</v>
      </c>
      <c r="C298" t="str">
        <f>'Unformatted Trip Summary'!I296</f>
        <v>Other Household Travel</v>
      </c>
      <c r="D298">
        <f>'Unformatted Trip Summary'!D296</f>
        <v>13</v>
      </c>
      <c r="E298">
        <f>'Unformatted Trip Summary'!E296</f>
        <v>34</v>
      </c>
      <c r="F298" s="1">
        <f>'Unformatted Trip Summary'!F296</f>
        <v>0.59853678389999998</v>
      </c>
      <c r="G298" s="1">
        <f>'Unformatted Trip Summary'!G296</f>
        <v>0</v>
      </c>
      <c r="H298" s="1">
        <f>'Unformatted Trip Summary'!H296</f>
        <v>0.21279540499999999</v>
      </c>
    </row>
    <row r="299" spans="1:8" x14ac:dyDescent="0.2">
      <c r="A299" t="str">
        <f>'Unformatted Trip Summary'!A297</f>
        <v>04 BAY OF PLENTY</v>
      </c>
      <c r="B299" t="str">
        <f>'Unformatted Trip Summary'!J297</f>
        <v>2017/18</v>
      </c>
      <c r="C299" t="str">
        <f>'Unformatted Trip Summary'!I297</f>
        <v>Other Household Travel</v>
      </c>
      <c r="D299">
        <f>'Unformatted Trip Summary'!D297</f>
        <v>13</v>
      </c>
      <c r="E299">
        <f>'Unformatted Trip Summary'!E297</f>
        <v>34</v>
      </c>
      <c r="F299" s="1">
        <f>'Unformatted Trip Summary'!F297</f>
        <v>0.58393492899999999</v>
      </c>
      <c r="G299" s="1">
        <f>'Unformatted Trip Summary'!G297</f>
        <v>0</v>
      </c>
      <c r="H299" s="1">
        <f>'Unformatted Trip Summary'!H297</f>
        <v>0.2140601795</v>
      </c>
    </row>
    <row r="300" spans="1:8" x14ac:dyDescent="0.2">
      <c r="A300" t="str">
        <f>'Unformatted Trip Summary'!A298</f>
        <v>04 BAY OF PLENTY</v>
      </c>
      <c r="B300" t="str">
        <f>'Unformatted Trip Summary'!J298</f>
        <v>2022/23</v>
      </c>
      <c r="C300" t="str">
        <f>'Unformatted Trip Summary'!I298</f>
        <v>Other Household Travel</v>
      </c>
      <c r="D300">
        <f>'Unformatted Trip Summary'!D298</f>
        <v>13</v>
      </c>
      <c r="E300">
        <f>'Unformatted Trip Summary'!E298</f>
        <v>34</v>
      </c>
      <c r="F300" s="1">
        <f>'Unformatted Trip Summary'!F298</f>
        <v>0.54891596399999998</v>
      </c>
      <c r="G300" s="1">
        <f>'Unformatted Trip Summary'!G298</f>
        <v>0</v>
      </c>
      <c r="H300" s="1">
        <f>'Unformatted Trip Summary'!H298</f>
        <v>0.20741327409999999</v>
      </c>
    </row>
    <row r="301" spans="1:8" x14ac:dyDescent="0.2">
      <c r="A301" t="str">
        <f>'Unformatted Trip Summary'!A299</f>
        <v>04 BAY OF PLENTY</v>
      </c>
      <c r="B301" t="str">
        <f>'Unformatted Trip Summary'!J299</f>
        <v>2027/28</v>
      </c>
      <c r="C301" t="str">
        <f>'Unformatted Trip Summary'!I299</f>
        <v>Other Household Travel</v>
      </c>
      <c r="D301">
        <f>'Unformatted Trip Summary'!D299</f>
        <v>13</v>
      </c>
      <c r="E301">
        <f>'Unformatted Trip Summary'!E299</f>
        <v>34</v>
      </c>
      <c r="F301" s="1">
        <f>'Unformatted Trip Summary'!F299</f>
        <v>0.48920022289999998</v>
      </c>
      <c r="G301" s="1">
        <f>'Unformatted Trip Summary'!G299</f>
        <v>0</v>
      </c>
      <c r="H301" s="1">
        <f>'Unformatted Trip Summary'!H299</f>
        <v>0.1889488272</v>
      </c>
    </row>
    <row r="302" spans="1:8" x14ac:dyDescent="0.2">
      <c r="A302" t="str">
        <f>'Unformatted Trip Summary'!A300</f>
        <v>04 BAY OF PLENTY</v>
      </c>
      <c r="B302" t="str">
        <f>'Unformatted Trip Summary'!J300</f>
        <v>2032/33</v>
      </c>
      <c r="C302" t="str">
        <f>'Unformatted Trip Summary'!I300</f>
        <v>Other Household Travel</v>
      </c>
      <c r="D302">
        <f>'Unformatted Trip Summary'!D300</f>
        <v>13</v>
      </c>
      <c r="E302">
        <f>'Unformatted Trip Summary'!E300</f>
        <v>34</v>
      </c>
      <c r="F302" s="1">
        <f>'Unformatted Trip Summary'!F300</f>
        <v>0.43803934030000002</v>
      </c>
      <c r="G302" s="1">
        <f>'Unformatted Trip Summary'!G300</f>
        <v>0</v>
      </c>
      <c r="H302" s="1">
        <f>'Unformatted Trip Summary'!H300</f>
        <v>0.16679952270000001</v>
      </c>
    </row>
    <row r="303" spans="1:8" x14ac:dyDescent="0.2">
      <c r="A303" t="str">
        <f>'Unformatted Trip Summary'!A301</f>
        <v>04 BAY OF PLENTY</v>
      </c>
      <c r="B303" t="str">
        <f>'Unformatted Trip Summary'!J301</f>
        <v>2037/38</v>
      </c>
      <c r="C303" t="str">
        <f>'Unformatted Trip Summary'!I301</f>
        <v>Other Household Travel</v>
      </c>
      <c r="D303">
        <f>'Unformatted Trip Summary'!D301</f>
        <v>13</v>
      </c>
      <c r="E303">
        <f>'Unformatted Trip Summary'!E301</f>
        <v>34</v>
      </c>
      <c r="F303" s="1">
        <f>'Unformatted Trip Summary'!F301</f>
        <v>0.39757612910000001</v>
      </c>
      <c r="G303" s="1">
        <f>'Unformatted Trip Summary'!G301</f>
        <v>0</v>
      </c>
      <c r="H303" s="1">
        <f>'Unformatted Trip Summary'!H301</f>
        <v>0.151038226</v>
      </c>
    </row>
    <row r="304" spans="1:8" x14ac:dyDescent="0.2">
      <c r="A304" t="str">
        <f>'Unformatted Trip Summary'!A302</f>
        <v>04 BAY OF PLENTY</v>
      </c>
      <c r="B304" t="str">
        <f>'Unformatted Trip Summary'!J302</f>
        <v>2042/43</v>
      </c>
      <c r="C304" t="str">
        <f>'Unformatted Trip Summary'!I302</f>
        <v>Other Household Travel</v>
      </c>
      <c r="D304">
        <f>'Unformatted Trip Summary'!D302</f>
        <v>13</v>
      </c>
      <c r="E304">
        <f>'Unformatted Trip Summary'!E302</f>
        <v>34</v>
      </c>
      <c r="F304" s="1">
        <f>'Unformatted Trip Summary'!F302</f>
        <v>0.36027070999999999</v>
      </c>
      <c r="G304" s="1">
        <f>'Unformatted Trip Summary'!G302</f>
        <v>0</v>
      </c>
      <c r="H304" s="1">
        <f>'Unformatted Trip Summary'!H302</f>
        <v>0.13633162130000001</v>
      </c>
    </row>
    <row r="305" spans="1:8" x14ac:dyDescent="0.2">
      <c r="A305" t="str">
        <f>'Unformatted Trip Summary'!A303</f>
        <v>04 BAY OF PLENTY</v>
      </c>
      <c r="B305" t="str">
        <f>'Unformatted Trip Summary'!J303</f>
        <v>2012/13</v>
      </c>
      <c r="C305" t="str">
        <f>'Unformatted Trip Summary'!I303</f>
        <v>Air/Non-Local PT</v>
      </c>
      <c r="D305">
        <f>'Unformatted Trip Summary'!D303</f>
        <v>10</v>
      </c>
      <c r="E305">
        <f>'Unformatted Trip Summary'!E303</f>
        <v>20</v>
      </c>
      <c r="F305" s="1">
        <f>'Unformatted Trip Summary'!F303</f>
        <v>0.7132672793</v>
      </c>
      <c r="G305" s="1">
        <f>'Unformatted Trip Summary'!G303</f>
        <v>34.241381883000003</v>
      </c>
      <c r="H305" s="1">
        <f>'Unformatted Trip Summary'!H303</f>
        <v>1.7899343983</v>
      </c>
    </row>
    <row r="306" spans="1:8" x14ac:dyDescent="0.2">
      <c r="A306" t="str">
        <f>'Unformatted Trip Summary'!A304</f>
        <v>04 BAY OF PLENTY</v>
      </c>
      <c r="B306" t="str">
        <f>'Unformatted Trip Summary'!J304</f>
        <v>2017/18</v>
      </c>
      <c r="C306" t="str">
        <f>'Unformatted Trip Summary'!I304</f>
        <v>Air/Non-Local PT</v>
      </c>
      <c r="D306">
        <f>'Unformatted Trip Summary'!D304</f>
        <v>10</v>
      </c>
      <c r="E306">
        <f>'Unformatted Trip Summary'!E304</f>
        <v>20</v>
      </c>
      <c r="F306" s="1">
        <f>'Unformatted Trip Summary'!F304</f>
        <v>0.75127165920000005</v>
      </c>
      <c r="G306" s="1">
        <f>'Unformatted Trip Summary'!G304</f>
        <v>36.950546549000002</v>
      </c>
      <c r="H306" s="1">
        <f>'Unformatted Trip Summary'!H304</f>
        <v>2.1462591542</v>
      </c>
    </row>
    <row r="307" spans="1:8" x14ac:dyDescent="0.2">
      <c r="A307" t="str">
        <f>'Unformatted Trip Summary'!A305</f>
        <v>04 BAY OF PLENTY</v>
      </c>
      <c r="B307" t="str">
        <f>'Unformatted Trip Summary'!J305</f>
        <v>2022/23</v>
      </c>
      <c r="C307" t="str">
        <f>'Unformatted Trip Summary'!I305</f>
        <v>Air/Non-Local PT</v>
      </c>
      <c r="D307">
        <f>'Unformatted Trip Summary'!D305</f>
        <v>10</v>
      </c>
      <c r="E307">
        <f>'Unformatted Trip Summary'!E305</f>
        <v>20</v>
      </c>
      <c r="F307" s="1">
        <f>'Unformatted Trip Summary'!F305</f>
        <v>0.78764339969999997</v>
      </c>
      <c r="G307" s="1">
        <f>'Unformatted Trip Summary'!G305</f>
        <v>39.184537900000002</v>
      </c>
      <c r="H307" s="1">
        <f>'Unformatted Trip Summary'!H305</f>
        <v>2.4484507055</v>
      </c>
    </row>
    <row r="308" spans="1:8" x14ac:dyDescent="0.2">
      <c r="A308" t="str">
        <f>'Unformatted Trip Summary'!A306</f>
        <v>04 BAY OF PLENTY</v>
      </c>
      <c r="B308" t="str">
        <f>'Unformatted Trip Summary'!J306</f>
        <v>2027/28</v>
      </c>
      <c r="C308" t="str">
        <f>'Unformatted Trip Summary'!I306</f>
        <v>Air/Non-Local PT</v>
      </c>
      <c r="D308">
        <f>'Unformatted Trip Summary'!D306</f>
        <v>10</v>
      </c>
      <c r="E308">
        <f>'Unformatted Trip Summary'!E306</f>
        <v>20</v>
      </c>
      <c r="F308" s="1">
        <f>'Unformatted Trip Summary'!F306</f>
        <v>0.81399801540000005</v>
      </c>
      <c r="G308" s="1">
        <f>'Unformatted Trip Summary'!G306</f>
        <v>41.155143424999999</v>
      </c>
      <c r="H308" s="1">
        <f>'Unformatted Trip Summary'!H306</f>
        <v>2.6198758183000002</v>
      </c>
    </row>
    <row r="309" spans="1:8" x14ac:dyDescent="0.2">
      <c r="A309" t="str">
        <f>'Unformatted Trip Summary'!A307</f>
        <v>04 BAY OF PLENTY</v>
      </c>
      <c r="B309" t="str">
        <f>'Unformatted Trip Summary'!J307</f>
        <v>2032/33</v>
      </c>
      <c r="C309" t="str">
        <f>'Unformatted Trip Summary'!I307</f>
        <v>Air/Non-Local PT</v>
      </c>
      <c r="D309">
        <f>'Unformatted Trip Summary'!D307</f>
        <v>10</v>
      </c>
      <c r="E309">
        <f>'Unformatted Trip Summary'!E307</f>
        <v>20</v>
      </c>
      <c r="F309" s="1">
        <f>'Unformatted Trip Summary'!F307</f>
        <v>0.82363591690000004</v>
      </c>
      <c r="G309" s="1">
        <f>'Unformatted Trip Summary'!G307</f>
        <v>42.446049633000001</v>
      </c>
      <c r="H309" s="1">
        <f>'Unformatted Trip Summary'!H307</f>
        <v>2.6855782141</v>
      </c>
    </row>
    <row r="310" spans="1:8" x14ac:dyDescent="0.2">
      <c r="A310" t="str">
        <f>'Unformatted Trip Summary'!A308</f>
        <v>04 BAY OF PLENTY</v>
      </c>
      <c r="B310" t="str">
        <f>'Unformatted Trip Summary'!J308</f>
        <v>2037/38</v>
      </c>
      <c r="C310" t="str">
        <f>'Unformatted Trip Summary'!I308</f>
        <v>Air/Non-Local PT</v>
      </c>
      <c r="D310">
        <f>'Unformatted Trip Summary'!D308</f>
        <v>10</v>
      </c>
      <c r="E310">
        <f>'Unformatted Trip Summary'!E308</f>
        <v>20</v>
      </c>
      <c r="F310" s="1">
        <f>'Unformatted Trip Summary'!F308</f>
        <v>0.86082751680000003</v>
      </c>
      <c r="G310" s="1">
        <f>'Unformatted Trip Summary'!G308</f>
        <v>46.995145976000003</v>
      </c>
      <c r="H310" s="1">
        <f>'Unformatted Trip Summary'!H308</f>
        <v>2.7549573533</v>
      </c>
    </row>
    <row r="311" spans="1:8" x14ac:dyDescent="0.2">
      <c r="A311" t="str">
        <f>'Unformatted Trip Summary'!A309</f>
        <v>04 BAY OF PLENTY</v>
      </c>
      <c r="B311" t="str">
        <f>'Unformatted Trip Summary'!J309</f>
        <v>2042/43</v>
      </c>
      <c r="C311" t="str">
        <f>'Unformatted Trip Summary'!I309</f>
        <v>Air/Non-Local PT</v>
      </c>
      <c r="D311">
        <f>'Unformatted Trip Summary'!D309</f>
        <v>10</v>
      </c>
      <c r="E311">
        <f>'Unformatted Trip Summary'!E309</f>
        <v>20</v>
      </c>
      <c r="F311" s="1">
        <f>'Unformatted Trip Summary'!F309</f>
        <v>0.8991403939</v>
      </c>
      <c r="G311" s="1">
        <f>'Unformatted Trip Summary'!G309</f>
        <v>51.827595293000002</v>
      </c>
      <c r="H311" s="1">
        <f>'Unformatted Trip Summary'!H309</f>
        <v>2.8169120833000001</v>
      </c>
    </row>
    <row r="312" spans="1:8" x14ac:dyDescent="0.2">
      <c r="A312" t="str">
        <f>'Unformatted Trip Summary'!A310</f>
        <v>04 BAY OF PLENTY</v>
      </c>
      <c r="B312" t="str">
        <f>'Unformatted Trip Summary'!J310</f>
        <v>2012/13</v>
      </c>
      <c r="C312" t="str">
        <f>'Unformatted Trip Summary'!I310</f>
        <v>Non-Household Travel</v>
      </c>
      <c r="D312">
        <f>'Unformatted Trip Summary'!D310</f>
        <v>6</v>
      </c>
      <c r="E312">
        <f>'Unformatted Trip Summary'!E310</f>
        <v>33</v>
      </c>
      <c r="F312" s="1">
        <f>'Unformatted Trip Summary'!F310</f>
        <v>1.4872690419000001</v>
      </c>
      <c r="G312" s="1">
        <f>'Unformatted Trip Summary'!G310</f>
        <v>13.901388431999999</v>
      </c>
      <c r="H312" s="1">
        <f>'Unformatted Trip Summary'!H310</f>
        <v>0.32958292379999998</v>
      </c>
    </row>
    <row r="313" spans="1:8" x14ac:dyDescent="0.2">
      <c r="A313" t="str">
        <f>'Unformatted Trip Summary'!A311</f>
        <v>04 BAY OF PLENTY</v>
      </c>
      <c r="B313" t="str">
        <f>'Unformatted Trip Summary'!J311</f>
        <v>2017/18</v>
      </c>
      <c r="C313" t="str">
        <f>'Unformatted Trip Summary'!I311</f>
        <v>Non-Household Travel</v>
      </c>
      <c r="D313">
        <f>'Unformatted Trip Summary'!D311</f>
        <v>6</v>
      </c>
      <c r="E313">
        <f>'Unformatted Trip Summary'!E311</f>
        <v>33</v>
      </c>
      <c r="F313" s="1">
        <f>'Unformatted Trip Summary'!F311</f>
        <v>1.5962606815</v>
      </c>
      <c r="G313" s="1">
        <f>'Unformatted Trip Summary'!G311</f>
        <v>13.703505698000001</v>
      </c>
      <c r="H313" s="1">
        <f>'Unformatted Trip Summary'!H311</f>
        <v>0.34161361169999999</v>
      </c>
    </row>
    <row r="314" spans="1:8" x14ac:dyDescent="0.2">
      <c r="A314" t="str">
        <f>'Unformatted Trip Summary'!A312</f>
        <v>04 BAY OF PLENTY</v>
      </c>
      <c r="B314" t="str">
        <f>'Unformatted Trip Summary'!J312</f>
        <v>2022/23</v>
      </c>
      <c r="C314" t="str">
        <f>'Unformatted Trip Summary'!I312</f>
        <v>Non-Household Travel</v>
      </c>
      <c r="D314">
        <f>'Unformatted Trip Summary'!D312</f>
        <v>6</v>
      </c>
      <c r="E314">
        <f>'Unformatted Trip Summary'!E312</f>
        <v>33</v>
      </c>
      <c r="F314" s="1">
        <f>'Unformatted Trip Summary'!F312</f>
        <v>1.6362467155</v>
      </c>
      <c r="G314" s="1">
        <f>'Unformatted Trip Summary'!G312</f>
        <v>13.148696230000001</v>
      </c>
      <c r="H314" s="1">
        <f>'Unformatted Trip Summary'!H312</f>
        <v>0.34114521009999998</v>
      </c>
    </row>
    <row r="315" spans="1:8" x14ac:dyDescent="0.2">
      <c r="A315" t="str">
        <f>'Unformatted Trip Summary'!A313</f>
        <v>04 BAY OF PLENTY</v>
      </c>
      <c r="B315" t="str">
        <f>'Unformatted Trip Summary'!J313</f>
        <v>2027/28</v>
      </c>
      <c r="C315" t="str">
        <f>'Unformatted Trip Summary'!I313</f>
        <v>Non-Household Travel</v>
      </c>
      <c r="D315">
        <f>'Unformatted Trip Summary'!D313</f>
        <v>6</v>
      </c>
      <c r="E315">
        <f>'Unformatted Trip Summary'!E313</f>
        <v>33</v>
      </c>
      <c r="F315" s="1">
        <f>'Unformatted Trip Summary'!F313</f>
        <v>1.6613004330000001</v>
      </c>
      <c r="G315" s="1">
        <f>'Unformatted Trip Summary'!G313</f>
        <v>12.656842887</v>
      </c>
      <c r="H315" s="1">
        <f>'Unformatted Trip Summary'!H313</f>
        <v>0.33826262730000001</v>
      </c>
    </row>
    <row r="316" spans="1:8" x14ac:dyDescent="0.2">
      <c r="A316" t="str">
        <f>'Unformatted Trip Summary'!A314</f>
        <v>04 BAY OF PLENTY</v>
      </c>
      <c r="B316" t="str">
        <f>'Unformatted Trip Summary'!J314</f>
        <v>2032/33</v>
      </c>
      <c r="C316" t="str">
        <f>'Unformatted Trip Summary'!I314</f>
        <v>Non-Household Travel</v>
      </c>
      <c r="D316">
        <f>'Unformatted Trip Summary'!D314</f>
        <v>6</v>
      </c>
      <c r="E316">
        <f>'Unformatted Trip Summary'!E314</f>
        <v>33</v>
      </c>
      <c r="F316" s="1">
        <f>'Unformatted Trip Summary'!F314</f>
        <v>1.6640417673000001</v>
      </c>
      <c r="G316" s="1">
        <f>'Unformatted Trip Summary'!G314</f>
        <v>12.384461176</v>
      </c>
      <c r="H316" s="1">
        <f>'Unformatted Trip Summary'!H314</f>
        <v>0.33490472589999998</v>
      </c>
    </row>
    <row r="317" spans="1:8" x14ac:dyDescent="0.2">
      <c r="A317" t="str">
        <f>'Unformatted Trip Summary'!A315</f>
        <v>04 BAY OF PLENTY</v>
      </c>
      <c r="B317" t="str">
        <f>'Unformatted Trip Summary'!J315</f>
        <v>2037/38</v>
      </c>
      <c r="C317" t="str">
        <f>'Unformatted Trip Summary'!I315</f>
        <v>Non-Household Travel</v>
      </c>
      <c r="D317">
        <f>'Unformatted Trip Summary'!D315</f>
        <v>6</v>
      </c>
      <c r="E317">
        <f>'Unformatted Trip Summary'!E315</f>
        <v>33</v>
      </c>
      <c r="F317" s="1">
        <f>'Unformatted Trip Summary'!F315</f>
        <v>1.6655679764</v>
      </c>
      <c r="G317" s="1">
        <f>'Unformatted Trip Summary'!G315</f>
        <v>12.244832233</v>
      </c>
      <c r="H317" s="1">
        <f>'Unformatted Trip Summary'!H315</f>
        <v>0.33318871960000002</v>
      </c>
    </row>
    <row r="318" spans="1:8" x14ac:dyDescent="0.2">
      <c r="A318" t="str">
        <f>'Unformatted Trip Summary'!A316</f>
        <v>04 BAY OF PLENTY</v>
      </c>
      <c r="B318" t="str">
        <f>'Unformatted Trip Summary'!J316</f>
        <v>2042/43</v>
      </c>
      <c r="C318" t="str">
        <f>'Unformatted Trip Summary'!I316</f>
        <v>Non-Household Travel</v>
      </c>
      <c r="D318">
        <f>'Unformatted Trip Summary'!D316</f>
        <v>6</v>
      </c>
      <c r="E318">
        <f>'Unformatted Trip Summary'!E316</f>
        <v>33</v>
      </c>
      <c r="F318" s="1">
        <f>'Unformatted Trip Summary'!F316</f>
        <v>1.6543897406000001</v>
      </c>
      <c r="G318" s="1">
        <f>'Unformatted Trip Summary'!G316</f>
        <v>11.954122501000001</v>
      </c>
      <c r="H318" s="1">
        <f>'Unformatted Trip Summary'!H316</f>
        <v>0.32839068900000001</v>
      </c>
    </row>
    <row r="319" spans="1:8" x14ac:dyDescent="0.2">
      <c r="A319" t="str">
        <f>'Unformatted Trip Summary'!A317</f>
        <v>05 GISBORNE</v>
      </c>
      <c r="B319" t="str">
        <f>'Unformatted Trip Summary'!J317</f>
        <v>2012/13</v>
      </c>
      <c r="C319" t="str">
        <f>'Unformatted Trip Summary'!I317</f>
        <v>Pedestrian</v>
      </c>
      <c r="D319">
        <f>'Unformatted Trip Summary'!D317</f>
        <v>242</v>
      </c>
      <c r="E319">
        <f>'Unformatted Trip Summary'!E317</f>
        <v>910</v>
      </c>
      <c r="F319" s="1">
        <f>'Unformatted Trip Summary'!F317</f>
        <v>12.564280467</v>
      </c>
      <c r="G319" s="1">
        <f>'Unformatted Trip Summary'!G317</f>
        <v>7.5635235767999998</v>
      </c>
      <c r="H319" s="1">
        <f>'Unformatted Trip Summary'!H317</f>
        <v>2.2694063563000002</v>
      </c>
    </row>
    <row r="320" spans="1:8" x14ac:dyDescent="0.2">
      <c r="A320" t="str">
        <f>'Unformatted Trip Summary'!A318</f>
        <v>05 GISBORNE</v>
      </c>
      <c r="B320" t="str">
        <f>'Unformatted Trip Summary'!J318</f>
        <v>2017/18</v>
      </c>
      <c r="C320" t="str">
        <f>'Unformatted Trip Summary'!I318</f>
        <v>Pedestrian</v>
      </c>
      <c r="D320">
        <f>'Unformatted Trip Summary'!D318</f>
        <v>242</v>
      </c>
      <c r="E320">
        <f>'Unformatted Trip Summary'!E318</f>
        <v>910</v>
      </c>
      <c r="F320" s="1">
        <f>'Unformatted Trip Summary'!F318</f>
        <v>12.023739207</v>
      </c>
      <c r="G320" s="1">
        <f>'Unformatted Trip Summary'!G318</f>
        <v>7.2528211206000002</v>
      </c>
      <c r="H320" s="1">
        <f>'Unformatted Trip Summary'!H318</f>
        <v>2.1443385381</v>
      </c>
    </row>
    <row r="321" spans="1:8" x14ac:dyDescent="0.2">
      <c r="A321" t="str">
        <f>'Unformatted Trip Summary'!A319</f>
        <v>05 GISBORNE</v>
      </c>
      <c r="B321" t="str">
        <f>'Unformatted Trip Summary'!J319</f>
        <v>2022/23</v>
      </c>
      <c r="C321" t="str">
        <f>'Unformatted Trip Summary'!I319</f>
        <v>Pedestrian</v>
      </c>
      <c r="D321">
        <f>'Unformatted Trip Summary'!D319</f>
        <v>242</v>
      </c>
      <c r="E321">
        <f>'Unformatted Trip Summary'!E319</f>
        <v>910</v>
      </c>
      <c r="F321" s="1">
        <f>'Unformatted Trip Summary'!F319</f>
        <v>11.532272677</v>
      </c>
      <c r="G321" s="1">
        <f>'Unformatted Trip Summary'!G319</f>
        <v>6.9979999291999997</v>
      </c>
      <c r="H321" s="1">
        <f>'Unformatted Trip Summary'!H319</f>
        <v>2.0330296758999999</v>
      </c>
    </row>
    <row r="322" spans="1:8" x14ac:dyDescent="0.2">
      <c r="A322" t="str">
        <f>'Unformatted Trip Summary'!A320</f>
        <v>05 GISBORNE</v>
      </c>
      <c r="B322" t="str">
        <f>'Unformatted Trip Summary'!J320</f>
        <v>2027/28</v>
      </c>
      <c r="C322" t="str">
        <f>'Unformatted Trip Summary'!I320</f>
        <v>Pedestrian</v>
      </c>
      <c r="D322">
        <f>'Unformatted Trip Summary'!D320</f>
        <v>242</v>
      </c>
      <c r="E322">
        <f>'Unformatted Trip Summary'!E320</f>
        <v>910</v>
      </c>
      <c r="F322" s="1">
        <f>'Unformatted Trip Summary'!F320</f>
        <v>11.206286798000001</v>
      </c>
      <c r="G322" s="1">
        <f>'Unformatted Trip Summary'!G320</f>
        <v>6.8955779729</v>
      </c>
      <c r="H322" s="1">
        <f>'Unformatted Trip Summary'!H320</f>
        <v>1.9715908959999999</v>
      </c>
    </row>
    <row r="323" spans="1:8" x14ac:dyDescent="0.2">
      <c r="A323" t="str">
        <f>'Unformatted Trip Summary'!A321</f>
        <v>05 GISBORNE</v>
      </c>
      <c r="B323" t="str">
        <f>'Unformatted Trip Summary'!J321</f>
        <v>2032/33</v>
      </c>
      <c r="C323" t="str">
        <f>'Unformatted Trip Summary'!I321</f>
        <v>Pedestrian</v>
      </c>
      <c r="D323">
        <f>'Unformatted Trip Summary'!D321</f>
        <v>242</v>
      </c>
      <c r="E323">
        <f>'Unformatted Trip Summary'!E321</f>
        <v>910</v>
      </c>
      <c r="F323" s="1">
        <f>'Unformatted Trip Summary'!F321</f>
        <v>10.811240716</v>
      </c>
      <c r="G323" s="1">
        <f>'Unformatted Trip Summary'!G321</f>
        <v>6.7623229240000002</v>
      </c>
      <c r="H323" s="1">
        <f>'Unformatted Trip Summary'!H321</f>
        <v>1.9065517891999999</v>
      </c>
    </row>
    <row r="324" spans="1:8" x14ac:dyDescent="0.2">
      <c r="A324" t="str">
        <f>'Unformatted Trip Summary'!A322</f>
        <v>05 GISBORNE</v>
      </c>
      <c r="B324" t="str">
        <f>'Unformatted Trip Summary'!J322</f>
        <v>2037/38</v>
      </c>
      <c r="C324" t="str">
        <f>'Unformatted Trip Summary'!I322</f>
        <v>Pedestrian</v>
      </c>
      <c r="D324">
        <f>'Unformatted Trip Summary'!D322</f>
        <v>242</v>
      </c>
      <c r="E324">
        <f>'Unformatted Trip Summary'!E322</f>
        <v>910</v>
      </c>
      <c r="F324" s="1">
        <f>'Unformatted Trip Summary'!F322</f>
        <v>10.395809867000001</v>
      </c>
      <c r="G324" s="1">
        <f>'Unformatted Trip Summary'!G322</f>
        <v>6.5479053763000001</v>
      </c>
      <c r="H324" s="1">
        <f>'Unformatted Trip Summary'!H322</f>
        <v>1.8345743454000001</v>
      </c>
    </row>
    <row r="325" spans="1:8" x14ac:dyDescent="0.2">
      <c r="A325" t="str">
        <f>'Unformatted Trip Summary'!A323</f>
        <v>05 GISBORNE</v>
      </c>
      <c r="B325" t="str">
        <f>'Unformatted Trip Summary'!J323</f>
        <v>2042/43</v>
      </c>
      <c r="C325" t="str">
        <f>'Unformatted Trip Summary'!I323</f>
        <v>Pedestrian</v>
      </c>
      <c r="D325">
        <f>'Unformatted Trip Summary'!D323</f>
        <v>242</v>
      </c>
      <c r="E325">
        <f>'Unformatted Trip Summary'!E323</f>
        <v>910</v>
      </c>
      <c r="F325" s="1">
        <f>'Unformatted Trip Summary'!F323</f>
        <v>9.9891379479999998</v>
      </c>
      <c r="G325" s="1">
        <f>'Unformatted Trip Summary'!G323</f>
        <v>6.3593151610999996</v>
      </c>
      <c r="H325" s="1">
        <f>'Unformatted Trip Summary'!H323</f>
        <v>1.7650849249</v>
      </c>
    </row>
    <row r="326" spans="1:8" x14ac:dyDescent="0.2">
      <c r="A326" t="str">
        <f>'Unformatted Trip Summary'!A324</f>
        <v>05 GISBORNE</v>
      </c>
      <c r="B326" t="str">
        <f>'Unformatted Trip Summary'!J324</f>
        <v>2012/13</v>
      </c>
      <c r="C326" t="str">
        <f>'Unformatted Trip Summary'!I324</f>
        <v>Cyclist</v>
      </c>
      <c r="D326">
        <f>'Unformatted Trip Summary'!D324</f>
        <v>27</v>
      </c>
      <c r="E326">
        <f>'Unformatted Trip Summary'!E324</f>
        <v>100</v>
      </c>
      <c r="F326" s="1">
        <f>'Unformatted Trip Summary'!F324</f>
        <v>1.1119455742</v>
      </c>
      <c r="G326" s="1">
        <f>'Unformatted Trip Summary'!G324</f>
        <v>3.8031873472000002</v>
      </c>
      <c r="H326" s="1">
        <f>'Unformatted Trip Summary'!H324</f>
        <v>0.28046850410000002</v>
      </c>
    </row>
    <row r="327" spans="1:8" x14ac:dyDescent="0.2">
      <c r="A327" t="str">
        <f>'Unformatted Trip Summary'!A325</f>
        <v>05 GISBORNE</v>
      </c>
      <c r="B327" t="str">
        <f>'Unformatted Trip Summary'!J325</f>
        <v>2017/18</v>
      </c>
      <c r="C327" t="str">
        <f>'Unformatted Trip Summary'!I325</f>
        <v>Cyclist</v>
      </c>
      <c r="D327">
        <f>'Unformatted Trip Summary'!D325</f>
        <v>27</v>
      </c>
      <c r="E327">
        <f>'Unformatted Trip Summary'!E325</f>
        <v>100</v>
      </c>
      <c r="F327" s="1">
        <f>'Unformatted Trip Summary'!F325</f>
        <v>1.0552291790999999</v>
      </c>
      <c r="G327" s="1">
        <f>'Unformatted Trip Summary'!G325</f>
        <v>3.4117002201000002</v>
      </c>
      <c r="H327" s="1">
        <f>'Unformatted Trip Summary'!H325</f>
        <v>0.25728426230000001</v>
      </c>
    </row>
    <row r="328" spans="1:8" x14ac:dyDescent="0.2">
      <c r="A328" t="str">
        <f>'Unformatted Trip Summary'!A326</f>
        <v>05 GISBORNE</v>
      </c>
      <c r="B328" t="str">
        <f>'Unformatted Trip Summary'!J326</f>
        <v>2022/23</v>
      </c>
      <c r="C328" t="str">
        <f>'Unformatted Trip Summary'!I326</f>
        <v>Cyclist</v>
      </c>
      <c r="D328">
        <f>'Unformatted Trip Summary'!D326</f>
        <v>27</v>
      </c>
      <c r="E328">
        <f>'Unformatted Trip Summary'!E326</f>
        <v>100</v>
      </c>
      <c r="F328" s="1">
        <f>'Unformatted Trip Summary'!F326</f>
        <v>1.0207482426000001</v>
      </c>
      <c r="G328" s="1">
        <f>'Unformatted Trip Summary'!G326</f>
        <v>3.1850713970000002</v>
      </c>
      <c r="H328" s="1">
        <f>'Unformatted Trip Summary'!H326</f>
        <v>0.2413770368</v>
      </c>
    </row>
    <row r="329" spans="1:8" x14ac:dyDescent="0.2">
      <c r="A329" t="str">
        <f>'Unformatted Trip Summary'!A327</f>
        <v>05 GISBORNE</v>
      </c>
      <c r="B329" t="str">
        <f>'Unformatted Trip Summary'!J327</f>
        <v>2027/28</v>
      </c>
      <c r="C329" t="str">
        <f>'Unformatted Trip Summary'!I327</f>
        <v>Cyclist</v>
      </c>
      <c r="D329">
        <f>'Unformatted Trip Summary'!D327</f>
        <v>27</v>
      </c>
      <c r="E329">
        <f>'Unformatted Trip Summary'!E327</f>
        <v>100</v>
      </c>
      <c r="F329" s="1">
        <f>'Unformatted Trip Summary'!F327</f>
        <v>0.95880657130000002</v>
      </c>
      <c r="G329" s="1">
        <f>'Unformatted Trip Summary'!G327</f>
        <v>2.8557916342</v>
      </c>
      <c r="H329" s="1">
        <f>'Unformatted Trip Summary'!H327</f>
        <v>0.21695063170000001</v>
      </c>
    </row>
    <row r="330" spans="1:8" x14ac:dyDescent="0.2">
      <c r="A330" t="str">
        <f>'Unformatted Trip Summary'!A328</f>
        <v>05 GISBORNE</v>
      </c>
      <c r="B330" t="str">
        <f>'Unformatted Trip Summary'!J328</f>
        <v>2032/33</v>
      </c>
      <c r="C330" t="str">
        <f>'Unformatted Trip Summary'!I328</f>
        <v>Cyclist</v>
      </c>
      <c r="D330">
        <f>'Unformatted Trip Summary'!D328</f>
        <v>27</v>
      </c>
      <c r="E330">
        <f>'Unformatted Trip Summary'!E328</f>
        <v>100</v>
      </c>
      <c r="F330" s="1">
        <f>'Unformatted Trip Summary'!F328</f>
        <v>0.88616061820000003</v>
      </c>
      <c r="G330" s="1">
        <f>'Unformatted Trip Summary'!G328</f>
        <v>2.5178031110000001</v>
      </c>
      <c r="H330" s="1">
        <f>'Unformatted Trip Summary'!H328</f>
        <v>0.19423348930000001</v>
      </c>
    </row>
    <row r="331" spans="1:8" x14ac:dyDescent="0.2">
      <c r="A331" t="str">
        <f>'Unformatted Trip Summary'!A329</f>
        <v>05 GISBORNE</v>
      </c>
      <c r="B331" t="str">
        <f>'Unformatted Trip Summary'!J329</f>
        <v>2037/38</v>
      </c>
      <c r="C331" t="str">
        <f>'Unformatted Trip Summary'!I329</f>
        <v>Cyclist</v>
      </c>
      <c r="D331">
        <f>'Unformatted Trip Summary'!D329</f>
        <v>27</v>
      </c>
      <c r="E331">
        <f>'Unformatted Trip Summary'!E329</f>
        <v>100</v>
      </c>
      <c r="F331" s="1">
        <f>'Unformatted Trip Summary'!F329</f>
        <v>0.81700756900000004</v>
      </c>
      <c r="G331" s="1">
        <f>'Unformatted Trip Summary'!G329</f>
        <v>2.1958084669</v>
      </c>
      <c r="H331" s="1">
        <f>'Unformatted Trip Summary'!H329</f>
        <v>0.17452505530000001</v>
      </c>
    </row>
    <row r="332" spans="1:8" x14ac:dyDescent="0.2">
      <c r="A332" t="str">
        <f>'Unformatted Trip Summary'!A330</f>
        <v>05 GISBORNE</v>
      </c>
      <c r="B332" t="str">
        <f>'Unformatted Trip Summary'!J330</f>
        <v>2042/43</v>
      </c>
      <c r="C332" t="str">
        <f>'Unformatted Trip Summary'!I330</f>
        <v>Cyclist</v>
      </c>
      <c r="D332">
        <f>'Unformatted Trip Summary'!D330</f>
        <v>27</v>
      </c>
      <c r="E332">
        <f>'Unformatted Trip Summary'!E330</f>
        <v>100</v>
      </c>
      <c r="F332" s="1">
        <f>'Unformatted Trip Summary'!F330</f>
        <v>0.75474610320000002</v>
      </c>
      <c r="G332" s="1">
        <f>'Unformatted Trip Summary'!G330</f>
        <v>1.9230287718000001</v>
      </c>
      <c r="H332" s="1">
        <f>'Unformatted Trip Summary'!H330</f>
        <v>0.1574952013</v>
      </c>
    </row>
    <row r="333" spans="1:8" x14ac:dyDescent="0.2">
      <c r="A333" t="str">
        <f>'Unformatted Trip Summary'!A331</f>
        <v>05 GISBORNE</v>
      </c>
      <c r="B333" t="str">
        <f>'Unformatted Trip Summary'!J331</f>
        <v>2012/13</v>
      </c>
      <c r="C333" t="str">
        <f>'Unformatted Trip Summary'!I331</f>
        <v>Light Vehicle Driver</v>
      </c>
      <c r="D333">
        <f>'Unformatted Trip Summary'!D331</f>
        <v>319</v>
      </c>
      <c r="E333">
        <f>'Unformatted Trip Summary'!E331</f>
        <v>2307</v>
      </c>
      <c r="F333" s="1">
        <f>'Unformatted Trip Summary'!F331</f>
        <v>28.776347379000001</v>
      </c>
      <c r="G333" s="1">
        <f>'Unformatted Trip Summary'!G331</f>
        <v>241.40144318</v>
      </c>
      <c r="H333" s="1">
        <f>'Unformatted Trip Summary'!H331</f>
        <v>6.0182660548999998</v>
      </c>
    </row>
    <row r="334" spans="1:8" x14ac:dyDescent="0.2">
      <c r="A334" t="str">
        <f>'Unformatted Trip Summary'!A332</f>
        <v>05 GISBORNE</v>
      </c>
      <c r="B334" t="str">
        <f>'Unformatted Trip Summary'!J332</f>
        <v>2017/18</v>
      </c>
      <c r="C334" t="str">
        <f>'Unformatted Trip Summary'!I332</f>
        <v>Light Vehicle Driver</v>
      </c>
      <c r="D334">
        <f>'Unformatted Trip Summary'!D332</f>
        <v>319</v>
      </c>
      <c r="E334">
        <f>'Unformatted Trip Summary'!E332</f>
        <v>2307</v>
      </c>
      <c r="F334" s="1">
        <f>'Unformatted Trip Summary'!F332</f>
        <v>29.134700394999999</v>
      </c>
      <c r="G334" s="1">
        <f>'Unformatted Trip Summary'!G332</f>
        <v>249.01406451</v>
      </c>
      <c r="H334" s="1">
        <f>'Unformatted Trip Summary'!H332</f>
        <v>6.1855221816999997</v>
      </c>
    </row>
    <row r="335" spans="1:8" x14ac:dyDescent="0.2">
      <c r="A335" t="str">
        <f>'Unformatted Trip Summary'!A333</f>
        <v>05 GISBORNE</v>
      </c>
      <c r="B335" t="str">
        <f>'Unformatted Trip Summary'!J333</f>
        <v>2022/23</v>
      </c>
      <c r="C335" t="str">
        <f>'Unformatted Trip Summary'!I333</f>
        <v>Light Vehicle Driver</v>
      </c>
      <c r="D335">
        <f>'Unformatted Trip Summary'!D333</f>
        <v>319</v>
      </c>
      <c r="E335">
        <f>'Unformatted Trip Summary'!E333</f>
        <v>2307</v>
      </c>
      <c r="F335" s="1">
        <f>'Unformatted Trip Summary'!F333</f>
        <v>28.888584314999999</v>
      </c>
      <c r="G335" s="1">
        <f>'Unformatted Trip Summary'!G333</f>
        <v>248.86502960999999</v>
      </c>
      <c r="H335" s="1">
        <f>'Unformatted Trip Summary'!H333</f>
        <v>6.1910240926000002</v>
      </c>
    </row>
    <row r="336" spans="1:8" x14ac:dyDescent="0.2">
      <c r="A336" t="str">
        <f>'Unformatted Trip Summary'!A334</f>
        <v>05 GISBORNE</v>
      </c>
      <c r="B336" t="str">
        <f>'Unformatted Trip Summary'!J334</f>
        <v>2027/28</v>
      </c>
      <c r="C336" t="str">
        <f>'Unformatted Trip Summary'!I334</f>
        <v>Light Vehicle Driver</v>
      </c>
      <c r="D336">
        <f>'Unformatted Trip Summary'!D334</f>
        <v>319</v>
      </c>
      <c r="E336">
        <f>'Unformatted Trip Summary'!E334</f>
        <v>2307</v>
      </c>
      <c r="F336" s="1">
        <f>'Unformatted Trip Summary'!F334</f>
        <v>28.587075886000001</v>
      </c>
      <c r="G336" s="1">
        <f>'Unformatted Trip Summary'!G334</f>
        <v>247.77573294000001</v>
      </c>
      <c r="H336" s="1">
        <f>'Unformatted Trip Summary'!H334</f>
        <v>6.1760729365999998</v>
      </c>
    </row>
    <row r="337" spans="1:8" x14ac:dyDescent="0.2">
      <c r="A337" t="str">
        <f>'Unformatted Trip Summary'!A335</f>
        <v>05 GISBORNE</v>
      </c>
      <c r="B337" t="str">
        <f>'Unformatted Trip Summary'!J335</f>
        <v>2032/33</v>
      </c>
      <c r="C337" t="str">
        <f>'Unformatted Trip Summary'!I335</f>
        <v>Light Vehicle Driver</v>
      </c>
      <c r="D337">
        <f>'Unformatted Trip Summary'!D335</f>
        <v>319</v>
      </c>
      <c r="E337">
        <f>'Unformatted Trip Summary'!E335</f>
        <v>2307</v>
      </c>
      <c r="F337" s="1">
        <f>'Unformatted Trip Summary'!F335</f>
        <v>28.121178266000001</v>
      </c>
      <c r="G337" s="1">
        <f>'Unformatted Trip Summary'!G335</f>
        <v>245.75296420999999</v>
      </c>
      <c r="H337" s="1">
        <f>'Unformatted Trip Summary'!H335</f>
        <v>6.1249258626999996</v>
      </c>
    </row>
    <row r="338" spans="1:8" x14ac:dyDescent="0.2">
      <c r="A338" t="str">
        <f>'Unformatted Trip Summary'!A336</f>
        <v>05 GISBORNE</v>
      </c>
      <c r="B338" t="str">
        <f>'Unformatted Trip Summary'!J336</f>
        <v>2037/38</v>
      </c>
      <c r="C338" t="str">
        <f>'Unformatted Trip Summary'!I336</f>
        <v>Light Vehicle Driver</v>
      </c>
      <c r="D338">
        <f>'Unformatted Trip Summary'!D336</f>
        <v>319</v>
      </c>
      <c r="E338">
        <f>'Unformatted Trip Summary'!E336</f>
        <v>2307</v>
      </c>
      <c r="F338" s="1">
        <f>'Unformatted Trip Summary'!F336</f>
        <v>27.646499775999999</v>
      </c>
      <c r="G338" s="1">
        <f>'Unformatted Trip Summary'!G336</f>
        <v>243.45413425999999</v>
      </c>
      <c r="H338" s="1">
        <f>'Unformatted Trip Summary'!H336</f>
        <v>6.0673329263999998</v>
      </c>
    </row>
    <row r="339" spans="1:8" x14ac:dyDescent="0.2">
      <c r="A339" t="str">
        <f>'Unformatted Trip Summary'!A337</f>
        <v>05 GISBORNE</v>
      </c>
      <c r="B339" t="str">
        <f>'Unformatted Trip Summary'!J337</f>
        <v>2042/43</v>
      </c>
      <c r="C339" t="str">
        <f>'Unformatted Trip Summary'!I337</f>
        <v>Light Vehicle Driver</v>
      </c>
      <c r="D339">
        <f>'Unformatted Trip Summary'!D337</f>
        <v>319</v>
      </c>
      <c r="E339">
        <f>'Unformatted Trip Summary'!E337</f>
        <v>2307</v>
      </c>
      <c r="F339" s="1">
        <f>'Unformatted Trip Summary'!F337</f>
        <v>27.109909185999999</v>
      </c>
      <c r="G339" s="1">
        <f>'Unformatted Trip Summary'!G337</f>
        <v>240.38093218</v>
      </c>
      <c r="H339" s="1">
        <f>'Unformatted Trip Summary'!H337</f>
        <v>5.9964062882000002</v>
      </c>
    </row>
    <row r="340" spans="1:8" x14ac:dyDescent="0.2">
      <c r="A340" t="str">
        <f>'Unformatted Trip Summary'!A338</f>
        <v>05 GISBORNE</v>
      </c>
      <c r="B340" t="str">
        <f>'Unformatted Trip Summary'!J338</f>
        <v>2012/13</v>
      </c>
      <c r="C340" t="str">
        <f>'Unformatted Trip Summary'!I338</f>
        <v>Light Vehicle Passenger</v>
      </c>
      <c r="D340">
        <f>'Unformatted Trip Summary'!D338</f>
        <v>278</v>
      </c>
      <c r="E340">
        <f>'Unformatted Trip Summary'!E338</f>
        <v>1431</v>
      </c>
      <c r="F340" s="1">
        <f>'Unformatted Trip Summary'!F338</f>
        <v>18.791024854</v>
      </c>
      <c r="G340" s="1">
        <f>'Unformatted Trip Summary'!G338</f>
        <v>174.74236519999999</v>
      </c>
      <c r="H340" s="1">
        <f>'Unformatted Trip Summary'!H338</f>
        <v>4.5909579553000004</v>
      </c>
    </row>
    <row r="341" spans="1:8" x14ac:dyDescent="0.2">
      <c r="A341" t="str">
        <f>'Unformatted Trip Summary'!A339</f>
        <v>05 GISBORNE</v>
      </c>
      <c r="B341" t="str">
        <f>'Unformatted Trip Summary'!J339</f>
        <v>2017/18</v>
      </c>
      <c r="C341" t="str">
        <f>'Unformatted Trip Summary'!I339</f>
        <v>Light Vehicle Passenger</v>
      </c>
      <c r="D341">
        <f>'Unformatted Trip Summary'!D339</f>
        <v>278</v>
      </c>
      <c r="E341">
        <f>'Unformatted Trip Summary'!E339</f>
        <v>1431</v>
      </c>
      <c r="F341" s="1">
        <f>'Unformatted Trip Summary'!F339</f>
        <v>17.509201803</v>
      </c>
      <c r="G341" s="1">
        <f>'Unformatted Trip Summary'!G339</f>
        <v>164.37102755000001</v>
      </c>
      <c r="H341" s="1">
        <f>'Unformatted Trip Summary'!H339</f>
        <v>4.3565148779999996</v>
      </c>
    </row>
    <row r="342" spans="1:8" x14ac:dyDescent="0.2">
      <c r="A342" t="str">
        <f>'Unformatted Trip Summary'!A340</f>
        <v>05 GISBORNE</v>
      </c>
      <c r="B342" t="str">
        <f>'Unformatted Trip Summary'!J340</f>
        <v>2022/23</v>
      </c>
      <c r="C342" t="str">
        <f>'Unformatted Trip Summary'!I340</f>
        <v>Light Vehicle Passenger</v>
      </c>
      <c r="D342">
        <f>'Unformatted Trip Summary'!D340</f>
        <v>278</v>
      </c>
      <c r="E342">
        <f>'Unformatted Trip Summary'!E340</f>
        <v>1431</v>
      </c>
      <c r="F342" s="1">
        <f>'Unformatted Trip Summary'!F340</f>
        <v>16.401976054999999</v>
      </c>
      <c r="G342" s="1">
        <f>'Unformatted Trip Summary'!G340</f>
        <v>155.63407165999999</v>
      </c>
      <c r="H342" s="1">
        <f>'Unformatted Trip Summary'!H340</f>
        <v>4.1419480037999996</v>
      </c>
    </row>
    <row r="343" spans="1:8" x14ac:dyDescent="0.2">
      <c r="A343" t="str">
        <f>'Unformatted Trip Summary'!A341</f>
        <v>05 GISBORNE</v>
      </c>
      <c r="B343" t="str">
        <f>'Unformatted Trip Summary'!J341</f>
        <v>2027/28</v>
      </c>
      <c r="C343" t="str">
        <f>'Unformatted Trip Summary'!I341</f>
        <v>Light Vehicle Passenger</v>
      </c>
      <c r="D343">
        <f>'Unformatted Trip Summary'!D341</f>
        <v>278</v>
      </c>
      <c r="E343">
        <f>'Unformatted Trip Summary'!E341</f>
        <v>1431</v>
      </c>
      <c r="F343" s="1">
        <f>'Unformatted Trip Summary'!F341</f>
        <v>15.419976277</v>
      </c>
      <c r="G343" s="1">
        <f>'Unformatted Trip Summary'!G341</f>
        <v>148.26253584</v>
      </c>
      <c r="H343" s="1">
        <f>'Unformatted Trip Summary'!H341</f>
        <v>3.9422345055000001</v>
      </c>
    </row>
    <row r="344" spans="1:8" x14ac:dyDescent="0.2">
      <c r="A344" t="str">
        <f>'Unformatted Trip Summary'!A342</f>
        <v>05 GISBORNE</v>
      </c>
      <c r="B344" t="str">
        <f>'Unformatted Trip Summary'!J342</f>
        <v>2032/33</v>
      </c>
      <c r="C344" t="str">
        <f>'Unformatted Trip Summary'!I342</f>
        <v>Light Vehicle Passenger</v>
      </c>
      <c r="D344">
        <f>'Unformatted Trip Summary'!D342</f>
        <v>278</v>
      </c>
      <c r="E344">
        <f>'Unformatted Trip Summary'!E342</f>
        <v>1431</v>
      </c>
      <c r="F344" s="1">
        <f>'Unformatted Trip Summary'!F342</f>
        <v>14.522580057000001</v>
      </c>
      <c r="G344" s="1">
        <f>'Unformatted Trip Summary'!G342</f>
        <v>139.59158424</v>
      </c>
      <c r="H344" s="1">
        <f>'Unformatted Trip Summary'!H342</f>
        <v>3.7163157827000002</v>
      </c>
    </row>
    <row r="345" spans="1:8" x14ac:dyDescent="0.2">
      <c r="A345" t="str">
        <f>'Unformatted Trip Summary'!A343</f>
        <v>05 GISBORNE</v>
      </c>
      <c r="B345" t="str">
        <f>'Unformatted Trip Summary'!J343</f>
        <v>2037/38</v>
      </c>
      <c r="C345" t="str">
        <f>'Unformatted Trip Summary'!I343</f>
        <v>Light Vehicle Passenger</v>
      </c>
      <c r="D345">
        <f>'Unformatted Trip Summary'!D343</f>
        <v>278</v>
      </c>
      <c r="E345">
        <f>'Unformatted Trip Summary'!E343</f>
        <v>1431</v>
      </c>
      <c r="F345" s="1">
        <f>'Unformatted Trip Summary'!F343</f>
        <v>13.817559822</v>
      </c>
      <c r="G345" s="1">
        <f>'Unformatted Trip Summary'!G343</f>
        <v>132.46024281000001</v>
      </c>
      <c r="H345" s="1">
        <f>'Unformatted Trip Summary'!H343</f>
        <v>3.5542546963000001</v>
      </c>
    </row>
    <row r="346" spans="1:8" x14ac:dyDescent="0.2">
      <c r="A346" t="str">
        <f>'Unformatted Trip Summary'!A344</f>
        <v>05 GISBORNE</v>
      </c>
      <c r="B346" t="str">
        <f>'Unformatted Trip Summary'!J344</f>
        <v>2042/43</v>
      </c>
      <c r="C346" t="str">
        <f>'Unformatted Trip Summary'!I344</f>
        <v>Light Vehicle Passenger</v>
      </c>
      <c r="D346">
        <f>'Unformatted Trip Summary'!D344</f>
        <v>278</v>
      </c>
      <c r="E346">
        <f>'Unformatted Trip Summary'!E344</f>
        <v>1431</v>
      </c>
      <c r="F346" s="1">
        <f>'Unformatted Trip Summary'!F344</f>
        <v>13.118438191999999</v>
      </c>
      <c r="G346" s="1">
        <f>'Unformatted Trip Summary'!G344</f>
        <v>125.51128602999999</v>
      </c>
      <c r="H346" s="1">
        <f>'Unformatted Trip Summary'!H344</f>
        <v>3.3999913052999999</v>
      </c>
    </row>
    <row r="347" spans="1:8" x14ac:dyDescent="0.2">
      <c r="A347" t="str">
        <f>'Unformatted Trip Summary'!A345</f>
        <v>05 GISBORNE</v>
      </c>
      <c r="B347" t="str">
        <f>'Unformatted Trip Summary'!J345</f>
        <v>2012/13</v>
      </c>
      <c r="C347" t="str">
        <f>'Unformatted Trip Summary'!I345</f>
        <v>Taxi/Vehicle Share</v>
      </c>
      <c r="D347">
        <f>'Unformatted Trip Summary'!D345</f>
        <v>2</v>
      </c>
      <c r="E347">
        <f>'Unformatted Trip Summary'!E345</f>
        <v>2</v>
      </c>
      <c r="F347" s="1">
        <f>'Unformatted Trip Summary'!F345</f>
        <v>2.27015811E-2</v>
      </c>
      <c r="G347" s="1">
        <f>'Unformatted Trip Summary'!G345</f>
        <v>0.1174510768</v>
      </c>
      <c r="H347" s="1">
        <f>'Unformatted Trip Summary'!H345</f>
        <v>5.0534828E-3</v>
      </c>
    </row>
    <row r="348" spans="1:8" x14ac:dyDescent="0.2">
      <c r="A348" t="str">
        <f>'Unformatted Trip Summary'!A346</f>
        <v>05 GISBORNE</v>
      </c>
      <c r="B348" t="str">
        <f>'Unformatted Trip Summary'!J346</f>
        <v>2017/18</v>
      </c>
      <c r="C348" t="str">
        <f>'Unformatted Trip Summary'!I346</f>
        <v>Taxi/Vehicle Share</v>
      </c>
      <c r="D348">
        <f>'Unformatted Trip Summary'!D346</f>
        <v>2</v>
      </c>
      <c r="E348">
        <f>'Unformatted Trip Summary'!E346</f>
        <v>2</v>
      </c>
      <c r="F348" s="1">
        <f>'Unformatted Trip Summary'!F346</f>
        <v>2.44828154E-2</v>
      </c>
      <c r="G348" s="1">
        <f>'Unformatted Trip Summary'!G346</f>
        <v>0.16236521579999999</v>
      </c>
      <c r="H348" s="1">
        <f>'Unformatted Trip Summary'!H346</f>
        <v>6.7867372000000002E-3</v>
      </c>
    </row>
    <row r="349" spans="1:8" x14ac:dyDescent="0.2">
      <c r="A349" t="str">
        <f>'Unformatted Trip Summary'!A347</f>
        <v>05 GISBORNE</v>
      </c>
      <c r="B349" t="str">
        <f>'Unformatted Trip Summary'!J347</f>
        <v>2022/23</v>
      </c>
      <c r="C349" t="str">
        <f>'Unformatted Trip Summary'!I347</f>
        <v>Taxi/Vehicle Share</v>
      </c>
      <c r="D349">
        <f>'Unformatted Trip Summary'!D347</f>
        <v>2</v>
      </c>
      <c r="E349">
        <f>'Unformatted Trip Summary'!E347</f>
        <v>2</v>
      </c>
      <c r="F349" s="1">
        <f>'Unformatted Trip Summary'!F347</f>
        <v>2.8913963300000001E-2</v>
      </c>
      <c r="G349" s="1">
        <f>'Unformatted Trip Summary'!G347</f>
        <v>0.2325307405</v>
      </c>
      <c r="H349" s="1">
        <f>'Unformatted Trip Summary'!H347</f>
        <v>9.5420512999999998E-3</v>
      </c>
    </row>
    <row r="350" spans="1:8" x14ac:dyDescent="0.2">
      <c r="A350" t="str">
        <f>'Unformatted Trip Summary'!A348</f>
        <v>05 GISBORNE</v>
      </c>
      <c r="B350" t="str">
        <f>'Unformatted Trip Summary'!J348</f>
        <v>2027/28</v>
      </c>
      <c r="C350" t="str">
        <f>'Unformatted Trip Summary'!I348</f>
        <v>Taxi/Vehicle Share</v>
      </c>
      <c r="D350">
        <f>'Unformatted Trip Summary'!D348</f>
        <v>2</v>
      </c>
      <c r="E350">
        <f>'Unformatted Trip Summary'!E348</f>
        <v>2</v>
      </c>
      <c r="F350" s="1">
        <f>'Unformatted Trip Summary'!F348</f>
        <v>3.6333705600000002E-2</v>
      </c>
      <c r="G350" s="1">
        <f>'Unformatted Trip Summary'!G348</f>
        <v>0.33604516559999997</v>
      </c>
      <c r="H350" s="1">
        <f>'Unformatted Trip Summary'!H348</f>
        <v>1.36324181E-2</v>
      </c>
    </row>
    <row r="351" spans="1:8" x14ac:dyDescent="0.2">
      <c r="A351" t="str">
        <f>'Unformatted Trip Summary'!A349</f>
        <v>05 GISBORNE</v>
      </c>
      <c r="B351" t="str">
        <f>'Unformatted Trip Summary'!J349</f>
        <v>2032/33</v>
      </c>
      <c r="C351" t="str">
        <f>'Unformatted Trip Summary'!I349</f>
        <v>Taxi/Vehicle Share</v>
      </c>
      <c r="D351">
        <f>'Unformatted Trip Summary'!D349</f>
        <v>2</v>
      </c>
      <c r="E351">
        <f>'Unformatted Trip Summary'!E349</f>
        <v>2</v>
      </c>
      <c r="F351" s="1">
        <f>'Unformatted Trip Summary'!F349</f>
        <v>4.3758269699999998E-2</v>
      </c>
      <c r="G351" s="1">
        <f>'Unformatted Trip Summary'!G349</f>
        <v>0.44887741889999999</v>
      </c>
      <c r="H351" s="1">
        <f>'Unformatted Trip Summary'!H349</f>
        <v>1.8071832699999998E-2</v>
      </c>
    </row>
    <row r="352" spans="1:8" x14ac:dyDescent="0.2">
      <c r="A352" t="str">
        <f>'Unformatted Trip Summary'!A350</f>
        <v>05 GISBORNE</v>
      </c>
      <c r="B352" t="str">
        <f>'Unformatted Trip Summary'!J350</f>
        <v>2037/38</v>
      </c>
      <c r="C352" t="str">
        <f>'Unformatted Trip Summary'!I350</f>
        <v>Taxi/Vehicle Share</v>
      </c>
      <c r="D352">
        <f>'Unformatted Trip Summary'!D350</f>
        <v>2</v>
      </c>
      <c r="E352">
        <f>'Unformatted Trip Summary'!E350</f>
        <v>2</v>
      </c>
      <c r="F352" s="1">
        <f>'Unformatted Trip Summary'!F350</f>
        <v>4.9484436600000001E-2</v>
      </c>
      <c r="G352" s="1">
        <f>'Unformatted Trip Summary'!G350</f>
        <v>0.5283648675</v>
      </c>
      <c r="H352" s="1">
        <f>'Unformatted Trip Summary'!H350</f>
        <v>2.1213601799999999E-2</v>
      </c>
    </row>
    <row r="353" spans="1:8" x14ac:dyDescent="0.2">
      <c r="A353" t="str">
        <f>'Unformatted Trip Summary'!A351</f>
        <v>05 GISBORNE</v>
      </c>
      <c r="B353" t="str">
        <f>'Unformatted Trip Summary'!J351</f>
        <v>2042/43</v>
      </c>
      <c r="C353" t="str">
        <f>'Unformatted Trip Summary'!I351</f>
        <v>Taxi/Vehicle Share</v>
      </c>
      <c r="D353">
        <f>'Unformatted Trip Summary'!D351</f>
        <v>2</v>
      </c>
      <c r="E353">
        <f>'Unformatted Trip Summary'!E351</f>
        <v>2</v>
      </c>
      <c r="F353" s="1">
        <f>'Unformatted Trip Summary'!F351</f>
        <v>5.6081116600000001E-2</v>
      </c>
      <c r="G353" s="1">
        <f>'Unformatted Trip Summary'!G351</f>
        <v>0.62030354070000004</v>
      </c>
      <c r="H353" s="1">
        <f>'Unformatted Trip Summary'!H351</f>
        <v>2.4846745900000002E-2</v>
      </c>
    </row>
    <row r="354" spans="1:8" x14ac:dyDescent="0.2">
      <c r="A354" t="str">
        <f>'Unformatted Trip Summary'!A352</f>
        <v>05 GISBORNE</v>
      </c>
      <c r="B354" t="str">
        <f>'Unformatted Trip Summary'!J352</f>
        <v>2012/13</v>
      </c>
      <c r="C354" t="str">
        <f>'Unformatted Trip Summary'!I352</f>
        <v>Motorcyclist</v>
      </c>
      <c r="D354">
        <f>'Unformatted Trip Summary'!D352</f>
        <v>3</v>
      </c>
      <c r="E354">
        <f>'Unformatted Trip Summary'!E352</f>
        <v>16</v>
      </c>
      <c r="F354" s="1">
        <f>'Unformatted Trip Summary'!F352</f>
        <v>0.20072163900000001</v>
      </c>
      <c r="G354" s="1">
        <f>'Unformatted Trip Summary'!G352</f>
        <v>0.95186353219999997</v>
      </c>
      <c r="H354" s="1">
        <f>'Unformatted Trip Summary'!H352</f>
        <v>4.6418087199999999E-2</v>
      </c>
    </row>
    <row r="355" spans="1:8" x14ac:dyDescent="0.2">
      <c r="A355" t="str">
        <f>'Unformatted Trip Summary'!A353</f>
        <v>05 GISBORNE</v>
      </c>
      <c r="B355" t="str">
        <f>'Unformatted Trip Summary'!J353</f>
        <v>2017/18</v>
      </c>
      <c r="C355" t="str">
        <f>'Unformatted Trip Summary'!I353</f>
        <v>Motorcyclist</v>
      </c>
      <c r="D355">
        <f>'Unformatted Trip Summary'!D353</f>
        <v>3</v>
      </c>
      <c r="E355">
        <f>'Unformatted Trip Summary'!E353</f>
        <v>16</v>
      </c>
      <c r="F355" s="1">
        <f>'Unformatted Trip Summary'!F353</f>
        <v>0.20011529810000001</v>
      </c>
      <c r="G355" s="1">
        <f>'Unformatted Trip Summary'!G353</f>
        <v>0.97544022939999997</v>
      </c>
      <c r="H355" s="1">
        <f>'Unformatted Trip Summary'!H353</f>
        <v>4.6325207299999997E-2</v>
      </c>
    </row>
    <row r="356" spans="1:8" x14ac:dyDescent="0.2">
      <c r="A356" t="str">
        <f>'Unformatted Trip Summary'!A354</f>
        <v>05 GISBORNE</v>
      </c>
      <c r="B356" t="str">
        <f>'Unformatted Trip Summary'!J354</f>
        <v>2022/23</v>
      </c>
      <c r="C356" t="str">
        <f>'Unformatted Trip Summary'!I354</f>
        <v>Motorcyclist</v>
      </c>
      <c r="D356">
        <f>'Unformatted Trip Summary'!D354</f>
        <v>3</v>
      </c>
      <c r="E356">
        <f>'Unformatted Trip Summary'!E354</f>
        <v>16</v>
      </c>
      <c r="F356" s="1">
        <f>'Unformatted Trip Summary'!F354</f>
        <v>0.18921009920000001</v>
      </c>
      <c r="G356" s="1">
        <f>'Unformatted Trip Summary'!G354</f>
        <v>0.94498969830000001</v>
      </c>
      <c r="H356" s="1">
        <f>'Unformatted Trip Summary'!H354</f>
        <v>4.3856214800000001E-2</v>
      </c>
    </row>
    <row r="357" spans="1:8" x14ac:dyDescent="0.2">
      <c r="A357" t="str">
        <f>'Unformatted Trip Summary'!A355</f>
        <v>05 GISBORNE</v>
      </c>
      <c r="B357" t="str">
        <f>'Unformatted Trip Summary'!J355</f>
        <v>2027/28</v>
      </c>
      <c r="C357" t="str">
        <f>'Unformatted Trip Summary'!I355</f>
        <v>Motorcyclist</v>
      </c>
      <c r="D357">
        <f>'Unformatted Trip Summary'!D355</f>
        <v>3</v>
      </c>
      <c r="E357">
        <f>'Unformatted Trip Summary'!E355</f>
        <v>16</v>
      </c>
      <c r="F357" s="1">
        <f>'Unformatted Trip Summary'!F355</f>
        <v>0.1751730246</v>
      </c>
      <c r="G357" s="1">
        <f>'Unformatted Trip Summary'!G355</f>
        <v>0.89218041510000001</v>
      </c>
      <c r="H357" s="1">
        <f>'Unformatted Trip Summary'!H355</f>
        <v>4.0851320500000003E-2</v>
      </c>
    </row>
    <row r="358" spans="1:8" x14ac:dyDescent="0.2">
      <c r="A358" t="str">
        <f>'Unformatted Trip Summary'!A356</f>
        <v>05 GISBORNE</v>
      </c>
      <c r="B358" t="str">
        <f>'Unformatted Trip Summary'!J356</f>
        <v>2032/33</v>
      </c>
      <c r="C358" t="str">
        <f>'Unformatted Trip Summary'!I356</f>
        <v>Motorcyclist</v>
      </c>
      <c r="D358">
        <f>'Unformatted Trip Summary'!D356</f>
        <v>3</v>
      </c>
      <c r="E358">
        <f>'Unformatted Trip Summary'!E356</f>
        <v>16</v>
      </c>
      <c r="F358" s="1">
        <f>'Unformatted Trip Summary'!F356</f>
        <v>0.16242442469999999</v>
      </c>
      <c r="G358" s="1">
        <f>'Unformatted Trip Summary'!G356</f>
        <v>0.82323159990000006</v>
      </c>
      <c r="H358" s="1">
        <f>'Unformatted Trip Summary'!H356</f>
        <v>3.8047514300000002E-2</v>
      </c>
    </row>
    <row r="359" spans="1:8" x14ac:dyDescent="0.2">
      <c r="A359" t="str">
        <f>'Unformatted Trip Summary'!A357</f>
        <v>05 GISBORNE</v>
      </c>
      <c r="B359" t="str">
        <f>'Unformatted Trip Summary'!J357</f>
        <v>2037/38</v>
      </c>
      <c r="C359" t="str">
        <f>'Unformatted Trip Summary'!I357</f>
        <v>Motorcyclist</v>
      </c>
      <c r="D359">
        <f>'Unformatted Trip Summary'!D357</f>
        <v>3</v>
      </c>
      <c r="E359">
        <f>'Unformatted Trip Summary'!E357</f>
        <v>16</v>
      </c>
      <c r="F359" s="1">
        <f>'Unformatted Trip Summary'!F357</f>
        <v>0.15276950610000001</v>
      </c>
      <c r="G359" s="1">
        <f>'Unformatted Trip Summary'!G357</f>
        <v>0.75770159410000004</v>
      </c>
      <c r="H359" s="1">
        <f>'Unformatted Trip Summary'!H357</f>
        <v>3.5876436999999997E-2</v>
      </c>
    </row>
    <row r="360" spans="1:8" x14ac:dyDescent="0.2">
      <c r="A360" t="str">
        <f>'Unformatted Trip Summary'!A358</f>
        <v>05 GISBORNE</v>
      </c>
      <c r="B360" t="str">
        <f>'Unformatted Trip Summary'!J358</f>
        <v>2042/43</v>
      </c>
      <c r="C360" t="str">
        <f>'Unformatted Trip Summary'!I358</f>
        <v>Motorcyclist</v>
      </c>
      <c r="D360">
        <f>'Unformatted Trip Summary'!D358</f>
        <v>3</v>
      </c>
      <c r="E360">
        <f>'Unformatted Trip Summary'!E358</f>
        <v>16</v>
      </c>
      <c r="F360" s="1">
        <f>'Unformatted Trip Summary'!F358</f>
        <v>0.14246196180000001</v>
      </c>
      <c r="G360" s="1">
        <f>'Unformatted Trip Summary'!G358</f>
        <v>0.69292214129999996</v>
      </c>
      <c r="H360" s="1">
        <f>'Unformatted Trip Summary'!H358</f>
        <v>3.3546605600000001E-2</v>
      </c>
    </row>
    <row r="361" spans="1:8" x14ac:dyDescent="0.2">
      <c r="A361" t="str">
        <f>'Unformatted Trip Summary'!A359</f>
        <v>05 GISBORNE</v>
      </c>
      <c r="B361" t="str">
        <f>'Unformatted Trip Summary'!J359</f>
        <v>2012/13</v>
      </c>
      <c r="C361" t="str">
        <f>'Unformatted Trip Summary'!I359</f>
        <v>Local Train</v>
      </c>
      <c r="D361">
        <f>'Unformatted Trip Summary'!D359</f>
        <v>1</v>
      </c>
      <c r="E361">
        <f>'Unformatted Trip Summary'!E359</f>
        <v>3</v>
      </c>
      <c r="F361" s="1">
        <f>'Unformatted Trip Summary'!F359</f>
        <v>2.2764127700000001E-2</v>
      </c>
      <c r="G361" s="1">
        <f>'Unformatted Trip Summary'!G359</f>
        <v>0</v>
      </c>
      <c r="H361" s="1">
        <f>'Unformatted Trip Summary'!H359</f>
        <v>2.5293475000000001E-3</v>
      </c>
    </row>
    <row r="362" spans="1:8" x14ac:dyDescent="0.2">
      <c r="A362" t="str">
        <f>'Unformatted Trip Summary'!A360</f>
        <v>05 GISBORNE</v>
      </c>
      <c r="B362" t="str">
        <f>'Unformatted Trip Summary'!J360</f>
        <v>2017/18</v>
      </c>
      <c r="C362" t="str">
        <f>'Unformatted Trip Summary'!I360</f>
        <v>Local Train</v>
      </c>
      <c r="D362">
        <f>'Unformatted Trip Summary'!D360</f>
        <v>1</v>
      </c>
      <c r="E362">
        <f>'Unformatted Trip Summary'!E360</f>
        <v>3</v>
      </c>
      <c r="F362" s="1">
        <f>'Unformatted Trip Summary'!F360</f>
        <v>3.3968115899999998E-2</v>
      </c>
      <c r="G362" s="1">
        <f>'Unformatted Trip Summary'!G360</f>
        <v>0</v>
      </c>
      <c r="H362" s="1">
        <f>'Unformatted Trip Summary'!H360</f>
        <v>3.7713642000000002E-3</v>
      </c>
    </row>
    <row r="363" spans="1:8" x14ac:dyDescent="0.2">
      <c r="A363" t="str">
        <f>'Unformatted Trip Summary'!A361</f>
        <v>05 GISBORNE</v>
      </c>
      <c r="B363" t="str">
        <f>'Unformatted Trip Summary'!J361</f>
        <v>2022/23</v>
      </c>
      <c r="C363" t="str">
        <f>'Unformatted Trip Summary'!I361</f>
        <v>Local Train</v>
      </c>
      <c r="D363">
        <f>'Unformatted Trip Summary'!D361</f>
        <v>1</v>
      </c>
      <c r="E363">
        <f>'Unformatted Trip Summary'!E361</f>
        <v>3</v>
      </c>
      <c r="F363" s="1">
        <f>'Unformatted Trip Summary'!F361</f>
        <v>5.0797137899999997E-2</v>
      </c>
      <c r="G363" s="1">
        <f>'Unformatted Trip Summary'!G361</f>
        <v>0</v>
      </c>
      <c r="H363" s="1">
        <f>'Unformatted Trip Summary'!H361</f>
        <v>5.6363867999999996E-3</v>
      </c>
    </row>
    <row r="364" spans="1:8" x14ac:dyDescent="0.2">
      <c r="A364" t="str">
        <f>'Unformatted Trip Summary'!A362</f>
        <v>05 GISBORNE</v>
      </c>
      <c r="B364" t="str">
        <f>'Unformatted Trip Summary'!J362</f>
        <v>2027/28</v>
      </c>
      <c r="C364" t="str">
        <f>'Unformatted Trip Summary'!I362</f>
        <v>Local Train</v>
      </c>
      <c r="D364">
        <f>'Unformatted Trip Summary'!D362</f>
        <v>1</v>
      </c>
      <c r="E364">
        <f>'Unformatted Trip Summary'!E362</f>
        <v>3</v>
      </c>
      <c r="F364" s="1">
        <f>'Unformatted Trip Summary'!F362</f>
        <v>7.5048004099999996E-2</v>
      </c>
      <c r="G364" s="1">
        <f>'Unformatted Trip Summary'!G362</f>
        <v>0</v>
      </c>
      <c r="H364" s="1">
        <f>'Unformatted Trip Summary'!H362</f>
        <v>8.3205395999999994E-3</v>
      </c>
    </row>
    <row r="365" spans="1:8" x14ac:dyDescent="0.2">
      <c r="A365" t="str">
        <f>'Unformatted Trip Summary'!A363</f>
        <v>05 GISBORNE</v>
      </c>
      <c r="B365" t="str">
        <f>'Unformatted Trip Summary'!J363</f>
        <v>2032/33</v>
      </c>
      <c r="C365" t="str">
        <f>'Unformatted Trip Summary'!I363</f>
        <v>Local Train</v>
      </c>
      <c r="D365">
        <f>'Unformatted Trip Summary'!D363</f>
        <v>1</v>
      </c>
      <c r="E365">
        <f>'Unformatted Trip Summary'!E363</f>
        <v>3</v>
      </c>
      <c r="F365" s="1">
        <f>'Unformatted Trip Summary'!F363</f>
        <v>0.1014276828</v>
      </c>
      <c r="G365" s="1">
        <f>'Unformatted Trip Summary'!G363</f>
        <v>0</v>
      </c>
      <c r="H365" s="1">
        <f>'Unformatted Trip Summary'!H363</f>
        <v>1.1235929299999999E-2</v>
      </c>
    </row>
    <row r="366" spans="1:8" x14ac:dyDescent="0.2">
      <c r="A366" t="str">
        <f>'Unformatted Trip Summary'!A364</f>
        <v>05 GISBORNE</v>
      </c>
      <c r="B366" t="str">
        <f>'Unformatted Trip Summary'!J364</f>
        <v>2037/38</v>
      </c>
      <c r="C366" t="str">
        <f>'Unformatted Trip Summary'!I364</f>
        <v>Local Train</v>
      </c>
      <c r="D366">
        <f>'Unformatted Trip Summary'!D364</f>
        <v>1</v>
      </c>
      <c r="E366">
        <f>'Unformatted Trip Summary'!E364</f>
        <v>3</v>
      </c>
      <c r="F366" s="1">
        <f>'Unformatted Trip Summary'!F364</f>
        <v>0.1195365273</v>
      </c>
      <c r="G366" s="1">
        <f>'Unformatted Trip Summary'!G364</f>
        <v>0</v>
      </c>
      <c r="H366" s="1">
        <f>'Unformatted Trip Summary'!H364</f>
        <v>1.3233076E-2</v>
      </c>
    </row>
    <row r="367" spans="1:8" x14ac:dyDescent="0.2">
      <c r="A367" t="str">
        <f>'Unformatted Trip Summary'!A365</f>
        <v>05 GISBORNE</v>
      </c>
      <c r="B367" t="str">
        <f>'Unformatted Trip Summary'!J365</f>
        <v>2042/43</v>
      </c>
      <c r="C367" t="str">
        <f>'Unformatted Trip Summary'!I365</f>
        <v>Local Train</v>
      </c>
      <c r="D367">
        <f>'Unformatted Trip Summary'!D365</f>
        <v>1</v>
      </c>
      <c r="E367">
        <f>'Unformatted Trip Summary'!E365</f>
        <v>3</v>
      </c>
      <c r="F367" s="1">
        <f>'Unformatted Trip Summary'!F365</f>
        <v>0.1401514828</v>
      </c>
      <c r="G367" s="1">
        <f>'Unformatted Trip Summary'!G365</f>
        <v>0</v>
      </c>
      <c r="H367" s="1">
        <f>'Unformatted Trip Summary'!H365</f>
        <v>1.5501603399999999E-2</v>
      </c>
    </row>
    <row r="368" spans="1:8" x14ac:dyDescent="0.2">
      <c r="A368" t="str">
        <f>'Unformatted Trip Summary'!A366</f>
        <v>05 GISBORNE</v>
      </c>
      <c r="B368" t="str">
        <f>'Unformatted Trip Summary'!J366</f>
        <v>2012/13</v>
      </c>
      <c r="C368" t="str">
        <f>'Unformatted Trip Summary'!I366</f>
        <v>Local Bus</v>
      </c>
      <c r="D368">
        <f>'Unformatted Trip Summary'!D366</f>
        <v>18</v>
      </c>
      <c r="E368">
        <f>'Unformatted Trip Summary'!E366</f>
        <v>34</v>
      </c>
      <c r="F368" s="1">
        <f>'Unformatted Trip Summary'!F366</f>
        <v>0.39415976190000002</v>
      </c>
      <c r="G368" s="1">
        <f>'Unformatted Trip Summary'!G366</f>
        <v>4.8778387282000004</v>
      </c>
      <c r="H368" s="1">
        <f>'Unformatted Trip Summary'!H366</f>
        <v>0.17812381360000001</v>
      </c>
    </row>
    <row r="369" spans="1:8" x14ac:dyDescent="0.2">
      <c r="A369" t="str">
        <f>'Unformatted Trip Summary'!A367</f>
        <v>05 GISBORNE</v>
      </c>
      <c r="B369" t="str">
        <f>'Unformatted Trip Summary'!J367</f>
        <v>2017/18</v>
      </c>
      <c r="C369" t="str">
        <f>'Unformatted Trip Summary'!I367</f>
        <v>Local Bus</v>
      </c>
      <c r="D369">
        <f>'Unformatted Trip Summary'!D367</f>
        <v>18</v>
      </c>
      <c r="E369">
        <f>'Unformatted Trip Summary'!E367</f>
        <v>34</v>
      </c>
      <c r="F369" s="1">
        <f>'Unformatted Trip Summary'!F367</f>
        <v>0.3535702355</v>
      </c>
      <c r="G369" s="1">
        <f>'Unformatted Trip Summary'!G367</f>
        <v>4.3373156583999997</v>
      </c>
      <c r="H369" s="1">
        <f>'Unformatted Trip Summary'!H367</f>
        <v>0.159864122</v>
      </c>
    </row>
    <row r="370" spans="1:8" x14ac:dyDescent="0.2">
      <c r="A370" t="str">
        <f>'Unformatted Trip Summary'!A368</f>
        <v>05 GISBORNE</v>
      </c>
      <c r="B370" t="str">
        <f>'Unformatted Trip Summary'!J368</f>
        <v>2022/23</v>
      </c>
      <c r="C370" t="str">
        <f>'Unformatted Trip Summary'!I368</f>
        <v>Local Bus</v>
      </c>
      <c r="D370">
        <f>'Unformatted Trip Summary'!D368</f>
        <v>18</v>
      </c>
      <c r="E370">
        <f>'Unformatted Trip Summary'!E368</f>
        <v>34</v>
      </c>
      <c r="F370" s="1">
        <f>'Unformatted Trip Summary'!F368</f>
        <v>0.32973965570000002</v>
      </c>
      <c r="G370" s="1">
        <f>'Unformatted Trip Summary'!G368</f>
        <v>3.9663064626</v>
      </c>
      <c r="H370" s="1">
        <f>'Unformatted Trip Summary'!H368</f>
        <v>0.14935212389999999</v>
      </c>
    </row>
    <row r="371" spans="1:8" x14ac:dyDescent="0.2">
      <c r="A371" t="str">
        <f>'Unformatted Trip Summary'!A369</f>
        <v>05 GISBORNE</v>
      </c>
      <c r="B371" t="str">
        <f>'Unformatted Trip Summary'!J369</f>
        <v>2027/28</v>
      </c>
      <c r="C371" t="str">
        <f>'Unformatted Trip Summary'!I369</f>
        <v>Local Bus</v>
      </c>
      <c r="D371">
        <f>'Unformatted Trip Summary'!D369</f>
        <v>18</v>
      </c>
      <c r="E371">
        <f>'Unformatted Trip Summary'!E369</f>
        <v>34</v>
      </c>
      <c r="F371" s="1">
        <f>'Unformatted Trip Summary'!F369</f>
        <v>0.32487317999999998</v>
      </c>
      <c r="G371" s="1">
        <f>'Unformatted Trip Summary'!G369</f>
        <v>3.7064099867000002</v>
      </c>
      <c r="H371" s="1">
        <f>'Unformatted Trip Summary'!H369</f>
        <v>0.1464834823</v>
      </c>
    </row>
    <row r="372" spans="1:8" x14ac:dyDescent="0.2">
      <c r="A372" t="str">
        <f>'Unformatted Trip Summary'!A370</f>
        <v>05 GISBORNE</v>
      </c>
      <c r="B372" t="str">
        <f>'Unformatted Trip Summary'!J370</f>
        <v>2032/33</v>
      </c>
      <c r="C372" t="str">
        <f>'Unformatted Trip Summary'!I370</f>
        <v>Local Bus</v>
      </c>
      <c r="D372">
        <f>'Unformatted Trip Summary'!D370</f>
        <v>18</v>
      </c>
      <c r="E372">
        <f>'Unformatted Trip Summary'!E370</f>
        <v>34</v>
      </c>
      <c r="F372" s="1">
        <f>'Unformatted Trip Summary'!F370</f>
        <v>0.32425418550000001</v>
      </c>
      <c r="G372" s="1">
        <f>'Unformatted Trip Summary'!G370</f>
        <v>3.3067011892</v>
      </c>
      <c r="H372" s="1">
        <f>'Unformatted Trip Summary'!H370</f>
        <v>0.14347698119999999</v>
      </c>
    </row>
    <row r="373" spans="1:8" x14ac:dyDescent="0.2">
      <c r="A373" t="str">
        <f>'Unformatted Trip Summary'!A371</f>
        <v>05 GISBORNE</v>
      </c>
      <c r="B373" t="str">
        <f>'Unformatted Trip Summary'!J371</f>
        <v>2037/38</v>
      </c>
      <c r="C373" t="str">
        <f>'Unformatted Trip Summary'!I371</f>
        <v>Local Bus</v>
      </c>
      <c r="D373">
        <f>'Unformatted Trip Summary'!D371</f>
        <v>18</v>
      </c>
      <c r="E373">
        <f>'Unformatted Trip Summary'!E371</f>
        <v>34</v>
      </c>
      <c r="F373" s="1">
        <f>'Unformatted Trip Summary'!F371</f>
        <v>0.32155654039999998</v>
      </c>
      <c r="G373" s="1">
        <f>'Unformatted Trip Summary'!G371</f>
        <v>3.1261455210000002</v>
      </c>
      <c r="H373" s="1">
        <f>'Unformatted Trip Summary'!H371</f>
        <v>0.143610879</v>
      </c>
    </row>
    <row r="374" spans="1:8" x14ac:dyDescent="0.2">
      <c r="A374" t="str">
        <f>'Unformatted Trip Summary'!A372</f>
        <v>05 GISBORNE</v>
      </c>
      <c r="B374" t="str">
        <f>'Unformatted Trip Summary'!J372</f>
        <v>2042/43</v>
      </c>
      <c r="C374" t="str">
        <f>'Unformatted Trip Summary'!I372</f>
        <v>Local Bus</v>
      </c>
      <c r="D374">
        <f>'Unformatted Trip Summary'!D372</f>
        <v>18</v>
      </c>
      <c r="E374">
        <f>'Unformatted Trip Summary'!E372</f>
        <v>34</v>
      </c>
      <c r="F374" s="1">
        <f>'Unformatted Trip Summary'!F372</f>
        <v>0.32268776399999999</v>
      </c>
      <c r="G374" s="1">
        <f>'Unformatted Trip Summary'!G372</f>
        <v>2.9586368315999998</v>
      </c>
      <c r="H374" s="1">
        <f>'Unformatted Trip Summary'!H372</f>
        <v>0.14502625050000001</v>
      </c>
    </row>
    <row r="375" spans="1:8" x14ac:dyDescent="0.2">
      <c r="A375" t="str">
        <f>'Unformatted Trip Summary'!A373</f>
        <v>05 GISBORNE</v>
      </c>
      <c r="B375" t="str">
        <f>'Unformatted Trip Summary'!J373</f>
        <v>2012/13</v>
      </c>
      <c r="C375" t="str">
        <f>'Unformatted Trip Summary'!I373</f>
        <v>Local Ferry</v>
      </c>
      <c r="D375">
        <f>'Unformatted Trip Summary'!D373</f>
        <v>1</v>
      </c>
      <c r="E375">
        <f>'Unformatted Trip Summary'!E373</f>
        <v>2</v>
      </c>
      <c r="F375" s="1">
        <f>'Unformatted Trip Summary'!F373</f>
        <v>1.5651153399999999E-2</v>
      </c>
      <c r="G375" s="1">
        <f>'Unformatted Trip Summary'!G373</f>
        <v>0</v>
      </c>
      <c r="H375" s="1">
        <f>'Unformatted Trip Summary'!H373</f>
        <v>6.5213138999999998E-3</v>
      </c>
    </row>
    <row r="376" spans="1:8" x14ac:dyDescent="0.2">
      <c r="A376" t="str">
        <f>'Unformatted Trip Summary'!A374</f>
        <v>05 GISBORNE</v>
      </c>
      <c r="B376" t="str">
        <f>'Unformatted Trip Summary'!J374</f>
        <v>2017/18</v>
      </c>
      <c r="C376" t="str">
        <f>'Unformatted Trip Summary'!I374</f>
        <v>Local Ferry</v>
      </c>
      <c r="D376">
        <f>'Unformatted Trip Summary'!D374</f>
        <v>1</v>
      </c>
      <c r="E376">
        <f>'Unformatted Trip Summary'!E374</f>
        <v>2</v>
      </c>
      <c r="F376" s="1">
        <f>'Unformatted Trip Summary'!F374</f>
        <v>1.4907050599999999E-2</v>
      </c>
      <c r="G376" s="1">
        <f>'Unformatted Trip Summary'!G374</f>
        <v>0</v>
      </c>
      <c r="H376" s="1">
        <f>'Unformatted Trip Summary'!H374</f>
        <v>6.2112710999999996E-3</v>
      </c>
    </row>
    <row r="377" spans="1:8" x14ac:dyDescent="0.2">
      <c r="A377" t="str">
        <f>'Unformatted Trip Summary'!A375</f>
        <v>05 GISBORNE</v>
      </c>
      <c r="B377" t="str">
        <f>'Unformatted Trip Summary'!J375</f>
        <v>2022/23</v>
      </c>
      <c r="C377" t="str">
        <f>'Unformatted Trip Summary'!I375</f>
        <v>Local Ferry</v>
      </c>
      <c r="D377">
        <f>'Unformatted Trip Summary'!D375</f>
        <v>1</v>
      </c>
      <c r="E377">
        <f>'Unformatted Trip Summary'!E375</f>
        <v>2</v>
      </c>
      <c r="F377" s="1">
        <f>'Unformatted Trip Summary'!F375</f>
        <v>1.39811703E-2</v>
      </c>
      <c r="G377" s="1">
        <f>'Unformatted Trip Summary'!G375</f>
        <v>0</v>
      </c>
      <c r="H377" s="1">
        <f>'Unformatted Trip Summary'!H375</f>
        <v>5.8254876000000001E-3</v>
      </c>
    </row>
    <row r="378" spans="1:8" x14ac:dyDescent="0.2">
      <c r="A378" t="str">
        <f>'Unformatted Trip Summary'!A376</f>
        <v>05 GISBORNE</v>
      </c>
      <c r="B378" t="str">
        <f>'Unformatted Trip Summary'!J376</f>
        <v>2027/28</v>
      </c>
      <c r="C378" t="str">
        <f>'Unformatted Trip Summary'!I376</f>
        <v>Local Ferry</v>
      </c>
      <c r="D378">
        <f>'Unformatted Trip Summary'!D376</f>
        <v>1</v>
      </c>
      <c r="E378">
        <f>'Unformatted Trip Summary'!E376</f>
        <v>2</v>
      </c>
      <c r="F378" s="1">
        <f>'Unformatted Trip Summary'!F376</f>
        <v>1.3672536000000001E-2</v>
      </c>
      <c r="G378" s="1">
        <f>'Unformatted Trip Summary'!G376</f>
        <v>0</v>
      </c>
      <c r="H378" s="1">
        <f>'Unformatted Trip Summary'!H376</f>
        <v>5.6968899999999996E-3</v>
      </c>
    </row>
    <row r="379" spans="1:8" x14ac:dyDescent="0.2">
      <c r="A379" t="str">
        <f>'Unformatted Trip Summary'!A377</f>
        <v>05 GISBORNE</v>
      </c>
      <c r="B379" t="str">
        <f>'Unformatted Trip Summary'!J377</f>
        <v>2032/33</v>
      </c>
      <c r="C379" t="str">
        <f>'Unformatted Trip Summary'!I377</f>
        <v>Local Ferry</v>
      </c>
      <c r="D379">
        <f>'Unformatted Trip Summary'!D377</f>
        <v>1</v>
      </c>
      <c r="E379">
        <f>'Unformatted Trip Summary'!E377</f>
        <v>2</v>
      </c>
      <c r="F379" s="1">
        <f>'Unformatted Trip Summary'!F377</f>
        <v>1.5082007499999999E-2</v>
      </c>
      <c r="G379" s="1">
        <f>'Unformatted Trip Summary'!G377</f>
        <v>0</v>
      </c>
      <c r="H379" s="1">
        <f>'Unformatted Trip Summary'!H377</f>
        <v>6.2841698000000003E-3</v>
      </c>
    </row>
    <row r="380" spans="1:8" x14ac:dyDescent="0.2">
      <c r="A380" t="str">
        <f>'Unformatted Trip Summary'!A378</f>
        <v>05 GISBORNE</v>
      </c>
      <c r="B380" t="str">
        <f>'Unformatted Trip Summary'!J378</f>
        <v>2037/38</v>
      </c>
      <c r="C380" t="str">
        <f>'Unformatted Trip Summary'!I378</f>
        <v>Local Ferry</v>
      </c>
      <c r="D380">
        <f>'Unformatted Trip Summary'!D378</f>
        <v>1</v>
      </c>
      <c r="E380">
        <f>'Unformatted Trip Summary'!E378</f>
        <v>2</v>
      </c>
      <c r="F380" s="1">
        <f>'Unformatted Trip Summary'!F378</f>
        <v>1.7834836499999999E-2</v>
      </c>
      <c r="G380" s="1">
        <f>'Unformatted Trip Summary'!G378</f>
        <v>0</v>
      </c>
      <c r="H380" s="1">
        <f>'Unformatted Trip Summary'!H378</f>
        <v>7.4311819000000001E-3</v>
      </c>
    </row>
    <row r="381" spans="1:8" x14ac:dyDescent="0.2">
      <c r="A381" t="str">
        <f>'Unformatted Trip Summary'!A379</f>
        <v>05 GISBORNE</v>
      </c>
      <c r="B381" t="str">
        <f>'Unformatted Trip Summary'!J379</f>
        <v>2042/43</v>
      </c>
      <c r="C381" t="str">
        <f>'Unformatted Trip Summary'!I379</f>
        <v>Local Ferry</v>
      </c>
      <c r="D381">
        <f>'Unformatted Trip Summary'!D379</f>
        <v>1</v>
      </c>
      <c r="E381">
        <f>'Unformatted Trip Summary'!E379</f>
        <v>2</v>
      </c>
      <c r="F381" s="1">
        <f>'Unformatted Trip Summary'!F379</f>
        <v>2.0730339E-2</v>
      </c>
      <c r="G381" s="1">
        <f>'Unformatted Trip Summary'!G379</f>
        <v>0</v>
      </c>
      <c r="H381" s="1">
        <f>'Unformatted Trip Summary'!H379</f>
        <v>8.6376412000000007E-3</v>
      </c>
    </row>
    <row r="382" spans="1:8" x14ac:dyDescent="0.2">
      <c r="A382" t="str">
        <f>'Unformatted Trip Summary'!A380</f>
        <v>05 GISBORNE</v>
      </c>
      <c r="B382" t="str">
        <f>'Unformatted Trip Summary'!J380</f>
        <v>2012/13</v>
      </c>
      <c r="C382" t="str">
        <f>'Unformatted Trip Summary'!I380</f>
        <v>Other Household Travel</v>
      </c>
      <c r="D382">
        <f>'Unformatted Trip Summary'!D380</f>
        <v>1</v>
      </c>
      <c r="E382">
        <f>'Unformatted Trip Summary'!E380</f>
        <v>2</v>
      </c>
      <c r="F382" s="1">
        <f>'Unformatted Trip Summary'!F380</f>
        <v>3.13358953E-2</v>
      </c>
      <c r="G382" s="1">
        <f>'Unformatted Trip Summary'!G380</f>
        <v>0</v>
      </c>
      <c r="H382" s="1">
        <f>'Unformatted Trip Summary'!H380</f>
        <v>5.2226492000000003E-3</v>
      </c>
    </row>
    <row r="383" spans="1:8" x14ac:dyDescent="0.2">
      <c r="A383" t="str">
        <f>'Unformatted Trip Summary'!A381</f>
        <v>05 GISBORNE</v>
      </c>
      <c r="B383" t="str">
        <f>'Unformatted Trip Summary'!J381</f>
        <v>2017/18</v>
      </c>
      <c r="C383" t="str">
        <f>'Unformatted Trip Summary'!I381</f>
        <v>Other Household Travel</v>
      </c>
      <c r="D383">
        <f>'Unformatted Trip Summary'!D381</f>
        <v>1</v>
      </c>
      <c r="E383">
        <f>'Unformatted Trip Summary'!E381</f>
        <v>2</v>
      </c>
      <c r="F383" s="1">
        <f>'Unformatted Trip Summary'!F381</f>
        <v>2.6354931099999999E-2</v>
      </c>
      <c r="G383" s="1">
        <f>'Unformatted Trip Summary'!G381</f>
        <v>0</v>
      </c>
      <c r="H383" s="1">
        <f>'Unformatted Trip Summary'!H381</f>
        <v>4.3924884999999997E-3</v>
      </c>
    </row>
    <row r="384" spans="1:8" x14ac:dyDescent="0.2">
      <c r="A384" t="str">
        <f>'Unformatted Trip Summary'!A382</f>
        <v>05 GISBORNE</v>
      </c>
      <c r="B384" t="str">
        <f>'Unformatted Trip Summary'!J382</f>
        <v>2022/23</v>
      </c>
      <c r="C384" t="str">
        <f>'Unformatted Trip Summary'!I382</f>
        <v>Other Household Travel</v>
      </c>
      <c r="D384">
        <f>'Unformatted Trip Summary'!D382</f>
        <v>1</v>
      </c>
      <c r="E384">
        <f>'Unformatted Trip Summary'!E382</f>
        <v>2</v>
      </c>
      <c r="F384" s="1">
        <f>'Unformatted Trip Summary'!F382</f>
        <v>1.9835706299999999E-2</v>
      </c>
      <c r="G384" s="1">
        <f>'Unformatted Trip Summary'!G382</f>
        <v>0</v>
      </c>
      <c r="H384" s="1">
        <f>'Unformatted Trip Summary'!H382</f>
        <v>3.3059511000000001E-3</v>
      </c>
    </row>
    <row r="385" spans="1:8" x14ac:dyDescent="0.2">
      <c r="A385" t="str">
        <f>'Unformatted Trip Summary'!A383</f>
        <v>05 GISBORNE</v>
      </c>
      <c r="B385" t="str">
        <f>'Unformatted Trip Summary'!J383</f>
        <v>2027/28</v>
      </c>
      <c r="C385" t="str">
        <f>'Unformatted Trip Summary'!I383</f>
        <v>Other Household Travel</v>
      </c>
      <c r="D385">
        <f>'Unformatted Trip Summary'!D383</f>
        <v>1</v>
      </c>
      <c r="E385">
        <f>'Unformatted Trip Summary'!E383</f>
        <v>2</v>
      </c>
      <c r="F385" s="1">
        <f>'Unformatted Trip Summary'!F383</f>
        <v>1.79814225E-2</v>
      </c>
      <c r="G385" s="1">
        <f>'Unformatted Trip Summary'!G383</f>
        <v>0</v>
      </c>
      <c r="H385" s="1">
        <f>'Unformatted Trip Summary'!H383</f>
        <v>2.9969036999999998E-3</v>
      </c>
    </row>
    <row r="386" spans="1:8" x14ac:dyDescent="0.2">
      <c r="A386" t="str">
        <f>'Unformatted Trip Summary'!A384</f>
        <v>05 GISBORNE</v>
      </c>
      <c r="B386" t="str">
        <f>'Unformatted Trip Summary'!J384</f>
        <v>2032/33</v>
      </c>
      <c r="C386" t="str">
        <f>'Unformatted Trip Summary'!I384</f>
        <v>Other Household Travel</v>
      </c>
      <c r="D386">
        <f>'Unformatted Trip Summary'!D384</f>
        <v>1</v>
      </c>
      <c r="E386">
        <f>'Unformatted Trip Summary'!E384</f>
        <v>2</v>
      </c>
      <c r="F386" s="1">
        <f>'Unformatted Trip Summary'!F384</f>
        <v>1.53208119E-2</v>
      </c>
      <c r="G386" s="1">
        <f>'Unformatted Trip Summary'!G384</f>
        <v>0</v>
      </c>
      <c r="H386" s="1">
        <f>'Unformatted Trip Summary'!H384</f>
        <v>2.5534686999999999E-3</v>
      </c>
    </row>
    <row r="387" spans="1:8" x14ac:dyDescent="0.2">
      <c r="A387" t="str">
        <f>'Unformatted Trip Summary'!A385</f>
        <v>05 GISBORNE</v>
      </c>
      <c r="B387" t="str">
        <f>'Unformatted Trip Summary'!J385</f>
        <v>2037/38</v>
      </c>
      <c r="C387" t="str">
        <f>'Unformatted Trip Summary'!I385</f>
        <v>Other Household Travel</v>
      </c>
      <c r="D387">
        <f>'Unformatted Trip Summary'!D385</f>
        <v>1</v>
      </c>
      <c r="E387">
        <f>'Unformatted Trip Summary'!E385</f>
        <v>2</v>
      </c>
      <c r="F387" s="1">
        <f>'Unformatted Trip Summary'!F385</f>
        <v>1.16094002E-2</v>
      </c>
      <c r="G387" s="1">
        <f>'Unformatted Trip Summary'!G385</f>
        <v>0</v>
      </c>
      <c r="H387" s="1">
        <f>'Unformatted Trip Summary'!H385</f>
        <v>1.9349E-3</v>
      </c>
    </row>
    <row r="388" spans="1:8" x14ac:dyDescent="0.2">
      <c r="A388" t="str">
        <f>'Unformatted Trip Summary'!A386</f>
        <v>05 GISBORNE</v>
      </c>
      <c r="B388" t="str">
        <f>'Unformatted Trip Summary'!J386</f>
        <v>2042/43</v>
      </c>
      <c r="C388" t="str">
        <f>'Unformatted Trip Summary'!I386</f>
        <v>Other Household Travel</v>
      </c>
      <c r="D388">
        <f>'Unformatted Trip Summary'!D386</f>
        <v>1</v>
      </c>
      <c r="E388">
        <f>'Unformatted Trip Summary'!E386</f>
        <v>2</v>
      </c>
      <c r="F388" s="1">
        <f>'Unformatted Trip Summary'!F386</f>
        <v>8.4668802000000005E-3</v>
      </c>
      <c r="G388" s="1">
        <f>'Unformatted Trip Summary'!G386</f>
        <v>0</v>
      </c>
      <c r="H388" s="1">
        <f>'Unformatted Trip Summary'!H386</f>
        <v>1.4111467000000001E-3</v>
      </c>
    </row>
    <row r="389" spans="1:8" x14ac:dyDescent="0.2">
      <c r="A389" t="str">
        <f>'Unformatted Trip Summary'!A387</f>
        <v>05 GISBORNE</v>
      </c>
      <c r="B389" t="str">
        <f>'Unformatted Trip Summary'!J387</f>
        <v>2012/13</v>
      </c>
      <c r="C389" t="str">
        <f>'Unformatted Trip Summary'!I387</f>
        <v>Air/Non-Local PT</v>
      </c>
      <c r="D389">
        <f>'Unformatted Trip Summary'!D387</f>
        <v>12</v>
      </c>
      <c r="E389">
        <f>'Unformatted Trip Summary'!E387</f>
        <v>20</v>
      </c>
      <c r="F389" s="1">
        <f>'Unformatted Trip Summary'!F387</f>
        <v>0.31271654580000002</v>
      </c>
      <c r="G389" s="1">
        <f>'Unformatted Trip Summary'!G387</f>
        <v>23.012948782999999</v>
      </c>
      <c r="H389" s="1">
        <f>'Unformatted Trip Summary'!H387</f>
        <v>0.66485160600000004</v>
      </c>
    </row>
    <row r="390" spans="1:8" x14ac:dyDescent="0.2">
      <c r="A390" t="str">
        <f>'Unformatted Trip Summary'!A388</f>
        <v>05 GISBORNE</v>
      </c>
      <c r="B390" t="str">
        <f>'Unformatted Trip Summary'!J388</f>
        <v>2017/18</v>
      </c>
      <c r="C390" t="str">
        <f>'Unformatted Trip Summary'!I388</f>
        <v>Air/Non-Local PT</v>
      </c>
      <c r="D390">
        <f>'Unformatted Trip Summary'!D388</f>
        <v>12</v>
      </c>
      <c r="E390">
        <f>'Unformatted Trip Summary'!E388</f>
        <v>20</v>
      </c>
      <c r="F390" s="1">
        <f>'Unformatted Trip Summary'!F388</f>
        <v>0.30620107489999998</v>
      </c>
      <c r="G390" s="1">
        <f>'Unformatted Trip Summary'!G388</f>
        <v>22.178930756</v>
      </c>
      <c r="H390" s="1">
        <f>'Unformatted Trip Summary'!H388</f>
        <v>0.63981926659999999</v>
      </c>
    </row>
    <row r="391" spans="1:8" x14ac:dyDescent="0.2">
      <c r="A391" t="str">
        <f>'Unformatted Trip Summary'!A389</f>
        <v>05 GISBORNE</v>
      </c>
      <c r="B391" t="str">
        <f>'Unformatted Trip Summary'!J389</f>
        <v>2022/23</v>
      </c>
      <c r="C391" t="str">
        <f>'Unformatted Trip Summary'!I389</f>
        <v>Air/Non-Local PT</v>
      </c>
      <c r="D391">
        <f>'Unformatted Trip Summary'!D389</f>
        <v>12</v>
      </c>
      <c r="E391">
        <f>'Unformatted Trip Summary'!E389</f>
        <v>20</v>
      </c>
      <c r="F391" s="1">
        <f>'Unformatted Trip Summary'!F389</f>
        <v>0.30090128259999999</v>
      </c>
      <c r="G391" s="1">
        <f>'Unformatted Trip Summary'!G389</f>
        <v>21.585924137999999</v>
      </c>
      <c r="H391" s="1">
        <f>'Unformatted Trip Summary'!H389</f>
        <v>0.62241018199999998</v>
      </c>
    </row>
    <row r="392" spans="1:8" x14ac:dyDescent="0.2">
      <c r="A392" t="str">
        <f>'Unformatted Trip Summary'!A390</f>
        <v>05 GISBORNE</v>
      </c>
      <c r="B392" t="str">
        <f>'Unformatted Trip Summary'!J390</f>
        <v>2027/28</v>
      </c>
      <c r="C392" t="str">
        <f>'Unformatted Trip Summary'!I390</f>
        <v>Air/Non-Local PT</v>
      </c>
      <c r="D392">
        <f>'Unformatted Trip Summary'!D390</f>
        <v>12</v>
      </c>
      <c r="E392">
        <f>'Unformatted Trip Summary'!E390</f>
        <v>20</v>
      </c>
      <c r="F392" s="1">
        <f>'Unformatted Trip Summary'!F390</f>
        <v>0.30630954449999998</v>
      </c>
      <c r="G392" s="1">
        <f>'Unformatted Trip Summary'!G390</f>
        <v>20.972266740999999</v>
      </c>
      <c r="H392" s="1">
        <f>'Unformatted Trip Summary'!H390</f>
        <v>0.622057003</v>
      </c>
    </row>
    <row r="393" spans="1:8" x14ac:dyDescent="0.2">
      <c r="A393" t="str">
        <f>'Unformatted Trip Summary'!A391</f>
        <v>05 GISBORNE</v>
      </c>
      <c r="B393" t="str">
        <f>'Unformatted Trip Summary'!J391</f>
        <v>2032/33</v>
      </c>
      <c r="C393" t="str">
        <f>'Unformatted Trip Summary'!I391</f>
        <v>Air/Non-Local PT</v>
      </c>
      <c r="D393">
        <f>'Unformatted Trip Summary'!D391</f>
        <v>12</v>
      </c>
      <c r="E393">
        <f>'Unformatted Trip Summary'!E391</f>
        <v>20</v>
      </c>
      <c r="F393" s="1">
        <f>'Unformatted Trip Summary'!F391</f>
        <v>0.31009061999999998</v>
      </c>
      <c r="G393" s="1">
        <f>'Unformatted Trip Summary'!G391</f>
        <v>20.323432145999998</v>
      </c>
      <c r="H393" s="1">
        <f>'Unformatted Trip Summary'!H391</f>
        <v>0.61958363770000002</v>
      </c>
    </row>
    <row r="394" spans="1:8" x14ac:dyDescent="0.2">
      <c r="A394" t="str">
        <f>'Unformatted Trip Summary'!A392</f>
        <v>05 GISBORNE</v>
      </c>
      <c r="B394" t="str">
        <f>'Unformatted Trip Summary'!J392</f>
        <v>2037/38</v>
      </c>
      <c r="C394" t="str">
        <f>'Unformatted Trip Summary'!I392</f>
        <v>Air/Non-Local PT</v>
      </c>
      <c r="D394">
        <f>'Unformatted Trip Summary'!D392</f>
        <v>12</v>
      </c>
      <c r="E394">
        <f>'Unformatted Trip Summary'!E392</f>
        <v>20</v>
      </c>
      <c r="F394" s="1">
        <f>'Unformatted Trip Summary'!F392</f>
        <v>0.30705500419999998</v>
      </c>
      <c r="G394" s="1">
        <f>'Unformatted Trip Summary'!G392</f>
        <v>19.870180351999998</v>
      </c>
      <c r="H394" s="1">
        <f>'Unformatted Trip Summary'!H392</f>
        <v>0.60480062339999996</v>
      </c>
    </row>
    <row r="395" spans="1:8" x14ac:dyDescent="0.2">
      <c r="A395" t="str">
        <f>'Unformatted Trip Summary'!A393</f>
        <v>05 GISBORNE</v>
      </c>
      <c r="B395" t="str">
        <f>'Unformatted Trip Summary'!J393</f>
        <v>2042/43</v>
      </c>
      <c r="C395" t="str">
        <f>'Unformatted Trip Summary'!I393</f>
        <v>Air/Non-Local PT</v>
      </c>
      <c r="D395">
        <f>'Unformatted Trip Summary'!D393</f>
        <v>12</v>
      </c>
      <c r="E395">
        <f>'Unformatted Trip Summary'!E393</f>
        <v>20</v>
      </c>
      <c r="F395" s="1">
        <f>'Unformatted Trip Summary'!F393</f>
        <v>0.3045069138</v>
      </c>
      <c r="G395" s="1">
        <f>'Unformatted Trip Summary'!G393</f>
        <v>19.472537738</v>
      </c>
      <c r="H395" s="1">
        <f>'Unformatted Trip Summary'!H393</f>
        <v>0.59093384640000002</v>
      </c>
    </row>
    <row r="396" spans="1:8" x14ac:dyDescent="0.2">
      <c r="A396" t="str">
        <f>'Unformatted Trip Summary'!A394</f>
        <v>05 GISBORNE</v>
      </c>
      <c r="B396" t="str">
        <f>'Unformatted Trip Summary'!J394</f>
        <v>2012/13</v>
      </c>
      <c r="C396" t="str">
        <f>'Unformatted Trip Summary'!I394</f>
        <v>Non-Household Travel</v>
      </c>
      <c r="D396">
        <f>'Unformatted Trip Summary'!D394</f>
        <v>8</v>
      </c>
      <c r="E396">
        <f>'Unformatted Trip Summary'!E394</f>
        <v>22</v>
      </c>
      <c r="F396" s="1">
        <f>'Unformatted Trip Summary'!F394</f>
        <v>0.24434687620000001</v>
      </c>
      <c r="G396" s="1">
        <f>'Unformatted Trip Summary'!G394</f>
        <v>9.0032605469</v>
      </c>
      <c r="H396" s="1">
        <f>'Unformatted Trip Summary'!H394</f>
        <v>0.1991820503</v>
      </c>
    </row>
    <row r="397" spans="1:8" x14ac:dyDescent="0.2">
      <c r="A397" t="str">
        <f>'Unformatted Trip Summary'!A395</f>
        <v>05 GISBORNE</v>
      </c>
      <c r="B397" t="str">
        <f>'Unformatted Trip Summary'!J395</f>
        <v>2017/18</v>
      </c>
      <c r="C397" t="str">
        <f>'Unformatted Trip Summary'!I395</f>
        <v>Non-Household Travel</v>
      </c>
      <c r="D397">
        <f>'Unformatted Trip Summary'!D395</f>
        <v>8</v>
      </c>
      <c r="E397">
        <f>'Unformatted Trip Summary'!E395</f>
        <v>22</v>
      </c>
      <c r="F397" s="1">
        <f>'Unformatted Trip Summary'!F395</f>
        <v>0.2664411445</v>
      </c>
      <c r="G397" s="1">
        <f>'Unformatted Trip Summary'!G395</f>
        <v>9.6809029583000008</v>
      </c>
      <c r="H397" s="1">
        <f>'Unformatted Trip Summary'!H395</f>
        <v>0.21352860730000001</v>
      </c>
    </row>
    <row r="398" spans="1:8" x14ac:dyDescent="0.2">
      <c r="A398" t="str">
        <f>'Unformatted Trip Summary'!A396</f>
        <v>05 GISBORNE</v>
      </c>
      <c r="B398" t="str">
        <f>'Unformatted Trip Summary'!J396</f>
        <v>2022/23</v>
      </c>
      <c r="C398" t="str">
        <f>'Unformatted Trip Summary'!I396</f>
        <v>Non-Household Travel</v>
      </c>
      <c r="D398">
        <f>'Unformatted Trip Summary'!D396</f>
        <v>8</v>
      </c>
      <c r="E398">
        <f>'Unformatted Trip Summary'!E396</f>
        <v>22</v>
      </c>
      <c r="F398" s="1">
        <f>'Unformatted Trip Summary'!F396</f>
        <v>0.27335797610000001</v>
      </c>
      <c r="G398" s="1">
        <f>'Unformatted Trip Summary'!G396</f>
        <v>9.7631577048999993</v>
      </c>
      <c r="H398" s="1">
        <f>'Unformatted Trip Summary'!H396</f>
        <v>0.21500586269999999</v>
      </c>
    </row>
    <row r="399" spans="1:8" x14ac:dyDescent="0.2">
      <c r="A399" t="str">
        <f>'Unformatted Trip Summary'!A397</f>
        <v>05 GISBORNE</v>
      </c>
      <c r="B399" t="str">
        <f>'Unformatted Trip Summary'!J397</f>
        <v>2027/28</v>
      </c>
      <c r="C399" t="str">
        <f>'Unformatted Trip Summary'!I397</f>
        <v>Non-Household Travel</v>
      </c>
      <c r="D399">
        <f>'Unformatted Trip Summary'!D397</f>
        <v>8</v>
      </c>
      <c r="E399">
        <f>'Unformatted Trip Summary'!E397</f>
        <v>22</v>
      </c>
      <c r="F399" s="1">
        <f>'Unformatted Trip Summary'!F397</f>
        <v>0.27181739170000002</v>
      </c>
      <c r="G399" s="1">
        <f>'Unformatted Trip Summary'!G397</f>
        <v>9.4742853167999996</v>
      </c>
      <c r="H399" s="1">
        <f>'Unformatted Trip Summary'!H397</f>
        <v>0.20926992389999999</v>
      </c>
    </row>
    <row r="400" spans="1:8" x14ac:dyDescent="0.2">
      <c r="A400" t="str">
        <f>'Unformatted Trip Summary'!A398</f>
        <v>05 GISBORNE</v>
      </c>
      <c r="B400" t="str">
        <f>'Unformatted Trip Summary'!J398</f>
        <v>2032/33</v>
      </c>
      <c r="C400" t="str">
        <f>'Unformatted Trip Summary'!I398</f>
        <v>Non-Household Travel</v>
      </c>
      <c r="D400">
        <f>'Unformatted Trip Summary'!D398</f>
        <v>8</v>
      </c>
      <c r="E400">
        <f>'Unformatted Trip Summary'!E398</f>
        <v>22</v>
      </c>
      <c r="F400" s="1">
        <f>'Unformatted Trip Summary'!F398</f>
        <v>0.26704385269999997</v>
      </c>
      <c r="G400" s="1">
        <f>'Unformatted Trip Summary'!G398</f>
        <v>8.7712928522000002</v>
      </c>
      <c r="H400" s="1">
        <f>'Unformatted Trip Summary'!H398</f>
        <v>0.1972372691</v>
      </c>
    </row>
    <row r="401" spans="1:8" x14ac:dyDescent="0.2">
      <c r="A401" t="str">
        <f>'Unformatted Trip Summary'!A399</f>
        <v>05 GISBORNE</v>
      </c>
      <c r="B401" t="str">
        <f>'Unformatted Trip Summary'!J399</f>
        <v>2037/38</v>
      </c>
      <c r="C401" t="str">
        <f>'Unformatted Trip Summary'!I399</f>
        <v>Non-Household Travel</v>
      </c>
      <c r="D401">
        <f>'Unformatted Trip Summary'!D399</f>
        <v>8</v>
      </c>
      <c r="E401">
        <f>'Unformatted Trip Summary'!E399</f>
        <v>22</v>
      </c>
      <c r="F401" s="1">
        <f>'Unformatted Trip Summary'!F399</f>
        <v>0.26440604350000002</v>
      </c>
      <c r="G401" s="1">
        <f>'Unformatted Trip Summary'!G399</f>
        <v>7.933385425</v>
      </c>
      <c r="H401" s="1">
        <f>'Unformatted Trip Summary'!H399</f>
        <v>0.18431047019999999</v>
      </c>
    </row>
    <row r="402" spans="1:8" x14ac:dyDescent="0.2">
      <c r="A402" t="str">
        <f>'Unformatted Trip Summary'!A400</f>
        <v>05 GISBORNE</v>
      </c>
      <c r="B402" t="str">
        <f>'Unformatted Trip Summary'!J400</f>
        <v>2042/43</v>
      </c>
      <c r="C402" t="str">
        <f>'Unformatted Trip Summary'!I400</f>
        <v>Non-Household Travel</v>
      </c>
      <c r="D402">
        <f>'Unformatted Trip Summary'!D400</f>
        <v>8</v>
      </c>
      <c r="E402">
        <f>'Unformatted Trip Summary'!E400</f>
        <v>22</v>
      </c>
      <c r="F402" s="1">
        <f>'Unformatted Trip Summary'!F400</f>
        <v>0.26282842270000001</v>
      </c>
      <c r="G402" s="1">
        <f>'Unformatted Trip Summary'!G400</f>
        <v>7.1232277789999996</v>
      </c>
      <c r="H402" s="1">
        <f>'Unformatted Trip Summary'!H400</f>
        <v>0.17202692929999999</v>
      </c>
    </row>
    <row r="403" spans="1:8" x14ac:dyDescent="0.2">
      <c r="A403" t="str">
        <f>'Unformatted Trip Summary'!A401</f>
        <v>06 HAWKE`S BAY</v>
      </c>
      <c r="B403" t="str">
        <f>'Unformatted Trip Summary'!J401</f>
        <v>2012/13</v>
      </c>
      <c r="C403" t="str">
        <f>'Unformatted Trip Summary'!I401</f>
        <v>Pedestrian</v>
      </c>
      <c r="D403">
        <f>'Unformatted Trip Summary'!D401</f>
        <v>221</v>
      </c>
      <c r="E403">
        <f>'Unformatted Trip Summary'!E401</f>
        <v>754</v>
      </c>
      <c r="F403" s="1">
        <f>'Unformatted Trip Summary'!F401</f>
        <v>26.538300281000001</v>
      </c>
      <c r="G403" s="1">
        <f>'Unformatted Trip Summary'!G401</f>
        <v>22.691613215</v>
      </c>
      <c r="H403" s="1">
        <f>'Unformatted Trip Summary'!H401</f>
        <v>5.9462513095</v>
      </c>
    </row>
    <row r="404" spans="1:8" x14ac:dyDescent="0.2">
      <c r="A404" t="str">
        <f>'Unformatted Trip Summary'!A402</f>
        <v>06 HAWKE`S BAY</v>
      </c>
      <c r="B404" t="str">
        <f>'Unformatted Trip Summary'!J402</f>
        <v>2017/18</v>
      </c>
      <c r="C404" t="str">
        <f>'Unformatted Trip Summary'!I402</f>
        <v>Pedestrian</v>
      </c>
      <c r="D404">
        <f>'Unformatted Trip Summary'!D402</f>
        <v>221</v>
      </c>
      <c r="E404">
        <f>'Unformatted Trip Summary'!E402</f>
        <v>754</v>
      </c>
      <c r="F404" s="1">
        <f>'Unformatted Trip Summary'!F402</f>
        <v>27.944817379</v>
      </c>
      <c r="G404" s="1">
        <f>'Unformatted Trip Summary'!G402</f>
        <v>23.630409191999998</v>
      </c>
      <c r="H404" s="1">
        <f>'Unformatted Trip Summary'!H402</f>
        <v>6.2178853297999996</v>
      </c>
    </row>
    <row r="405" spans="1:8" x14ac:dyDescent="0.2">
      <c r="A405" t="str">
        <f>'Unformatted Trip Summary'!A403</f>
        <v>06 HAWKE`S BAY</v>
      </c>
      <c r="B405" t="str">
        <f>'Unformatted Trip Summary'!J403</f>
        <v>2022/23</v>
      </c>
      <c r="C405" t="str">
        <f>'Unformatted Trip Summary'!I403</f>
        <v>Pedestrian</v>
      </c>
      <c r="D405">
        <f>'Unformatted Trip Summary'!D403</f>
        <v>221</v>
      </c>
      <c r="E405">
        <f>'Unformatted Trip Summary'!E403</f>
        <v>754</v>
      </c>
      <c r="F405" s="1">
        <f>'Unformatted Trip Summary'!F403</f>
        <v>29.14750742</v>
      </c>
      <c r="G405" s="1">
        <f>'Unformatted Trip Summary'!G403</f>
        <v>24.358757362999999</v>
      </c>
      <c r="H405" s="1">
        <f>'Unformatted Trip Summary'!H403</f>
        <v>6.4584054091</v>
      </c>
    </row>
    <row r="406" spans="1:8" x14ac:dyDescent="0.2">
      <c r="A406" t="str">
        <f>'Unformatted Trip Summary'!A404</f>
        <v>06 HAWKE`S BAY</v>
      </c>
      <c r="B406" t="str">
        <f>'Unformatted Trip Summary'!J404</f>
        <v>2027/28</v>
      </c>
      <c r="C406" t="str">
        <f>'Unformatted Trip Summary'!I404</f>
        <v>Pedestrian</v>
      </c>
      <c r="D406">
        <f>'Unformatted Trip Summary'!D404</f>
        <v>221</v>
      </c>
      <c r="E406">
        <f>'Unformatted Trip Summary'!E404</f>
        <v>754</v>
      </c>
      <c r="F406" s="1">
        <f>'Unformatted Trip Summary'!F404</f>
        <v>29.641081930999999</v>
      </c>
      <c r="G406" s="1">
        <f>'Unformatted Trip Summary'!G404</f>
        <v>24.726975710000001</v>
      </c>
      <c r="H406" s="1">
        <f>'Unformatted Trip Summary'!H404</f>
        <v>6.5336336425999999</v>
      </c>
    </row>
    <row r="407" spans="1:8" x14ac:dyDescent="0.2">
      <c r="A407" t="str">
        <f>'Unformatted Trip Summary'!A405</f>
        <v>06 HAWKE`S BAY</v>
      </c>
      <c r="B407" t="str">
        <f>'Unformatted Trip Summary'!J405</f>
        <v>2032/33</v>
      </c>
      <c r="C407" t="str">
        <f>'Unformatted Trip Summary'!I405</f>
        <v>Pedestrian</v>
      </c>
      <c r="D407">
        <f>'Unformatted Trip Summary'!D405</f>
        <v>221</v>
      </c>
      <c r="E407">
        <f>'Unformatted Trip Summary'!E405</f>
        <v>754</v>
      </c>
      <c r="F407" s="1">
        <f>'Unformatted Trip Summary'!F405</f>
        <v>29.595070895999999</v>
      </c>
      <c r="G407" s="1">
        <f>'Unformatted Trip Summary'!G405</f>
        <v>24.863531463000001</v>
      </c>
      <c r="H407" s="1">
        <f>'Unformatted Trip Summary'!H405</f>
        <v>6.5287993063999998</v>
      </c>
    </row>
    <row r="408" spans="1:8" x14ac:dyDescent="0.2">
      <c r="A408" t="str">
        <f>'Unformatted Trip Summary'!A406</f>
        <v>06 HAWKE`S BAY</v>
      </c>
      <c r="B408" t="str">
        <f>'Unformatted Trip Summary'!J406</f>
        <v>2037/38</v>
      </c>
      <c r="C408" t="str">
        <f>'Unformatted Trip Summary'!I406</f>
        <v>Pedestrian</v>
      </c>
      <c r="D408">
        <f>'Unformatted Trip Summary'!D406</f>
        <v>221</v>
      </c>
      <c r="E408">
        <f>'Unformatted Trip Summary'!E406</f>
        <v>754</v>
      </c>
      <c r="F408" s="1">
        <f>'Unformatted Trip Summary'!F406</f>
        <v>29.539599793000001</v>
      </c>
      <c r="G408" s="1">
        <f>'Unformatted Trip Summary'!G406</f>
        <v>25.193683757999999</v>
      </c>
      <c r="H408" s="1">
        <f>'Unformatted Trip Summary'!H406</f>
        <v>6.5614534492000001</v>
      </c>
    </row>
    <row r="409" spans="1:8" x14ac:dyDescent="0.2">
      <c r="A409" t="str">
        <f>'Unformatted Trip Summary'!A407</f>
        <v>06 HAWKE`S BAY</v>
      </c>
      <c r="B409" t="str">
        <f>'Unformatted Trip Summary'!J407</f>
        <v>2042/43</v>
      </c>
      <c r="C409" t="str">
        <f>'Unformatted Trip Summary'!I407</f>
        <v>Pedestrian</v>
      </c>
      <c r="D409">
        <f>'Unformatted Trip Summary'!D407</f>
        <v>221</v>
      </c>
      <c r="E409">
        <f>'Unformatted Trip Summary'!E407</f>
        <v>754</v>
      </c>
      <c r="F409" s="1">
        <f>'Unformatted Trip Summary'!F407</f>
        <v>29.331338688999999</v>
      </c>
      <c r="G409" s="1">
        <f>'Unformatted Trip Summary'!G407</f>
        <v>25.427207582000001</v>
      </c>
      <c r="H409" s="1">
        <f>'Unformatted Trip Summary'!H407</f>
        <v>6.5692179990000001</v>
      </c>
    </row>
    <row r="410" spans="1:8" x14ac:dyDescent="0.2">
      <c r="A410" t="str">
        <f>'Unformatted Trip Summary'!A408</f>
        <v>06 HAWKE`S BAY</v>
      </c>
      <c r="B410" t="str">
        <f>'Unformatted Trip Summary'!J408</f>
        <v>2012/13</v>
      </c>
      <c r="C410" t="str">
        <f>'Unformatted Trip Summary'!I408</f>
        <v>Cyclist</v>
      </c>
      <c r="D410">
        <f>'Unformatted Trip Summary'!D408</f>
        <v>30</v>
      </c>
      <c r="E410">
        <f>'Unformatted Trip Summary'!E408</f>
        <v>93</v>
      </c>
      <c r="F410" s="1">
        <f>'Unformatted Trip Summary'!F408</f>
        <v>3.1819840940000002</v>
      </c>
      <c r="G410" s="1">
        <f>'Unformatted Trip Summary'!G408</f>
        <v>9.5482363540000001</v>
      </c>
      <c r="H410" s="1">
        <f>'Unformatted Trip Summary'!H408</f>
        <v>0.88401106659999995</v>
      </c>
    </row>
    <row r="411" spans="1:8" x14ac:dyDescent="0.2">
      <c r="A411" t="str">
        <f>'Unformatted Trip Summary'!A409</f>
        <v>06 HAWKE`S BAY</v>
      </c>
      <c r="B411" t="str">
        <f>'Unformatted Trip Summary'!J409</f>
        <v>2017/18</v>
      </c>
      <c r="C411" t="str">
        <f>'Unformatted Trip Summary'!I409</f>
        <v>Cyclist</v>
      </c>
      <c r="D411">
        <f>'Unformatted Trip Summary'!D409</f>
        <v>30</v>
      </c>
      <c r="E411">
        <f>'Unformatted Trip Summary'!E409</f>
        <v>93</v>
      </c>
      <c r="F411" s="1">
        <f>'Unformatted Trip Summary'!F409</f>
        <v>3.3096529013999998</v>
      </c>
      <c r="G411" s="1">
        <f>'Unformatted Trip Summary'!G409</f>
        <v>10.217483173</v>
      </c>
      <c r="H411" s="1">
        <f>'Unformatted Trip Summary'!H409</f>
        <v>0.94432698719999997</v>
      </c>
    </row>
    <row r="412" spans="1:8" x14ac:dyDescent="0.2">
      <c r="A412" t="str">
        <f>'Unformatted Trip Summary'!A410</f>
        <v>06 HAWKE`S BAY</v>
      </c>
      <c r="B412" t="str">
        <f>'Unformatted Trip Summary'!J410</f>
        <v>2022/23</v>
      </c>
      <c r="C412" t="str">
        <f>'Unformatted Trip Summary'!I410</f>
        <v>Cyclist</v>
      </c>
      <c r="D412">
        <f>'Unformatted Trip Summary'!D410</f>
        <v>30</v>
      </c>
      <c r="E412">
        <f>'Unformatted Trip Summary'!E410</f>
        <v>93</v>
      </c>
      <c r="F412" s="1">
        <f>'Unformatted Trip Summary'!F410</f>
        <v>3.4552543172000001</v>
      </c>
      <c r="G412" s="1">
        <f>'Unformatted Trip Summary'!G410</f>
        <v>10.611232829</v>
      </c>
      <c r="H412" s="1">
        <f>'Unformatted Trip Summary'!H410</f>
        <v>0.97699562549999996</v>
      </c>
    </row>
    <row r="413" spans="1:8" x14ac:dyDescent="0.2">
      <c r="A413" t="str">
        <f>'Unformatted Trip Summary'!A411</f>
        <v>06 HAWKE`S BAY</v>
      </c>
      <c r="B413" t="str">
        <f>'Unformatted Trip Summary'!J411</f>
        <v>2027/28</v>
      </c>
      <c r="C413" t="str">
        <f>'Unformatted Trip Summary'!I411</f>
        <v>Cyclist</v>
      </c>
      <c r="D413">
        <f>'Unformatted Trip Summary'!D411</f>
        <v>30</v>
      </c>
      <c r="E413">
        <f>'Unformatted Trip Summary'!E411</f>
        <v>93</v>
      </c>
      <c r="F413" s="1">
        <f>'Unformatted Trip Summary'!F411</f>
        <v>3.5925666586</v>
      </c>
      <c r="G413" s="1">
        <f>'Unformatted Trip Summary'!G411</f>
        <v>11.118484731000001</v>
      </c>
      <c r="H413" s="1">
        <f>'Unformatted Trip Summary'!H411</f>
        <v>1.0225636417999999</v>
      </c>
    </row>
    <row r="414" spans="1:8" x14ac:dyDescent="0.2">
      <c r="A414" t="str">
        <f>'Unformatted Trip Summary'!A412</f>
        <v>06 HAWKE`S BAY</v>
      </c>
      <c r="B414" t="str">
        <f>'Unformatted Trip Summary'!J412</f>
        <v>2032/33</v>
      </c>
      <c r="C414" t="str">
        <f>'Unformatted Trip Summary'!I412</f>
        <v>Cyclist</v>
      </c>
      <c r="D414">
        <f>'Unformatted Trip Summary'!D412</f>
        <v>30</v>
      </c>
      <c r="E414">
        <f>'Unformatted Trip Summary'!E412</f>
        <v>93</v>
      </c>
      <c r="F414" s="1">
        <f>'Unformatted Trip Summary'!F412</f>
        <v>3.6286940792000002</v>
      </c>
      <c r="G414" s="1">
        <f>'Unformatted Trip Summary'!G412</f>
        <v>11.596009892</v>
      </c>
      <c r="H414" s="1">
        <f>'Unformatted Trip Summary'!H412</f>
        <v>1.0575265337999999</v>
      </c>
    </row>
    <row r="415" spans="1:8" x14ac:dyDescent="0.2">
      <c r="A415" t="str">
        <f>'Unformatted Trip Summary'!A413</f>
        <v>06 HAWKE`S BAY</v>
      </c>
      <c r="B415" t="str">
        <f>'Unformatted Trip Summary'!J413</f>
        <v>2037/38</v>
      </c>
      <c r="C415" t="str">
        <f>'Unformatted Trip Summary'!I413</f>
        <v>Cyclist</v>
      </c>
      <c r="D415">
        <f>'Unformatted Trip Summary'!D413</f>
        <v>30</v>
      </c>
      <c r="E415">
        <f>'Unformatted Trip Summary'!E413</f>
        <v>93</v>
      </c>
      <c r="F415" s="1">
        <f>'Unformatted Trip Summary'!F413</f>
        <v>3.6653353907000001</v>
      </c>
      <c r="G415" s="1">
        <f>'Unformatted Trip Summary'!G413</f>
        <v>11.796850336</v>
      </c>
      <c r="H415" s="1">
        <f>'Unformatted Trip Summary'!H413</f>
        <v>1.0757189056000001</v>
      </c>
    </row>
    <row r="416" spans="1:8" x14ac:dyDescent="0.2">
      <c r="A416" t="str">
        <f>'Unformatted Trip Summary'!A414</f>
        <v>06 HAWKE`S BAY</v>
      </c>
      <c r="B416" t="str">
        <f>'Unformatted Trip Summary'!J414</f>
        <v>2042/43</v>
      </c>
      <c r="C416" t="str">
        <f>'Unformatted Trip Summary'!I414</f>
        <v>Cyclist</v>
      </c>
      <c r="D416">
        <f>'Unformatted Trip Summary'!D414</f>
        <v>30</v>
      </c>
      <c r="E416">
        <f>'Unformatted Trip Summary'!E414</f>
        <v>93</v>
      </c>
      <c r="F416" s="1">
        <f>'Unformatted Trip Summary'!F414</f>
        <v>3.6790783066000001</v>
      </c>
      <c r="G416" s="1">
        <f>'Unformatted Trip Summary'!G414</f>
        <v>11.925964628999999</v>
      </c>
      <c r="H416" s="1">
        <f>'Unformatted Trip Summary'!H414</f>
        <v>1.0886481402999999</v>
      </c>
    </row>
    <row r="417" spans="1:8" x14ac:dyDescent="0.2">
      <c r="A417" t="str">
        <f>'Unformatted Trip Summary'!A415</f>
        <v>06 HAWKE`S BAY</v>
      </c>
      <c r="B417" t="str">
        <f>'Unformatted Trip Summary'!J415</f>
        <v>2012/13</v>
      </c>
      <c r="C417" t="str">
        <f>'Unformatted Trip Summary'!I415</f>
        <v>Light Vehicle Driver</v>
      </c>
      <c r="D417">
        <f>'Unformatted Trip Summary'!D415</f>
        <v>446</v>
      </c>
      <c r="E417">
        <f>'Unformatted Trip Summary'!E415</f>
        <v>3171</v>
      </c>
      <c r="F417" s="1">
        <f>'Unformatted Trip Summary'!F415</f>
        <v>111.16933473</v>
      </c>
      <c r="G417" s="1">
        <f>'Unformatted Trip Summary'!G415</f>
        <v>1001.7566771</v>
      </c>
      <c r="H417" s="1">
        <f>'Unformatted Trip Summary'!H415</f>
        <v>25.377986313000001</v>
      </c>
    </row>
    <row r="418" spans="1:8" x14ac:dyDescent="0.2">
      <c r="A418" t="str">
        <f>'Unformatted Trip Summary'!A416</f>
        <v>06 HAWKE`S BAY</v>
      </c>
      <c r="B418" t="str">
        <f>'Unformatted Trip Summary'!J416</f>
        <v>2017/18</v>
      </c>
      <c r="C418" t="str">
        <f>'Unformatted Trip Summary'!I416</f>
        <v>Light Vehicle Driver</v>
      </c>
      <c r="D418">
        <f>'Unformatted Trip Summary'!D416</f>
        <v>446</v>
      </c>
      <c r="E418">
        <f>'Unformatted Trip Summary'!E416</f>
        <v>3171</v>
      </c>
      <c r="F418" s="1">
        <f>'Unformatted Trip Summary'!F416</f>
        <v>119.46686907</v>
      </c>
      <c r="G418" s="1">
        <f>'Unformatted Trip Summary'!G416</f>
        <v>1083.6110593999999</v>
      </c>
      <c r="H418" s="1">
        <f>'Unformatted Trip Summary'!H416</f>
        <v>27.374666599000001</v>
      </c>
    </row>
    <row r="419" spans="1:8" x14ac:dyDescent="0.2">
      <c r="A419" t="str">
        <f>'Unformatted Trip Summary'!A417</f>
        <v>06 HAWKE`S BAY</v>
      </c>
      <c r="B419" t="str">
        <f>'Unformatted Trip Summary'!J417</f>
        <v>2022/23</v>
      </c>
      <c r="C419" t="str">
        <f>'Unformatted Trip Summary'!I417</f>
        <v>Light Vehicle Driver</v>
      </c>
      <c r="D419">
        <f>'Unformatted Trip Summary'!D417</f>
        <v>446</v>
      </c>
      <c r="E419">
        <f>'Unformatted Trip Summary'!E417</f>
        <v>3171</v>
      </c>
      <c r="F419" s="1">
        <f>'Unformatted Trip Summary'!F417</f>
        <v>125.71695925</v>
      </c>
      <c r="G419" s="1">
        <f>'Unformatted Trip Summary'!G417</f>
        <v>1141.0195093</v>
      </c>
      <c r="H419" s="1">
        <f>'Unformatted Trip Summary'!H417</f>
        <v>28.852830545</v>
      </c>
    </row>
    <row r="420" spans="1:8" x14ac:dyDescent="0.2">
      <c r="A420" t="str">
        <f>'Unformatted Trip Summary'!A418</f>
        <v>06 HAWKE`S BAY</v>
      </c>
      <c r="B420" t="str">
        <f>'Unformatted Trip Summary'!J418</f>
        <v>2027/28</v>
      </c>
      <c r="C420" t="str">
        <f>'Unformatted Trip Summary'!I418</f>
        <v>Light Vehicle Driver</v>
      </c>
      <c r="D420">
        <f>'Unformatted Trip Summary'!D418</f>
        <v>446</v>
      </c>
      <c r="E420">
        <f>'Unformatted Trip Summary'!E418</f>
        <v>3171</v>
      </c>
      <c r="F420" s="1">
        <f>'Unformatted Trip Summary'!F418</f>
        <v>132.58605294</v>
      </c>
      <c r="G420" s="1">
        <f>'Unformatted Trip Summary'!G418</f>
        <v>1206.5571324</v>
      </c>
      <c r="H420" s="1">
        <f>'Unformatted Trip Summary'!H418</f>
        <v>30.555900576999999</v>
      </c>
    </row>
    <row r="421" spans="1:8" x14ac:dyDescent="0.2">
      <c r="A421" t="str">
        <f>'Unformatted Trip Summary'!A419</f>
        <v>06 HAWKE`S BAY</v>
      </c>
      <c r="B421" t="str">
        <f>'Unformatted Trip Summary'!J419</f>
        <v>2032/33</v>
      </c>
      <c r="C421" t="str">
        <f>'Unformatted Trip Summary'!I419</f>
        <v>Light Vehicle Driver</v>
      </c>
      <c r="D421">
        <f>'Unformatted Trip Summary'!D419</f>
        <v>446</v>
      </c>
      <c r="E421">
        <f>'Unformatted Trip Summary'!E419</f>
        <v>3171</v>
      </c>
      <c r="F421" s="1">
        <f>'Unformatted Trip Summary'!F419</f>
        <v>138.59324656000001</v>
      </c>
      <c r="G421" s="1">
        <f>'Unformatted Trip Summary'!G419</f>
        <v>1265.5454279</v>
      </c>
      <c r="H421" s="1">
        <f>'Unformatted Trip Summary'!H419</f>
        <v>32.074357501000001</v>
      </c>
    </row>
    <row r="422" spans="1:8" x14ac:dyDescent="0.2">
      <c r="A422" t="str">
        <f>'Unformatted Trip Summary'!A420</f>
        <v>06 HAWKE`S BAY</v>
      </c>
      <c r="B422" t="str">
        <f>'Unformatted Trip Summary'!J420</f>
        <v>2037/38</v>
      </c>
      <c r="C422" t="str">
        <f>'Unformatted Trip Summary'!I420</f>
        <v>Light Vehicle Driver</v>
      </c>
      <c r="D422">
        <f>'Unformatted Trip Summary'!D420</f>
        <v>446</v>
      </c>
      <c r="E422">
        <f>'Unformatted Trip Summary'!E420</f>
        <v>3171</v>
      </c>
      <c r="F422" s="1">
        <f>'Unformatted Trip Summary'!F420</f>
        <v>142.74464311</v>
      </c>
      <c r="G422" s="1">
        <f>'Unformatted Trip Summary'!G420</f>
        <v>1306.2214097999999</v>
      </c>
      <c r="H422" s="1">
        <f>'Unformatted Trip Summary'!H420</f>
        <v>33.139109869999999</v>
      </c>
    </row>
    <row r="423" spans="1:8" x14ac:dyDescent="0.2">
      <c r="A423" t="str">
        <f>'Unformatted Trip Summary'!A421</f>
        <v>06 HAWKE`S BAY</v>
      </c>
      <c r="B423" t="str">
        <f>'Unformatted Trip Summary'!J421</f>
        <v>2042/43</v>
      </c>
      <c r="C423" t="str">
        <f>'Unformatted Trip Summary'!I421</f>
        <v>Light Vehicle Driver</v>
      </c>
      <c r="D423">
        <f>'Unformatted Trip Summary'!D421</f>
        <v>446</v>
      </c>
      <c r="E423">
        <f>'Unformatted Trip Summary'!E421</f>
        <v>3171</v>
      </c>
      <c r="F423" s="1">
        <f>'Unformatted Trip Summary'!F421</f>
        <v>146.36628476999999</v>
      </c>
      <c r="G423" s="1">
        <f>'Unformatted Trip Summary'!G421</f>
        <v>1341.5247523999999</v>
      </c>
      <c r="H423" s="1">
        <f>'Unformatted Trip Summary'!H421</f>
        <v>34.070623961999999</v>
      </c>
    </row>
    <row r="424" spans="1:8" x14ac:dyDescent="0.2">
      <c r="A424" t="str">
        <f>'Unformatted Trip Summary'!A422</f>
        <v>06 HAWKE`S BAY</v>
      </c>
      <c r="B424" t="str">
        <f>'Unformatted Trip Summary'!J422</f>
        <v>2012/13</v>
      </c>
      <c r="C424" t="str">
        <f>'Unformatted Trip Summary'!I422</f>
        <v>Light Vehicle Passenger</v>
      </c>
      <c r="D424">
        <f>'Unformatted Trip Summary'!D422</f>
        <v>300</v>
      </c>
      <c r="E424">
        <f>'Unformatted Trip Summary'!E422</f>
        <v>1579</v>
      </c>
      <c r="F424" s="1">
        <f>'Unformatted Trip Summary'!F422</f>
        <v>58.497679761999997</v>
      </c>
      <c r="G424" s="1">
        <f>'Unformatted Trip Summary'!G422</f>
        <v>607.82570181000006</v>
      </c>
      <c r="H424" s="1">
        <f>'Unformatted Trip Summary'!H422</f>
        <v>15.230731736999999</v>
      </c>
    </row>
    <row r="425" spans="1:8" x14ac:dyDescent="0.2">
      <c r="A425" t="str">
        <f>'Unformatted Trip Summary'!A423</f>
        <v>06 HAWKE`S BAY</v>
      </c>
      <c r="B425" t="str">
        <f>'Unformatted Trip Summary'!J423</f>
        <v>2017/18</v>
      </c>
      <c r="C425" t="str">
        <f>'Unformatted Trip Summary'!I423</f>
        <v>Light Vehicle Passenger</v>
      </c>
      <c r="D425">
        <f>'Unformatted Trip Summary'!D423</f>
        <v>300</v>
      </c>
      <c r="E425">
        <f>'Unformatted Trip Summary'!E423</f>
        <v>1579</v>
      </c>
      <c r="F425" s="1">
        <f>'Unformatted Trip Summary'!F423</f>
        <v>60.405657173999998</v>
      </c>
      <c r="G425" s="1">
        <f>'Unformatted Trip Summary'!G423</f>
        <v>642.95162944000003</v>
      </c>
      <c r="H425" s="1">
        <f>'Unformatted Trip Summary'!H423</f>
        <v>15.968389121</v>
      </c>
    </row>
    <row r="426" spans="1:8" x14ac:dyDescent="0.2">
      <c r="A426" t="str">
        <f>'Unformatted Trip Summary'!A424</f>
        <v>06 HAWKE`S BAY</v>
      </c>
      <c r="B426" t="str">
        <f>'Unformatted Trip Summary'!J424</f>
        <v>2022/23</v>
      </c>
      <c r="C426" t="str">
        <f>'Unformatted Trip Summary'!I424</f>
        <v>Light Vehicle Passenger</v>
      </c>
      <c r="D426">
        <f>'Unformatted Trip Summary'!D424</f>
        <v>300</v>
      </c>
      <c r="E426">
        <f>'Unformatted Trip Summary'!E424</f>
        <v>1579</v>
      </c>
      <c r="F426" s="1">
        <f>'Unformatted Trip Summary'!F424</f>
        <v>61.772805951000002</v>
      </c>
      <c r="G426" s="1">
        <f>'Unformatted Trip Summary'!G424</f>
        <v>669.58509643000002</v>
      </c>
      <c r="H426" s="1">
        <f>'Unformatted Trip Summary'!H424</f>
        <v>16.532435840000002</v>
      </c>
    </row>
    <row r="427" spans="1:8" x14ac:dyDescent="0.2">
      <c r="A427" t="str">
        <f>'Unformatted Trip Summary'!A425</f>
        <v>06 HAWKE`S BAY</v>
      </c>
      <c r="B427" t="str">
        <f>'Unformatted Trip Summary'!J425</f>
        <v>2027/28</v>
      </c>
      <c r="C427" t="str">
        <f>'Unformatted Trip Summary'!I425</f>
        <v>Light Vehicle Passenger</v>
      </c>
      <c r="D427">
        <f>'Unformatted Trip Summary'!D425</f>
        <v>300</v>
      </c>
      <c r="E427">
        <f>'Unformatted Trip Summary'!E425</f>
        <v>1579</v>
      </c>
      <c r="F427" s="1">
        <f>'Unformatted Trip Summary'!F425</f>
        <v>63.543880749000003</v>
      </c>
      <c r="G427" s="1">
        <f>'Unformatted Trip Summary'!G425</f>
        <v>690.44868241999995</v>
      </c>
      <c r="H427" s="1">
        <f>'Unformatted Trip Summary'!H425</f>
        <v>17.078773456</v>
      </c>
    </row>
    <row r="428" spans="1:8" x14ac:dyDescent="0.2">
      <c r="A428" t="str">
        <f>'Unformatted Trip Summary'!A426</f>
        <v>06 HAWKE`S BAY</v>
      </c>
      <c r="B428" t="str">
        <f>'Unformatted Trip Summary'!J426</f>
        <v>2032/33</v>
      </c>
      <c r="C428" t="str">
        <f>'Unformatted Trip Summary'!I426</f>
        <v>Light Vehicle Passenger</v>
      </c>
      <c r="D428">
        <f>'Unformatted Trip Summary'!D426</f>
        <v>300</v>
      </c>
      <c r="E428">
        <f>'Unformatted Trip Summary'!E426</f>
        <v>1579</v>
      </c>
      <c r="F428" s="1">
        <f>'Unformatted Trip Summary'!F426</f>
        <v>64.659354543999996</v>
      </c>
      <c r="G428" s="1">
        <f>'Unformatted Trip Summary'!G426</f>
        <v>700.39420789999997</v>
      </c>
      <c r="H428" s="1">
        <f>'Unformatted Trip Summary'!H426</f>
        <v>17.354749005999999</v>
      </c>
    </row>
    <row r="429" spans="1:8" x14ac:dyDescent="0.2">
      <c r="A429" t="str">
        <f>'Unformatted Trip Summary'!A427</f>
        <v>06 HAWKE`S BAY</v>
      </c>
      <c r="B429" t="str">
        <f>'Unformatted Trip Summary'!J427</f>
        <v>2037/38</v>
      </c>
      <c r="C429" t="str">
        <f>'Unformatted Trip Summary'!I427</f>
        <v>Light Vehicle Passenger</v>
      </c>
      <c r="D429">
        <f>'Unformatted Trip Summary'!D427</f>
        <v>300</v>
      </c>
      <c r="E429">
        <f>'Unformatted Trip Summary'!E427</f>
        <v>1579</v>
      </c>
      <c r="F429" s="1">
        <f>'Unformatted Trip Summary'!F427</f>
        <v>65.699381204000005</v>
      </c>
      <c r="G429" s="1">
        <f>'Unformatted Trip Summary'!G427</f>
        <v>703.60689643000001</v>
      </c>
      <c r="H429" s="1">
        <f>'Unformatted Trip Summary'!H427</f>
        <v>17.473011802999999</v>
      </c>
    </row>
    <row r="430" spans="1:8" x14ac:dyDescent="0.2">
      <c r="A430" t="str">
        <f>'Unformatted Trip Summary'!A428</f>
        <v>06 HAWKE`S BAY</v>
      </c>
      <c r="B430" t="str">
        <f>'Unformatted Trip Summary'!J428</f>
        <v>2042/43</v>
      </c>
      <c r="C430" t="str">
        <f>'Unformatted Trip Summary'!I428</f>
        <v>Light Vehicle Passenger</v>
      </c>
      <c r="D430">
        <f>'Unformatted Trip Summary'!D428</f>
        <v>300</v>
      </c>
      <c r="E430">
        <f>'Unformatted Trip Summary'!E428</f>
        <v>1579</v>
      </c>
      <c r="F430" s="1">
        <f>'Unformatted Trip Summary'!F428</f>
        <v>66.462228437999997</v>
      </c>
      <c r="G430" s="1">
        <f>'Unformatted Trip Summary'!G428</f>
        <v>703.44850716999997</v>
      </c>
      <c r="H430" s="1">
        <f>'Unformatted Trip Summary'!H428</f>
        <v>17.511341832999999</v>
      </c>
    </row>
    <row r="431" spans="1:8" x14ac:dyDescent="0.2">
      <c r="A431" t="str">
        <f>'Unformatted Trip Summary'!A429</f>
        <v>06 HAWKE`S BAY</v>
      </c>
      <c r="B431" t="str">
        <f>'Unformatted Trip Summary'!J429</f>
        <v>2012/13</v>
      </c>
      <c r="C431" t="str">
        <f>'Unformatted Trip Summary'!I429</f>
        <v>Taxi/Vehicle Share</v>
      </c>
      <c r="D431">
        <f>'Unformatted Trip Summary'!D429</f>
        <v>4</v>
      </c>
      <c r="E431">
        <f>'Unformatted Trip Summary'!E429</f>
        <v>8</v>
      </c>
      <c r="F431" s="1">
        <f>'Unformatted Trip Summary'!F429</f>
        <v>0.32519619989999998</v>
      </c>
      <c r="G431" s="1">
        <f>'Unformatted Trip Summary'!G429</f>
        <v>1.7589425135000001</v>
      </c>
      <c r="H431" s="1">
        <f>'Unformatted Trip Summary'!H429</f>
        <v>4.5837477299999999E-2</v>
      </c>
    </row>
    <row r="432" spans="1:8" x14ac:dyDescent="0.2">
      <c r="A432" t="str">
        <f>'Unformatted Trip Summary'!A430</f>
        <v>06 HAWKE`S BAY</v>
      </c>
      <c r="B432" t="str">
        <f>'Unformatted Trip Summary'!J430</f>
        <v>2017/18</v>
      </c>
      <c r="C432" t="str">
        <f>'Unformatted Trip Summary'!I430</f>
        <v>Taxi/Vehicle Share</v>
      </c>
      <c r="D432">
        <f>'Unformatted Trip Summary'!D430</f>
        <v>4</v>
      </c>
      <c r="E432">
        <f>'Unformatted Trip Summary'!E430</f>
        <v>8</v>
      </c>
      <c r="F432" s="1">
        <f>'Unformatted Trip Summary'!F430</f>
        <v>0.33399104629999998</v>
      </c>
      <c r="G432" s="1">
        <f>'Unformatted Trip Summary'!G430</f>
        <v>1.7235216927000001</v>
      </c>
      <c r="H432" s="1">
        <f>'Unformatted Trip Summary'!H430</f>
        <v>4.7593421400000002E-2</v>
      </c>
    </row>
    <row r="433" spans="1:8" x14ac:dyDescent="0.2">
      <c r="A433" t="str">
        <f>'Unformatted Trip Summary'!A431</f>
        <v>06 HAWKE`S BAY</v>
      </c>
      <c r="B433" t="str">
        <f>'Unformatted Trip Summary'!J431</f>
        <v>2022/23</v>
      </c>
      <c r="C433" t="str">
        <f>'Unformatted Trip Summary'!I431</f>
        <v>Taxi/Vehicle Share</v>
      </c>
      <c r="D433">
        <f>'Unformatted Trip Summary'!D431</f>
        <v>4</v>
      </c>
      <c r="E433">
        <f>'Unformatted Trip Summary'!E431</f>
        <v>8</v>
      </c>
      <c r="F433" s="1">
        <f>'Unformatted Trip Summary'!F431</f>
        <v>0.34837124250000001</v>
      </c>
      <c r="G433" s="1">
        <f>'Unformatted Trip Summary'!G431</f>
        <v>1.7173274164000001</v>
      </c>
      <c r="H433" s="1">
        <f>'Unformatted Trip Summary'!H431</f>
        <v>4.98300822E-2</v>
      </c>
    </row>
    <row r="434" spans="1:8" x14ac:dyDescent="0.2">
      <c r="A434" t="str">
        <f>'Unformatted Trip Summary'!A432</f>
        <v>06 HAWKE`S BAY</v>
      </c>
      <c r="B434" t="str">
        <f>'Unformatted Trip Summary'!J432</f>
        <v>2027/28</v>
      </c>
      <c r="C434" t="str">
        <f>'Unformatted Trip Summary'!I432</f>
        <v>Taxi/Vehicle Share</v>
      </c>
      <c r="D434">
        <f>'Unformatted Trip Summary'!D432</f>
        <v>4</v>
      </c>
      <c r="E434">
        <f>'Unformatted Trip Summary'!E432</f>
        <v>8</v>
      </c>
      <c r="F434" s="1">
        <f>'Unformatted Trip Summary'!F432</f>
        <v>0.36531258039999998</v>
      </c>
      <c r="G434" s="1">
        <f>'Unformatted Trip Summary'!G432</f>
        <v>1.7400284588999999</v>
      </c>
      <c r="H434" s="1">
        <f>'Unformatted Trip Summary'!H432</f>
        <v>5.2624842999999998E-2</v>
      </c>
    </row>
    <row r="435" spans="1:8" x14ac:dyDescent="0.2">
      <c r="A435" t="str">
        <f>'Unformatted Trip Summary'!A433</f>
        <v>06 HAWKE`S BAY</v>
      </c>
      <c r="B435" t="str">
        <f>'Unformatted Trip Summary'!J433</f>
        <v>2032/33</v>
      </c>
      <c r="C435" t="str">
        <f>'Unformatted Trip Summary'!I433</f>
        <v>Taxi/Vehicle Share</v>
      </c>
      <c r="D435">
        <f>'Unformatted Trip Summary'!D433</f>
        <v>4</v>
      </c>
      <c r="E435">
        <f>'Unformatted Trip Summary'!E433</f>
        <v>8</v>
      </c>
      <c r="F435" s="1">
        <f>'Unformatted Trip Summary'!F433</f>
        <v>0.38370008</v>
      </c>
      <c r="G435" s="1">
        <f>'Unformatted Trip Summary'!G433</f>
        <v>1.7771933863</v>
      </c>
      <c r="H435" s="1">
        <f>'Unformatted Trip Summary'!H433</f>
        <v>5.6304227700000001E-2</v>
      </c>
    </row>
    <row r="436" spans="1:8" x14ac:dyDescent="0.2">
      <c r="A436" t="str">
        <f>'Unformatted Trip Summary'!A434</f>
        <v>06 HAWKE`S BAY</v>
      </c>
      <c r="B436" t="str">
        <f>'Unformatted Trip Summary'!J434</f>
        <v>2037/38</v>
      </c>
      <c r="C436" t="str">
        <f>'Unformatted Trip Summary'!I434</f>
        <v>Taxi/Vehicle Share</v>
      </c>
      <c r="D436">
        <f>'Unformatted Trip Summary'!D434</f>
        <v>4</v>
      </c>
      <c r="E436">
        <f>'Unformatted Trip Summary'!E434</f>
        <v>8</v>
      </c>
      <c r="F436" s="1">
        <f>'Unformatted Trip Summary'!F434</f>
        <v>0.37932368379999998</v>
      </c>
      <c r="G436" s="1">
        <f>'Unformatted Trip Summary'!G434</f>
        <v>1.7378360394000001</v>
      </c>
      <c r="H436" s="1">
        <f>'Unformatted Trip Summary'!H434</f>
        <v>5.6771962600000003E-2</v>
      </c>
    </row>
    <row r="437" spans="1:8" x14ac:dyDescent="0.2">
      <c r="A437" t="str">
        <f>'Unformatted Trip Summary'!A435</f>
        <v>06 HAWKE`S BAY</v>
      </c>
      <c r="B437" t="str">
        <f>'Unformatted Trip Summary'!J435</f>
        <v>2042/43</v>
      </c>
      <c r="C437" t="str">
        <f>'Unformatted Trip Summary'!I435</f>
        <v>Taxi/Vehicle Share</v>
      </c>
      <c r="D437">
        <f>'Unformatted Trip Summary'!D435</f>
        <v>4</v>
      </c>
      <c r="E437">
        <f>'Unformatted Trip Summary'!E435</f>
        <v>8</v>
      </c>
      <c r="F437" s="1">
        <f>'Unformatted Trip Summary'!F435</f>
        <v>0.36581711420000002</v>
      </c>
      <c r="G437" s="1">
        <f>'Unformatted Trip Summary'!G435</f>
        <v>1.6757688264999999</v>
      </c>
      <c r="H437" s="1">
        <f>'Unformatted Trip Summary'!H435</f>
        <v>5.5454368900000002E-2</v>
      </c>
    </row>
    <row r="438" spans="1:8" x14ac:dyDescent="0.2">
      <c r="A438" t="str">
        <f>'Unformatted Trip Summary'!A436</f>
        <v>06 HAWKE`S BAY</v>
      </c>
      <c r="B438" t="str">
        <f>'Unformatted Trip Summary'!J436</f>
        <v>2012/13</v>
      </c>
      <c r="C438" t="str">
        <f>'Unformatted Trip Summary'!I436</f>
        <v>Motorcyclist</v>
      </c>
      <c r="D438">
        <f>'Unformatted Trip Summary'!D436</f>
        <v>6</v>
      </c>
      <c r="E438">
        <f>'Unformatted Trip Summary'!E436</f>
        <v>19</v>
      </c>
      <c r="F438" s="1">
        <f>'Unformatted Trip Summary'!F436</f>
        <v>0.65061969099999994</v>
      </c>
      <c r="G438" s="1">
        <f>'Unformatted Trip Summary'!G436</f>
        <v>3.0321841239</v>
      </c>
      <c r="H438" s="1">
        <f>'Unformatted Trip Summary'!H436</f>
        <v>0.11763194120000001</v>
      </c>
    </row>
    <row r="439" spans="1:8" x14ac:dyDescent="0.2">
      <c r="A439" t="str">
        <f>'Unformatted Trip Summary'!A437</f>
        <v>06 HAWKE`S BAY</v>
      </c>
      <c r="B439" t="str">
        <f>'Unformatted Trip Summary'!J437</f>
        <v>2017/18</v>
      </c>
      <c r="C439" t="str">
        <f>'Unformatted Trip Summary'!I437</f>
        <v>Motorcyclist</v>
      </c>
      <c r="D439">
        <f>'Unformatted Trip Summary'!D437</f>
        <v>6</v>
      </c>
      <c r="E439">
        <f>'Unformatted Trip Summary'!E437</f>
        <v>19</v>
      </c>
      <c r="F439" s="1">
        <f>'Unformatted Trip Summary'!F437</f>
        <v>0.62945791120000005</v>
      </c>
      <c r="G439" s="1">
        <f>'Unformatted Trip Summary'!G437</f>
        <v>3.1875832787</v>
      </c>
      <c r="H439" s="1">
        <f>'Unformatted Trip Summary'!H437</f>
        <v>0.1151544387</v>
      </c>
    </row>
    <row r="440" spans="1:8" x14ac:dyDescent="0.2">
      <c r="A440" t="str">
        <f>'Unformatted Trip Summary'!A438</f>
        <v>06 HAWKE`S BAY</v>
      </c>
      <c r="B440" t="str">
        <f>'Unformatted Trip Summary'!J438</f>
        <v>2022/23</v>
      </c>
      <c r="C440" t="str">
        <f>'Unformatted Trip Summary'!I438</f>
        <v>Motorcyclist</v>
      </c>
      <c r="D440">
        <f>'Unformatted Trip Summary'!D438</f>
        <v>6</v>
      </c>
      <c r="E440">
        <f>'Unformatted Trip Summary'!E438</f>
        <v>19</v>
      </c>
      <c r="F440" s="1">
        <f>'Unformatted Trip Summary'!F438</f>
        <v>0.60035954199999997</v>
      </c>
      <c r="G440" s="1">
        <f>'Unformatted Trip Summary'!G438</f>
        <v>3.2548629714000001</v>
      </c>
      <c r="H440" s="1">
        <f>'Unformatted Trip Summary'!H438</f>
        <v>0.112491759</v>
      </c>
    </row>
    <row r="441" spans="1:8" x14ac:dyDescent="0.2">
      <c r="A441" t="str">
        <f>'Unformatted Trip Summary'!A439</f>
        <v>06 HAWKE`S BAY</v>
      </c>
      <c r="B441" t="str">
        <f>'Unformatted Trip Summary'!J439</f>
        <v>2027/28</v>
      </c>
      <c r="C441" t="str">
        <f>'Unformatted Trip Summary'!I439</f>
        <v>Motorcyclist</v>
      </c>
      <c r="D441">
        <f>'Unformatted Trip Summary'!D439</f>
        <v>6</v>
      </c>
      <c r="E441">
        <f>'Unformatted Trip Summary'!E439</f>
        <v>19</v>
      </c>
      <c r="F441" s="1">
        <f>'Unformatted Trip Summary'!F439</f>
        <v>0.58796567929999999</v>
      </c>
      <c r="G441" s="1">
        <f>'Unformatted Trip Summary'!G439</f>
        <v>3.1261074221</v>
      </c>
      <c r="H441" s="1">
        <f>'Unformatted Trip Summary'!H439</f>
        <v>0.11052228879999999</v>
      </c>
    </row>
    <row r="442" spans="1:8" x14ac:dyDescent="0.2">
      <c r="A442" t="str">
        <f>'Unformatted Trip Summary'!A440</f>
        <v>06 HAWKE`S BAY</v>
      </c>
      <c r="B442" t="str">
        <f>'Unformatted Trip Summary'!J440</f>
        <v>2032/33</v>
      </c>
      <c r="C442" t="str">
        <f>'Unformatted Trip Summary'!I440</f>
        <v>Motorcyclist</v>
      </c>
      <c r="D442">
        <f>'Unformatted Trip Summary'!D440</f>
        <v>6</v>
      </c>
      <c r="E442">
        <f>'Unformatted Trip Summary'!E440</f>
        <v>19</v>
      </c>
      <c r="F442" s="1">
        <f>'Unformatted Trip Summary'!F440</f>
        <v>0.56101445630000002</v>
      </c>
      <c r="G442" s="1">
        <f>'Unformatted Trip Summary'!G440</f>
        <v>2.9348747708</v>
      </c>
      <c r="H442" s="1">
        <f>'Unformatted Trip Summary'!H440</f>
        <v>0.10380815810000001</v>
      </c>
    </row>
    <row r="443" spans="1:8" x14ac:dyDescent="0.2">
      <c r="A443" t="str">
        <f>'Unformatted Trip Summary'!A441</f>
        <v>06 HAWKE`S BAY</v>
      </c>
      <c r="B443" t="str">
        <f>'Unformatted Trip Summary'!J441</f>
        <v>2037/38</v>
      </c>
      <c r="C443" t="str">
        <f>'Unformatted Trip Summary'!I441</f>
        <v>Motorcyclist</v>
      </c>
      <c r="D443">
        <f>'Unformatted Trip Summary'!D441</f>
        <v>6</v>
      </c>
      <c r="E443">
        <f>'Unformatted Trip Summary'!E441</f>
        <v>19</v>
      </c>
      <c r="F443" s="1">
        <f>'Unformatted Trip Summary'!F441</f>
        <v>0.52737262060000001</v>
      </c>
      <c r="G443" s="1">
        <f>'Unformatted Trip Summary'!G441</f>
        <v>2.8298672750999998</v>
      </c>
      <c r="H443" s="1">
        <f>'Unformatted Trip Summary'!H441</f>
        <v>9.9600595799999997E-2</v>
      </c>
    </row>
    <row r="444" spans="1:8" x14ac:dyDescent="0.2">
      <c r="A444" t="str">
        <f>'Unformatted Trip Summary'!A442</f>
        <v>06 HAWKE`S BAY</v>
      </c>
      <c r="B444" t="str">
        <f>'Unformatted Trip Summary'!J442</f>
        <v>2042/43</v>
      </c>
      <c r="C444" t="str">
        <f>'Unformatted Trip Summary'!I442</f>
        <v>Motorcyclist</v>
      </c>
      <c r="D444">
        <f>'Unformatted Trip Summary'!D442</f>
        <v>6</v>
      </c>
      <c r="E444">
        <f>'Unformatted Trip Summary'!E442</f>
        <v>19</v>
      </c>
      <c r="F444" s="1">
        <f>'Unformatted Trip Summary'!F442</f>
        <v>0.49089190160000001</v>
      </c>
      <c r="G444" s="1">
        <f>'Unformatted Trip Summary'!G442</f>
        <v>2.7254703494000001</v>
      </c>
      <c r="H444" s="1">
        <f>'Unformatted Trip Summary'!H442</f>
        <v>9.5062928199999994E-2</v>
      </c>
    </row>
    <row r="445" spans="1:8" x14ac:dyDescent="0.2">
      <c r="A445" t="str">
        <f>'Unformatted Trip Summary'!A443</f>
        <v>06 HAWKE`S BAY</v>
      </c>
      <c r="B445" t="str">
        <f>'Unformatted Trip Summary'!J443</f>
        <v>2012/13</v>
      </c>
      <c r="C445" t="str">
        <f>'Unformatted Trip Summary'!I443</f>
        <v>Local Bus</v>
      </c>
      <c r="D445">
        <f>'Unformatted Trip Summary'!D443</f>
        <v>50</v>
      </c>
      <c r="E445">
        <f>'Unformatted Trip Summary'!E443</f>
        <v>142</v>
      </c>
      <c r="F445" s="1">
        <f>'Unformatted Trip Summary'!F443</f>
        <v>4.5218645043999999</v>
      </c>
      <c r="G445" s="1">
        <f>'Unformatted Trip Summary'!G443</f>
        <v>39.591997026999998</v>
      </c>
      <c r="H445" s="1">
        <f>'Unformatted Trip Summary'!H443</f>
        <v>1.3660147812000001</v>
      </c>
    </row>
    <row r="446" spans="1:8" x14ac:dyDescent="0.2">
      <c r="A446" t="str">
        <f>'Unformatted Trip Summary'!A444</f>
        <v>06 HAWKE`S BAY</v>
      </c>
      <c r="B446" t="str">
        <f>'Unformatted Trip Summary'!J444</f>
        <v>2017/18</v>
      </c>
      <c r="C446" t="str">
        <f>'Unformatted Trip Summary'!I444</f>
        <v>Local Bus</v>
      </c>
      <c r="D446">
        <f>'Unformatted Trip Summary'!D444</f>
        <v>50</v>
      </c>
      <c r="E446">
        <f>'Unformatted Trip Summary'!E444</f>
        <v>142</v>
      </c>
      <c r="F446" s="1">
        <f>'Unformatted Trip Summary'!F444</f>
        <v>4.5846954776000004</v>
      </c>
      <c r="G446" s="1">
        <f>'Unformatted Trip Summary'!G444</f>
        <v>39.067154361999997</v>
      </c>
      <c r="H446" s="1">
        <f>'Unformatted Trip Summary'!H444</f>
        <v>1.3904703866000001</v>
      </c>
    </row>
    <row r="447" spans="1:8" x14ac:dyDescent="0.2">
      <c r="A447" t="str">
        <f>'Unformatted Trip Summary'!A445</f>
        <v>06 HAWKE`S BAY</v>
      </c>
      <c r="B447" t="str">
        <f>'Unformatted Trip Summary'!J445</f>
        <v>2022/23</v>
      </c>
      <c r="C447" t="str">
        <f>'Unformatted Trip Summary'!I445</f>
        <v>Local Bus</v>
      </c>
      <c r="D447">
        <f>'Unformatted Trip Summary'!D445</f>
        <v>50</v>
      </c>
      <c r="E447">
        <f>'Unformatted Trip Summary'!E445</f>
        <v>142</v>
      </c>
      <c r="F447" s="1">
        <f>'Unformatted Trip Summary'!F445</f>
        <v>4.6584866930000004</v>
      </c>
      <c r="G447" s="1">
        <f>'Unformatted Trip Summary'!G445</f>
        <v>38.783810535000001</v>
      </c>
      <c r="H447" s="1">
        <f>'Unformatted Trip Summary'!H445</f>
        <v>1.4168894746</v>
      </c>
    </row>
    <row r="448" spans="1:8" x14ac:dyDescent="0.2">
      <c r="A448" t="str">
        <f>'Unformatted Trip Summary'!A446</f>
        <v>06 HAWKE`S BAY</v>
      </c>
      <c r="B448" t="str">
        <f>'Unformatted Trip Summary'!J446</f>
        <v>2027/28</v>
      </c>
      <c r="C448" t="str">
        <f>'Unformatted Trip Summary'!I446</f>
        <v>Local Bus</v>
      </c>
      <c r="D448">
        <f>'Unformatted Trip Summary'!D446</f>
        <v>50</v>
      </c>
      <c r="E448">
        <f>'Unformatted Trip Summary'!E446</f>
        <v>142</v>
      </c>
      <c r="F448" s="1">
        <f>'Unformatted Trip Summary'!F446</f>
        <v>4.8022400016000004</v>
      </c>
      <c r="G448" s="1">
        <f>'Unformatted Trip Summary'!G446</f>
        <v>39.982796995999998</v>
      </c>
      <c r="H448" s="1">
        <f>'Unformatted Trip Summary'!H446</f>
        <v>1.4610293612</v>
      </c>
    </row>
    <row r="449" spans="1:8" x14ac:dyDescent="0.2">
      <c r="A449" t="str">
        <f>'Unformatted Trip Summary'!A447</f>
        <v>06 HAWKE`S BAY</v>
      </c>
      <c r="B449" t="str">
        <f>'Unformatted Trip Summary'!J447</f>
        <v>2032/33</v>
      </c>
      <c r="C449" t="str">
        <f>'Unformatted Trip Summary'!I447</f>
        <v>Local Bus</v>
      </c>
      <c r="D449">
        <f>'Unformatted Trip Summary'!D447</f>
        <v>50</v>
      </c>
      <c r="E449">
        <f>'Unformatted Trip Summary'!E447</f>
        <v>142</v>
      </c>
      <c r="F449" s="1">
        <f>'Unformatted Trip Summary'!F447</f>
        <v>4.7936539044000002</v>
      </c>
      <c r="G449" s="1">
        <f>'Unformatted Trip Summary'!G447</f>
        <v>39.927268466999998</v>
      </c>
      <c r="H449" s="1">
        <f>'Unformatted Trip Summary'!H447</f>
        <v>1.4547817104</v>
      </c>
    </row>
    <row r="450" spans="1:8" x14ac:dyDescent="0.2">
      <c r="A450" t="str">
        <f>'Unformatted Trip Summary'!A448</f>
        <v>06 HAWKE`S BAY</v>
      </c>
      <c r="B450" t="str">
        <f>'Unformatted Trip Summary'!J448</f>
        <v>2037/38</v>
      </c>
      <c r="C450" t="str">
        <f>'Unformatted Trip Summary'!I448</f>
        <v>Local Bus</v>
      </c>
      <c r="D450">
        <f>'Unformatted Trip Summary'!D448</f>
        <v>50</v>
      </c>
      <c r="E450">
        <f>'Unformatted Trip Summary'!E448</f>
        <v>142</v>
      </c>
      <c r="F450" s="1">
        <f>'Unformatted Trip Summary'!F448</f>
        <v>4.8586774482999999</v>
      </c>
      <c r="G450" s="1">
        <f>'Unformatted Trip Summary'!G448</f>
        <v>40.523380023999998</v>
      </c>
      <c r="H450" s="1">
        <f>'Unformatted Trip Summary'!H448</f>
        <v>1.4754749255999999</v>
      </c>
    </row>
    <row r="451" spans="1:8" x14ac:dyDescent="0.2">
      <c r="A451" t="str">
        <f>'Unformatted Trip Summary'!A449</f>
        <v>06 HAWKE`S BAY</v>
      </c>
      <c r="B451" t="str">
        <f>'Unformatted Trip Summary'!J449</f>
        <v>2042/43</v>
      </c>
      <c r="C451" t="str">
        <f>'Unformatted Trip Summary'!I449</f>
        <v>Local Bus</v>
      </c>
      <c r="D451">
        <f>'Unformatted Trip Summary'!D449</f>
        <v>50</v>
      </c>
      <c r="E451">
        <f>'Unformatted Trip Summary'!E449</f>
        <v>142</v>
      </c>
      <c r="F451" s="1">
        <f>'Unformatted Trip Summary'!F449</f>
        <v>4.8936819215999998</v>
      </c>
      <c r="G451" s="1">
        <f>'Unformatted Trip Summary'!G449</f>
        <v>40.891760185999999</v>
      </c>
      <c r="H451" s="1">
        <f>'Unformatted Trip Summary'!H449</f>
        <v>1.4864887897000001</v>
      </c>
    </row>
    <row r="452" spans="1:8" x14ac:dyDescent="0.2">
      <c r="A452" t="str">
        <f>'Unformatted Trip Summary'!A450</f>
        <v>06 HAWKE`S BAY</v>
      </c>
      <c r="B452" t="str">
        <f>'Unformatted Trip Summary'!J450</f>
        <v>2012/13</v>
      </c>
      <c r="C452" t="str">
        <f>'Unformatted Trip Summary'!I450</f>
        <v>Other Household Travel</v>
      </c>
      <c r="D452">
        <f>'Unformatted Trip Summary'!D450</f>
        <v>3</v>
      </c>
      <c r="E452">
        <f>'Unformatted Trip Summary'!E450</f>
        <v>10</v>
      </c>
      <c r="F452" s="1">
        <f>'Unformatted Trip Summary'!F450</f>
        <v>0.49138149730000003</v>
      </c>
      <c r="G452" s="1">
        <f>'Unformatted Trip Summary'!G450</f>
        <v>0</v>
      </c>
      <c r="H452" s="1">
        <f>'Unformatted Trip Summary'!H450</f>
        <v>0.15778150060000001</v>
      </c>
    </row>
    <row r="453" spans="1:8" x14ac:dyDescent="0.2">
      <c r="A453" t="str">
        <f>'Unformatted Trip Summary'!A451</f>
        <v>06 HAWKE`S BAY</v>
      </c>
      <c r="B453" t="str">
        <f>'Unformatted Trip Summary'!J451</f>
        <v>2017/18</v>
      </c>
      <c r="C453" t="str">
        <f>'Unformatted Trip Summary'!I451</f>
        <v>Other Household Travel</v>
      </c>
      <c r="D453">
        <f>'Unformatted Trip Summary'!D451</f>
        <v>3</v>
      </c>
      <c r="E453">
        <f>'Unformatted Trip Summary'!E451</f>
        <v>10</v>
      </c>
      <c r="F453" s="1">
        <f>'Unformatted Trip Summary'!F451</f>
        <v>0.53393566260000003</v>
      </c>
      <c r="G453" s="1">
        <f>'Unformatted Trip Summary'!G451</f>
        <v>0</v>
      </c>
      <c r="H453" s="1">
        <f>'Unformatted Trip Summary'!H451</f>
        <v>0.1683227041</v>
      </c>
    </row>
    <row r="454" spans="1:8" x14ac:dyDescent="0.2">
      <c r="A454" t="str">
        <f>'Unformatted Trip Summary'!A452</f>
        <v>06 HAWKE`S BAY</v>
      </c>
      <c r="B454" t="str">
        <f>'Unformatted Trip Summary'!J452</f>
        <v>2022/23</v>
      </c>
      <c r="C454" t="str">
        <f>'Unformatted Trip Summary'!I452</f>
        <v>Other Household Travel</v>
      </c>
      <c r="D454">
        <f>'Unformatted Trip Summary'!D452</f>
        <v>3</v>
      </c>
      <c r="E454">
        <f>'Unformatted Trip Summary'!E452</f>
        <v>10</v>
      </c>
      <c r="F454" s="1">
        <f>'Unformatted Trip Summary'!F452</f>
        <v>0.62216360439999996</v>
      </c>
      <c r="G454" s="1">
        <f>'Unformatted Trip Summary'!G452</f>
        <v>0</v>
      </c>
      <c r="H454" s="1">
        <f>'Unformatted Trip Summary'!H452</f>
        <v>0.19254345010000001</v>
      </c>
    </row>
    <row r="455" spans="1:8" x14ac:dyDescent="0.2">
      <c r="A455" t="str">
        <f>'Unformatted Trip Summary'!A453</f>
        <v>06 HAWKE`S BAY</v>
      </c>
      <c r="B455" t="str">
        <f>'Unformatted Trip Summary'!J453</f>
        <v>2027/28</v>
      </c>
      <c r="C455" t="str">
        <f>'Unformatted Trip Summary'!I453</f>
        <v>Other Household Travel</v>
      </c>
      <c r="D455">
        <f>'Unformatted Trip Summary'!D453</f>
        <v>3</v>
      </c>
      <c r="E455">
        <f>'Unformatted Trip Summary'!E453</f>
        <v>10</v>
      </c>
      <c r="F455" s="1">
        <f>'Unformatted Trip Summary'!F453</f>
        <v>0.73655267290000004</v>
      </c>
      <c r="G455" s="1">
        <f>'Unformatted Trip Summary'!G453</f>
        <v>0</v>
      </c>
      <c r="H455" s="1">
        <f>'Unformatted Trip Summary'!H453</f>
        <v>0.2225215227</v>
      </c>
    </row>
    <row r="456" spans="1:8" x14ac:dyDescent="0.2">
      <c r="A456" t="str">
        <f>'Unformatted Trip Summary'!A454</f>
        <v>06 HAWKE`S BAY</v>
      </c>
      <c r="B456" t="str">
        <f>'Unformatted Trip Summary'!J454</f>
        <v>2032/33</v>
      </c>
      <c r="C456" t="str">
        <f>'Unformatted Trip Summary'!I454</f>
        <v>Other Household Travel</v>
      </c>
      <c r="D456">
        <f>'Unformatted Trip Summary'!D454</f>
        <v>3</v>
      </c>
      <c r="E456">
        <f>'Unformatted Trip Summary'!E454</f>
        <v>10</v>
      </c>
      <c r="F456" s="1">
        <f>'Unformatted Trip Summary'!F454</f>
        <v>0.82932938270000001</v>
      </c>
      <c r="G456" s="1">
        <f>'Unformatted Trip Summary'!G454</f>
        <v>0</v>
      </c>
      <c r="H456" s="1">
        <f>'Unformatted Trip Summary'!H454</f>
        <v>0.24474123540000001</v>
      </c>
    </row>
    <row r="457" spans="1:8" x14ac:dyDescent="0.2">
      <c r="A457" t="str">
        <f>'Unformatted Trip Summary'!A455</f>
        <v>06 HAWKE`S BAY</v>
      </c>
      <c r="B457" t="str">
        <f>'Unformatted Trip Summary'!J455</f>
        <v>2037/38</v>
      </c>
      <c r="C457" t="str">
        <f>'Unformatted Trip Summary'!I455</f>
        <v>Other Household Travel</v>
      </c>
      <c r="D457">
        <f>'Unformatted Trip Summary'!D455</f>
        <v>3</v>
      </c>
      <c r="E457">
        <f>'Unformatted Trip Summary'!E455</f>
        <v>10</v>
      </c>
      <c r="F457" s="1">
        <f>'Unformatted Trip Summary'!F455</f>
        <v>0.93760718279999999</v>
      </c>
      <c r="G457" s="1">
        <f>'Unformatted Trip Summary'!G455</f>
        <v>0</v>
      </c>
      <c r="H457" s="1">
        <f>'Unformatted Trip Summary'!H455</f>
        <v>0.27308603599999998</v>
      </c>
    </row>
    <row r="458" spans="1:8" x14ac:dyDescent="0.2">
      <c r="A458" t="str">
        <f>'Unformatted Trip Summary'!A456</f>
        <v>06 HAWKE`S BAY</v>
      </c>
      <c r="B458" t="str">
        <f>'Unformatted Trip Summary'!J456</f>
        <v>2042/43</v>
      </c>
      <c r="C458" t="str">
        <f>'Unformatted Trip Summary'!I456</f>
        <v>Other Household Travel</v>
      </c>
      <c r="D458">
        <f>'Unformatted Trip Summary'!D456</f>
        <v>3</v>
      </c>
      <c r="E458">
        <f>'Unformatted Trip Summary'!E456</f>
        <v>10</v>
      </c>
      <c r="F458" s="1">
        <f>'Unformatted Trip Summary'!F456</f>
        <v>1.0489365655</v>
      </c>
      <c r="G458" s="1">
        <f>'Unformatted Trip Summary'!G456</f>
        <v>0</v>
      </c>
      <c r="H458" s="1">
        <f>'Unformatted Trip Summary'!H456</f>
        <v>0.3021730151</v>
      </c>
    </row>
    <row r="459" spans="1:8" x14ac:dyDescent="0.2">
      <c r="A459" t="str">
        <f>'Unformatted Trip Summary'!A457</f>
        <v>06 HAWKE`S BAY</v>
      </c>
      <c r="B459" t="str">
        <f>'Unformatted Trip Summary'!J457</f>
        <v>2012/13</v>
      </c>
      <c r="C459" t="str">
        <f>'Unformatted Trip Summary'!I457</f>
        <v>Air/Non-Local PT</v>
      </c>
      <c r="D459">
        <f>'Unformatted Trip Summary'!D457</f>
        <v>3</v>
      </c>
      <c r="E459">
        <f>'Unformatted Trip Summary'!E457</f>
        <v>5</v>
      </c>
      <c r="F459" s="1">
        <f>'Unformatted Trip Summary'!F457</f>
        <v>0.36260942909999999</v>
      </c>
      <c r="G459" s="1">
        <f>'Unformatted Trip Summary'!G457</f>
        <v>56.865163273</v>
      </c>
      <c r="H459" s="1">
        <f>'Unformatted Trip Summary'!H457</f>
        <v>0.96259589999999995</v>
      </c>
    </row>
    <row r="460" spans="1:8" x14ac:dyDescent="0.2">
      <c r="A460" t="str">
        <f>'Unformatted Trip Summary'!A458</f>
        <v>06 HAWKE`S BAY</v>
      </c>
      <c r="B460" t="str">
        <f>'Unformatted Trip Summary'!J458</f>
        <v>2017/18</v>
      </c>
      <c r="C460" t="str">
        <f>'Unformatted Trip Summary'!I458</f>
        <v>Air/Non-Local PT</v>
      </c>
      <c r="D460">
        <f>'Unformatted Trip Summary'!D458</f>
        <v>3</v>
      </c>
      <c r="E460">
        <f>'Unformatted Trip Summary'!E458</f>
        <v>5</v>
      </c>
      <c r="F460" s="1">
        <f>'Unformatted Trip Summary'!F458</f>
        <v>0.41218094669999999</v>
      </c>
      <c r="G460" s="1">
        <f>'Unformatted Trip Summary'!G458</f>
        <v>64.457469644</v>
      </c>
      <c r="H460" s="1">
        <f>'Unformatted Trip Summary'!H458</f>
        <v>1.0922312090999999</v>
      </c>
    </row>
    <row r="461" spans="1:8" x14ac:dyDescent="0.2">
      <c r="A461" t="str">
        <f>'Unformatted Trip Summary'!A459</f>
        <v>06 HAWKE`S BAY</v>
      </c>
      <c r="B461" t="str">
        <f>'Unformatted Trip Summary'!J459</f>
        <v>2022/23</v>
      </c>
      <c r="C461" t="str">
        <f>'Unformatted Trip Summary'!I459</f>
        <v>Air/Non-Local PT</v>
      </c>
      <c r="D461">
        <f>'Unformatted Trip Summary'!D459</f>
        <v>3</v>
      </c>
      <c r="E461">
        <f>'Unformatted Trip Summary'!E459</f>
        <v>5</v>
      </c>
      <c r="F461" s="1">
        <f>'Unformatted Trip Summary'!F459</f>
        <v>0.43578535029999999</v>
      </c>
      <c r="G461" s="1">
        <f>'Unformatted Trip Summary'!G459</f>
        <v>67.593396251000001</v>
      </c>
      <c r="H461" s="1">
        <f>'Unformatted Trip Summary'!H459</f>
        <v>1.1484401098999999</v>
      </c>
    </row>
    <row r="462" spans="1:8" x14ac:dyDescent="0.2">
      <c r="A462" t="str">
        <f>'Unformatted Trip Summary'!A460</f>
        <v>06 HAWKE`S BAY</v>
      </c>
      <c r="B462" t="str">
        <f>'Unformatted Trip Summary'!J460</f>
        <v>2027/28</v>
      </c>
      <c r="C462" t="str">
        <f>'Unformatted Trip Summary'!I460</f>
        <v>Air/Non-Local PT</v>
      </c>
      <c r="D462">
        <f>'Unformatted Trip Summary'!D460</f>
        <v>3</v>
      </c>
      <c r="E462">
        <f>'Unformatted Trip Summary'!E460</f>
        <v>5</v>
      </c>
      <c r="F462" s="1">
        <f>'Unformatted Trip Summary'!F460</f>
        <v>0.43181254899999999</v>
      </c>
      <c r="G462" s="1">
        <f>'Unformatted Trip Summary'!G460</f>
        <v>66.915355112</v>
      </c>
      <c r="H462" s="1">
        <f>'Unformatted Trip Summary'!H460</f>
        <v>1.1363437809000001</v>
      </c>
    </row>
    <row r="463" spans="1:8" x14ac:dyDescent="0.2">
      <c r="A463" t="str">
        <f>'Unformatted Trip Summary'!A461</f>
        <v>06 HAWKE`S BAY</v>
      </c>
      <c r="B463" t="str">
        <f>'Unformatted Trip Summary'!J461</f>
        <v>2032/33</v>
      </c>
      <c r="C463" t="str">
        <f>'Unformatted Trip Summary'!I461</f>
        <v>Air/Non-Local PT</v>
      </c>
      <c r="D463">
        <f>'Unformatted Trip Summary'!D461</f>
        <v>3</v>
      </c>
      <c r="E463">
        <f>'Unformatted Trip Summary'!E461</f>
        <v>5</v>
      </c>
      <c r="F463" s="1">
        <f>'Unformatted Trip Summary'!F461</f>
        <v>0.42481782350000002</v>
      </c>
      <c r="G463" s="1">
        <f>'Unformatted Trip Summary'!G461</f>
        <v>65.572289224000002</v>
      </c>
      <c r="H463" s="1">
        <f>'Unformatted Trip Summary'!H461</f>
        <v>1.1150444648</v>
      </c>
    </row>
    <row r="464" spans="1:8" x14ac:dyDescent="0.2">
      <c r="A464" t="str">
        <f>'Unformatted Trip Summary'!A462</f>
        <v>06 HAWKE`S BAY</v>
      </c>
      <c r="B464" t="str">
        <f>'Unformatted Trip Summary'!J462</f>
        <v>2037/38</v>
      </c>
      <c r="C464" t="str">
        <f>'Unformatted Trip Summary'!I462</f>
        <v>Air/Non-Local PT</v>
      </c>
      <c r="D464">
        <f>'Unformatted Trip Summary'!D462</f>
        <v>3</v>
      </c>
      <c r="E464">
        <f>'Unformatted Trip Summary'!E462</f>
        <v>5</v>
      </c>
      <c r="F464" s="1">
        <f>'Unformatted Trip Summary'!F462</f>
        <v>0.42833646250000001</v>
      </c>
      <c r="G464" s="1">
        <f>'Unformatted Trip Summary'!G462</f>
        <v>67.784590874000003</v>
      </c>
      <c r="H464" s="1">
        <f>'Unformatted Trip Summary'!H462</f>
        <v>1.1412928702</v>
      </c>
    </row>
    <row r="465" spans="1:8" x14ac:dyDescent="0.2">
      <c r="A465" t="str">
        <f>'Unformatted Trip Summary'!A463</f>
        <v>06 HAWKE`S BAY</v>
      </c>
      <c r="B465" t="str">
        <f>'Unformatted Trip Summary'!J463</f>
        <v>2042/43</v>
      </c>
      <c r="C465" t="str">
        <f>'Unformatted Trip Summary'!I463</f>
        <v>Air/Non-Local PT</v>
      </c>
      <c r="D465">
        <f>'Unformatted Trip Summary'!D463</f>
        <v>3</v>
      </c>
      <c r="E465">
        <f>'Unformatted Trip Summary'!E463</f>
        <v>5</v>
      </c>
      <c r="F465" s="1">
        <f>'Unformatted Trip Summary'!F463</f>
        <v>0.42767384349999998</v>
      </c>
      <c r="G465" s="1">
        <f>'Unformatted Trip Summary'!G463</f>
        <v>69.396277479000005</v>
      </c>
      <c r="H465" s="1">
        <f>'Unformatted Trip Summary'!H463</f>
        <v>1.1570071708</v>
      </c>
    </row>
    <row r="466" spans="1:8" x14ac:dyDescent="0.2">
      <c r="A466" t="str">
        <f>'Unformatted Trip Summary'!A464</f>
        <v>06 HAWKE`S BAY</v>
      </c>
      <c r="B466" t="str">
        <f>'Unformatted Trip Summary'!J464</f>
        <v>2012/13</v>
      </c>
      <c r="C466" t="str">
        <f>'Unformatted Trip Summary'!I464</f>
        <v>Non-Household Travel</v>
      </c>
      <c r="D466">
        <f>'Unformatted Trip Summary'!D464</f>
        <v>8</v>
      </c>
      <c r="E466">
        <f>'Unformatted Trip Summary'!E464</f>
        <v>27</v>
      </c>
      <c r="F466" s="1">
        <f>'Unformatted Trip Summary'!F464</f>
        <v>0.84253347339999995</v>
      </c>
      <c r="G466" s="1">
        <f>'Unformatted Trip Summary'!G464</f>
        <v>31.621733808999998</v>
      </c>
      <c r="H466" s="1">
        <f>'Unformatted Trip Summary'!H464</f>
        <v>0.62196297879999995</v>
      </c>
    </row>
    <row r="467" spans="1:8" x14ac:dyDescent="0.2">
      <c r="A467" t="str">
        <f>'Unformatted Trip Summary'!A465</f>
        <v>06 HAWKE`S BAY</v>
      </c>
      <c r="B467" t="str">
        <f>'Unformatted Trip Summary'!J465</f>
        <v>2017/18</v>
      </c>
      <c r="C467" t="str">
        <f>'Unformatted Trip Summary'!I465</f>
        <v>Non-Household Travel</v>
      </c>
      <c r="D467">
        <f>'Unformatted Trip Summary'!D465</f>
        <v>8</v>
      </c>
      <c r="E467">
        <f>'Unformatted Trip Summary'!E465</f>
        <v>27</v>
      </c>
      <c r="F467" s="1">
        <f>'Unformatted Trip Summary'!F465</f>
        <v>0.97637985770000002</v>
      </c>
      <c r="G467" s="1">
        <f>'Unformatted Trip Summary'!G465</f>
        <v>37.395680161999998</v>
      </c>
      <c r="H467" s="1">
        <f>'Unformatted Trip Summary'!H465</f>
        <v>0.73418431959999997</v>
      </c>
    </row>
    <row r="468" spans="1:8" x14ac:dyDescent="0.2">
      <c r="A468" t="str">
        <f>'Unformatted Trip Summary'!A466</f>
        <v>06 HAWKE`S BAY</v>
      </c>
      <c r="B468" t="str">
        <f>'Unformatted Trip Summary'!J466</f>
        <v>2022/23</v>
      </c>
      <c r="C468" t="str">
        <f>'Unformatted Trip Summary'!I466</f>
        <v>Non-Household Travel</v>
      </c>
      <c r="D468">
        <f>'Unformatted Trip Summary'!D466</f>
        <v>8</v>
      </c>
      <c r="E468">
        <f>'Unformatted Trip Summary'!E466</f>
        <v>27</v>
      </c>
      <c r="F468" s="1">
        <f>'Unformatted Trip Summary'!F466</f>
        <v>1.0837026029000001</v>
      </c>
      <c r="G468" s="1">
        <f>'Unformatted Trip Summary'!G466</f>
        <v>40.777668796999997</v>
      </c>
      <c r="H468" s="1">
        <f>'Unformatted Trip Summary'!H466</f>
        <v>0.80873281200000002</v>
      </c>
    </row>
    <row r="469" spans="1:8" x14ac:dyDescent="0.2">
      <c r="A469" t="str">
        <f>'Unformatted Trip Summary'!A467</f>
        <v>06 HAWKE`S BAY</v>
      </c>
      <c r="B469" t="str">
        <f>'Unformatted Trip Summary'!J467</f>
        <v>2027/28</v>
      </c>
      <c r="C469" t="str">
        <f>'Unformatted Trip Summary'!I467</f>
        <v>Non-Household Travel</v>
      </c>
      <c r="D469">
        <f>'Unformatted Trip Summary'!D467</f>
        <v>8</v>
      </c>
      <c r="E469">
        <f>'Unformatted Trip Summary'!E467</f>
        <v>27</v>
      </c>
      <c r="F469" s="1">
        <f>'Unformatted Trip Summary'!F467</f>
        <v>1.1781478119</v>
      </c>
      <c r="G469" s="1">
        <f>'Unformatted Trip Summary'!G467</f>
        <v>41.329586708999997</v>
      </c>
      <c r="H469" s="1">
        <f>'Unformatted Trip Summary'!H467</f>
        <v>0.84328033260000002</v>
      </c>
    </row>
    <row r="470" spans="1:8" x14ac:dyDescent="0.2">
      <c r="A470" t="str">
        <f>'Unformatted Trip Summary'!A468</f>
        <v>06 HAWKE`S BAY</v>
      </c>
      <c r="B470" t="str">
        <f>'Unformatted Trip Summary'!J468</f>
        <v>2032/33</v>
      </c>
      <c r="C470" t="str">
        <f>'Unformatted Trip Summary'!I468</f>
        <v>Non-Household Travel</v>
      </c>
      <c r="D470">
        <f>'Unformatted Trip Summary'!D468</f>
        <v>8</v>
      </c>
      <c r="E470">
        <f>'Unformatted Trip Summary'!E468</f>
        <v>27</v>
      </c>
      <c r="F470" s="1">
        <f>'Unformatted Trip Summary'!F468</f>
        <v>1.2567958293999999</v>
      </c>
      <c r="G470" s="1">
        <f>'Unformatted Trip Summary'!G468</f>
        <v>42.300179186999998</v>
      </c>
      <c r="H470" s="1">
        <f>'Unformatted Trip Summary'!H468</f>
        <v>0.88103645109999995</v>
      </c>
    </row>
    <row r="471" spans="1:8" x14ac:dyDescent="0.2">
      <c r="A471" t="str">
        <f>'Unformatted Trip Summary'!A469</f>
        <v>06 HAWKE`S BAY</v>
      </c>
      <c r="B471" t="str">
        <f>'Unformatted Trip Summary'!J469</f>
        <v>2037/38</v>
      </c>
      <c r="C471" t="str">
        <f>'Unformatted Trip Summary'!I469</f>
        <v>Non-Household Travel</v>
      </c>
      <c r="D471">
        <f>'Unformatted Trip Summary'!D469</f>
        <v>8</v>
      </c>
      <c r="E471">
        <f>'Unformatted Trip Summary'!E469</f>
        <v>27</v>
      </c>
      <c r="F471" s="1">
        <f>'Unformatted Trip Summary'!F469</f>
        <v>1.3507100337</v>
      </c>
      <c r="G471" s="1">
        <f>'Unformatted Trip Summary'!G469</f>
        <v>44.417315520000002</v>
      </c>
      <c r="H471" s="1">
        <f>'Unformatted Trip Summary'!H469</f>
        <v>0.93944021929999999</v>
      </c>
    </row>
    <row r="472" spans="1:8" x14ac:dyDescent="0.2">
      <c r="A472" t="str">
        <f>'Unformatted Trip Summary'!A470</f>
        <v>06 HAWKE`S BAY</v>
      </c>
      <c r="B472" t="str">
        <f>'Unformatted Trip Summary'!J470</f>
        <v>2042/43</v>
      </c>
      <c r="C472" t="str">
        <f>'Unformatted Trip Summary'!I470</f>
        <v>Non-Household Travel</v>
      </c>
      <c r="D472">
        <f>'Unformatted Trip Summary'!D470</f>
        <v>8</v>
      </c>
      <c r="E472">
        <f>'Unformatted Trip Summary'!E470</f>
        <v>27</v>
      </c>
      <c r="F472" s="1">
        <f>'Unformatted Trip Summary'!F470</f>
        <v>1.4431240961</v>
      </c>
      <c r="G472" s="1">
        <f>'Unformatted Trip Summary'!G470</f>
        <v>46.544536250999997</v>
      </c>
      <c r="H472" s="1">
        <f>'Unformatted Trip Summary'!H470</f>
        <v>0.99821482530000005</v>
      </c>
    </row>
    <row r="473" spans="1:8" x14ac:dyDescent="0.2">
      <c r="A473" t="str">
        <f>'Unformatted Trip Summary'!A471</f>
        <v>07 TARANAKI</v>
      </c>
      <c r="B473" t="str">
        <f>'Unformatted Trip Summary'!J471</f>
        <v>2012/13</v>
      </c>
      <c r="C473" t="str">
        <f>'Unformatted Trip Summary'!I471</f>
        <v>Pedestrian</v>
      </c>
      <c r="D473">
        <f>'Unformatted Trip Summary'!D471</f>
        <v>314</v>
      </c>
      <c r="E473">
        <f>'Unformatted Trip Summary'!E471</f>
        <v>1091</v>
      </c>
      <c r="F473" s="1">
        <f>'Unformatted Trip Summary'!F471</f>
        <v>23.308571313000002</v>
      </c>
      <c r="G473" s="1">
        <f>'Unformatted Trip Summary'!G471</f>
        <v>16.820589198</v>
      </c>
      <c r="H473" s="1">
        <f>'Unformatted Trip Summary'!H471</f>
        <v>4.7547330373000003</v>
      </c>
    </row>
    <row r="474" spans="1:8" x14ac:dyDescent="0.2">
      <c r="A474" t="str">
        <f>'Unformatted Trip Summary'!A472</f>
        <v>07 TARANAKI</v>
      </c>
      <c r="B474" t="str">
        <f>'Unformatted Trip Summary'!J472</f>
        <v>2017/18</v>
      </c>
      <c r="C474" t="str">
        <f>'Unformatted Trip Summary'!I472</f>
        <v>Pedestrian</v>
      </c>
      <c r="D474">
        <f>'Unformatted Trip Summary'!D472</f>
        <v>314</v>
      </c>
      <c r="E474">
        <f>'Unformatted Trip Summary'!E472</f>
        <v>1091</v>
      </c>
      <c r="F474" s="1">
        <f>'Unformatted Trip Summary'!F472</f>
        <v>24.784559384000001</v>
      </c>
      <c r="G474" s="1">
        <f>'Unformatted Trip Summary'!G472</f>
        <v>17.989530228</v>
      </c>
      <c r="H474" s="1">
        <f>'Unformatted Trip Summary'!H472</f>
        <v>4.9240409299000003</v>
      </c>
    </row>
    <row r="475" spans="1:8" x14ac:dyDescent="0.2">
      <c r="A475" t="str">
        <f>'Unformatted Trip Summary'!A473</f>
        <v>07 TARANAKI</v>
      </c>
      <c r="B475" t="str">
        <f>'Unformatted Trip Summary'!J473</f>
        <v>2022/23</v>
      </c>
      <c r="C475" t="str">
        <f>'Unformatted Trip Summary'!I473</f>
        <v>Pedestrian</v>
      </c>
      <c r="D475">
        <f>'Unformatted Trip Summary'!D473</f>
        <v>314</v>
      </c>
      <c r="E475">
        <f>'Unformatted Trip Summary'!E473</f>
        <v>1091</v>
      </c>
      <c r="F475" s="1">
        <f>'Unformatted Trip Summary'!F473</f>
        <v>25.633265255000001</v>
      </c>
      <c r="G475" s="1">
        <f>'Unformatted Trip Summary'!G473</f>
        <v>18.667505445</v>
      </c>
      <c r="H475" s="1">
        <f>'Unformatted Trip Summary'!H473</f>
        <v>4.9887910597999996</v>
      </c>
    </row>
    <row r="476" spans="1:8" x14ac:dyDescent="0.2">
      <c r="A476" t="str">
        <f>'Unformatted Trip Summary'!A474</f>
        <v>07 TARANAKI</v>
      </c>
      <c r="B476" t="str">
        <f>'Unformatted Trip Summary'!J474</f>
        <v>2027/28</v>
      </c>
      <c r="C476" t="str">
        <f>'Unformatted Trip Summary'!I474</f>
        <v>Pedestrian</v>
      </c>
      <c r="D476">
        <f>'Unformatted Trip Summary'!D474</f>
        <v>314</v>
      </c>
      <c r="E476">
        <f>'Unformatted Trip Summary'!E474</f>
        <v>1091</v>
      </c>
      <c r="F476" s="1">
        <f>'Unformatted Trip Summary'!F474</f>
        <v>26.097367374000001</v>
      </c>
      <c r="G476" s="1">
        <f>'Unformatted Trip Summary'!G474</f>
        <v>19.145151000999999</v>
      </c>
      <c r="H476" s="1">
        <f>'Unformatted Trip Summary'!H474</f>
        <v>5.0138769118999997</v>
      </c>
    </row>
    <row r="477" spans="1:8" x14ac:dyDescent="0.2">
      <c r="A477" t="str">
        <f>'Unformatted Trip Summary'!A475</f>
        <v>07 TARANAKI</v>
      </c>
      <c r="B477" t="str">
        <f>'Unformatted Trip Summary'!J475</f>
        <v>2032/33</v>
      </c>
      <c r="C477" t="str">
        <f>'Unformatted Trip Summary'!I475</f>
        <v>Pedestrian</v>
      </c>
      <c r="D477">
        <f>'Unformatted Trip Summary'!D475</f>
        <v>314</v>
      </c>
      <c r="E477">
        <f>'Unformatted Trip Summary'!E475</f>
        <v>1091</v>
      </c>
      <c r="F477" s="1">
        <f>'Unformatted Trip Summary'!F475</f>
        <v>26.315828605</v>
      </c>
      <c r="G477" s="1">
        <f>'Unformatted Trip Summary'!G475</f>
        <v>19.415343363000002</v>
      </c>
      <c r="H477" s="1">
        <f>'Unformatted Trip Summary'!H475</f>
        <v>5.0120357493999999</v>
      </c>
    </row>
    <row r="478" spans="1:8" x14ac:dyDescent="0.2">
      <c r="A478" t="str">
        <f>'Unformatted Trip Summary'!A476</f>
        <v>07 TARANAKI</v>
      </c>
      <c r="B478" t="str">
        <f>'Unformatted Trip Summary'!J476</f>
        <v>2037/38</v>
      </c>
      <c r="C478" t="str">
        <f>'Unformatted Trip Summary'!I476</f>
        <v>Pedestrian</v>
      </c>
      <c r="D478">
        <f>'Unformatted Trip Summary'!D476</f>
        <v>314</v>
      </c>
      <c r="E478">
        <f>'Unformatted Trip Summary'!E476</f>
        <v>1091</v>
      </c>
      <c r="F478" s="1">
        <f>'Unformatted Trip Summary'!F476</f>
        <v>26.390149621999999</v>
      </c>
      <c r="G478" s="1">
        <f>'Unformatted Trip Summary'!G476</f>
        <v>19.642559527</v>
      </c>
      <c r="H478" s="1">
        <f>'Unformatted Trip Summary'!H476</f>
        <v>5.0011872242999997</v>
      </c>
    </row>
    <row r="479" spans="1:8" x14ac:dyDescent="0.2">
      <c r="A479" t="str">
        <f>'Unformatted Trip Summary'!A477</f>
        <v>07 TARANAKI</v>
      </c>
      <c r="B479" t="str">
        <f>'Unformatted Trip Summary'!J477</f>
        <v>2042/43</v>
      </c>
      <c r="C479" t="str">
        <f>'Unformatted Trip Summary'!I477</f>
        <v>Pedestrian</v>
      </c>
      <c r="D479">
        <f>'Unformatted Trip Summary'!D477</f>
        <v>314</v>
      </c>
      <c r="E479">
        <f>'Unformatted Trip Summary'!E477</f>
        <v>1091</v>
      </c>
      <c r="F479" s="1">
        <f>'Unformatted Trip Summary'!F477</f>
        <v>26.393977189000001</v>
      </c>
      <c r="G479" s="1">
        <f>'Unformatted Trip Summary'!G477</f>
        <v>19.837306814000002</v>
      </c>
      <c r="H479" s="1">
        <f>'Unformatted Trip Summary'!H477</f>
        <v>4.9820732127999996</v>
      </c>
    </row>
    <row r="480" spans="1:8" x14ac:dyDescent="0.2">
      <c r="A480" t="str">
        <f>'Unformatted Trip Summary'!A478</f>
        <v>07 TARANAKI</v>
      </c>
      <c r="B480" t="str">
        <f>'Unformatted Trip Summary'!J478</f>
        <v>2012/13</v>
      </c>
      <c r="C480" t="str">
        <f>'Unformatted Trip Summary'!I478</f>
        <v>Cyclist</v>
      </c>
      <c r="D480">
        <f>'Unformatted Trip Summary'!D478</f>
        <v>45</v>
      </c>
      <c r="E480">
        <f>'Unformatted Trip Summary'!E478</f>
        <v>133</v>
      </c>
      <c r="F480" s="1">
        <f>'Unformatted Trip Summary'!F478</f>
        <v>2.1611397319000001</v>
      </c>
      <c r="G480" s="1">
        <f>'Unformatted Trip Summary'!G478</f>
        <v>5.5737915155</v>
      </c>
      <c r="H480" s="1">
        <f>'Unformatted Trip Summary'!H478</f>
        <v>0.51341482110000003</v>
      </c>
    </row>
    <row r="481" spans="1:8" x14ac:dyDescent="0.2">
      <c r="A481" t="str">
        <f>'Unformatted Trip Summary'!A479</f>
        <v>07 TARANAKI</v>
      </c>
      <c r="B481" t="str">
        <f>'Unformatted Trip Summary'!J479</f>
        <v>2017/18</v>
      </c>
      <c r="C481" t="str">
        <f>'Unformatted Trip Summary'!I479</f>
        <v>Cyclist</v>
      </c>
      <c r="D481">
        <f>'Unformatted Trip Summary'!D479</f>
        <v>45</v>
      </c>
      <c r="E481">
        <f>'Unformatted Trip Summary'!E479</f>
        <v>133</v>
      </c>
      <c r="F481" s="1">
        <f>'Unformatted Trip Summary'!F479</f>
        <v>2.2177321568999999</v>
      </c>
      <c r="G481" s="1">
        <f>'Unformatted Trip Summary'!G479</f>
        <v>5.8278757674000001</v>
      </c>
      <c r="H481" s="1">
        <f>'Unformatted Trip Summary'!H479</f>
        <v>0.54255206919999999</v>
      </c>
    </row>
    <row r="482" spans="1:8" x14ac:dyDescent="0.2">
      <c r="A482" t="str">
        <f>'Unformatted Trip Summary'!A480</f>
        <v>07 TARANAKI</v>
      </c>
      <c r="B482" t="str">
        <f>'Unformatted Trip Summary'!J480</f>
        <v>2022/23</v>
      </c>
      <c r="C482" t="str">
        <f>'Unformatted Trip Summary'!I480</f>
        <v>Cyclist</v>
      </c>
      <c r="D482">
        <f>'Unformatted Trip Summary'!D480</f>
        <v>45</v>
      </c>
      <c r="E482">
        <f>'Unformatted Trip Summary'!E480</f>
        <v>133</v>
      </c>
      <c r="F482" s="1">
        <f>'Unformatted Trip Summary'!F480</f>
        <v>2.2566620090999998</v>
      </c>
      <c r="G482" s="1">
        <f>'Unformatted Trip Summary'!G480</f>
        <v>5.9734360370999999</v>
      </c>
      <c r="H482" s="1">
        <f>'Unformatted Trip Summary'!H480</f>
        <v>0.5612669334</v>
      </c>
    </row>
    <row r="483" spans="1:8" x14ac:dyDescent="0.2">
      <c r="A483" t="str">
        <f>'Unformatted Trip Summary'!A481</f>
        <v>07 TARANAKI</v>
      </c>
      <c r="B483" t="str">
        <f>'Unformatted Trip Summary'!J481</f>
        <v>2027/28</v>
      </c>
      <c r="C483" t="str">
        <f>'Unformatted Trip Summary'!I481</f>
        <v>Cyclist</v>
      </c>
      <c r="D483">
        <f>'Unformatted Trip Summary'!D481</f>
        <v>45</v>
      </c>
      <c r="E483">
        <f>'Unformatted Trip Summary'!E481</f>
        <v>133</v>
      </c>
      <c r="F483" s="1">
        <f>'Unformatted Trip Summary'!F481</f>
        <v>2.2404857704999999</v>
      </c>
      <c r="G483" s="1">
        <f>'Unformatted Trip Summary'!G481</f>
        <v>5.8476829164000002</v>
      </c>
      <c r="H483" s="1">
        <f>'Unformatted Trip Summary'!H481</f>
        <v>0.55522768300000003</v>
      </c>
    </row>
    <row r="484" spans="1:8" x14ac:dyDescent="0.2">
      <c r="A484" t="str">
        <f>'Unformatted Trip Summary'!A482</f>
        <v>07 TARANAKI</v>
      </c>
      <c r="B484" t="str">
        <f>'Unformatted Trip Summary'!J482</f>
        <v>2032/33</v>
      </c>
      <c r="C484" t="str">
        <f>'Unformatted Trip Summary'!I482</f>
        <v>Cyclist</v>
      </c>
      <c r="D484">
        <f>'Unformatted Trip Summary'!D482</f>
        <v>45</v>
      </c>
      <c r="E484">
        <f>'Unformatted Trip Summary'!E482</f>
        <v>133</v>
      </c>
      <c r="F484" s="1">
        <f>'Unformatted Trip Summary'!F482</f>
        <v>2.2301019987999999</v>
      </c>
      <c r="G484" s="1">
        <f>'Unformatted Trip Summary'!G482</f>
        <v>5.8855402990999997</v>
      </c>
      <c r="H484" s="1">
        <f>'Unformatted Trip Summary'!H482</f>
        <v>0.56242724690000001</v>
      </c>
    </row>
    <row r="485" spans="1:8" x14ac:dyDescent="0.2">
      <c r="A485" t="str">
        <f>'Unformatted Trip Summary'!A483</f>
        <v>07 TARANAKI</v>
      </c>
      <c r="B485" t="str">
        <f>'Unformatted Trip Summary'!J483</f>
        <v>2037/38</v>
      </c>
      <c r="C485" t="str">
        <f>'Unformatted Trip Summary'!I483</f>
        <v>Cyclist</v>
      </c>
      <c r="D485">
        <f>'Unformatted Trip Summary'!D483</f>
        <v>45</v>
      </c>
      <c r="E485">
        <f>'Unformatted Trip Summary'!E483</f>
        <v>133</v>
      </c>
      <c r="F485" s="1">
        <f>'Unformatted Trip Summary'!F483</f>
        <v>2.1872703161999998</v>
      </c>
      <c r="G485" s="1">
        <f>'Unformatted Trip Summary'!G483</f>
        <v>6.0333285656999998</v>
      </c>
      <c r="H485" s="1">
        <f>'Unformatted Trip Summary'!H483</f>
        <v>0.57527845200000005</v>
      </c>
    </row>
    <row r="486" spans="1:8" x14ac:dyDescent="0.2">
      <c r="A486" t="str">
        <f>'Unformatted Trip Summary'!A484</f>
        <v>07 TARANAKI</v>
      </c>
      <c r="B486" t="str">
        <f>'Unformatted Trip Summary'!J484</f>
        <v>2042/43</v>
      </c>
      <c r="C486" t="str">
        <f>'Unformatted Trip Summary'!I484</f>
        <v>Cyclist</v>
      </c>
      <c r="D486">
        <f>'Unformatted Trip Summary'!D484</f>
        <v>45</v>
      </c>
      <c r="E486">
        <f>'Unformatted Trip Summary'!E484</f>
        <v>133</v>
      </c>
      <c r="F486" s="1">
        <f>'Unformatted Trip Summary'!F484</f>
        <v>2.1480162570000001</v>
      </c>
      <c r="G486" s="1">
        <f>'Unformatted Trip Summary'!G484</f>
        <v>6.2130300219999999</v>
      </c>
      <c r="H486" s="1">
        <f>'Unformatted Trip Summary'!H484</f>
        <v>0.59059266180000003</v>
      </c>
    </row>
    <row r="487" spans="1:8" x14ac:dyDescent="0.2">
      <c r="A487" t="str">
        <f>'Unformatted Trip Summary'!A485</f>
        <v>07 TARANAKI</v>
      </c>
      <c r="B487" t="str">
        <f>'Unformatted Trip Summary'!J485</f>
        <v>2012/13</v>
      </c>
      <c r="C487" t="str">
        <f>'Unformatted Trip Summary'!I485</f>
        <v>Light Vehicle Driver</v>
      </c>
      <c r="D487">
        <f>'Unformatted Trip Summary'!D485</f>
        <v>575</v>
      </c>
      <c r="E487">
        <f>'Unformatted Trip Summary'!E485</f>
        <v>4143</v>
      </c>
      <c r="F487" s="1">
        <f>'Unformatted Trip Summary'!F485</f>
        <v>90.801950900999998</v>
      </c>
      <c r="G487" s="1">
        <f>'Unformatted Trip Summary'!G485</f>
        <v>933.36875414999997</v>
      </c>
      <c r="H487" s="1">
        <f>'Unformatted Trip Summary'!H485</f>
        <v>21.205429401</v>
      </c>
    </row>
    <row r="488" spans="1:8" x14ac:dyDescent="0.2">
      <c r="A488" t="str">
        <f>'Unformatted Trip Summary'!A486</f>
        <v>07 TARANAKI</v>
      </c>
      <c r="B488" t="str">
        <f>'Unformatted Trip Summary'!J486</f>
        <v>2017/18</v>
      </c>
      <c r="C488" t="str">
        <f>'Unformatted Trip Summary'!I486</f>
        <v>Light Vehicle Driver</v>
      </c>
      <c r="D488">
        <f>'Unformatted Trip Summary'!D486</f>
        <v>575</v>
      </c>
      <c r="E488">
        <f>'Unformatted Trip Summary'!E486</f>
        <v>4143</v>
      </c>
      <c r="F488" s="1">
        <f>'Unformatted Trip Summary'!F486</f>
        <v>98.829148058000001</v>
      </c>
      <c r="G488" s="1">
        <f>'Unformatted Trip Summary'!G486</f>
        <v>1030.4070336</v>
      </c>
      <c r="H488" s="1">
        <f>'Unformatted Trip Summary'!H486</f>
        <v>23.281397449</v>
      </c>
    </row>
    <row r="489" spans="1:8" x14ac:dyDescent="0.2">
      <c r="A489" t="str">
        <f>'Unformatted Trip Summary'!A487</f>
        <v>07 TARANAKI</v>
      </c>
      <c r="B489" t="str">
        <f>'Unformatted Trip Summary'!J487</f>
        <v>2022/23</v>
      </c>
      <c r="C489" t="str">
        <f>'Unformatted Trip Summary'!I487</f>
        <v>Light Vehicle Driver</v>
      </c>
      <c r="D489">
        <f>'Unformatted Trip Summary'!D487</f>
        <v>575</v>
      </c>
      <c r="E489">
        <f>'Unformatted Trip Summary'!E487</f>
        <v>4143</v>
      </c>
      <c r="F489" s="1">
        <f>'Unformatted Trip Summary'!F487</f>
        <v>104.55723299</v>
      </c>
      <c r="G489" s="1">
        <f>'Unformatted Trip Summary'!G487</f>
        <v>1096.7968025</v>
      </c>
      <c r="H489" s="1">
        <f>'Unformatted Trip Summary'!H487</f>
        <v>24.726116946000001</v>
      </c>
    </row>
    <row r="490" spans="1:8" x14ac:dyDescent="0.2">
      <c r="A490" t="str">
        <f>'Unformatted Trip Summary'!A488</f>
        <v>07 TARANAKI</v>
      </c>
      <c r="B490" t="str">
        <f>'Unformatted Trip Summary'!J488</f>
        <v>2027/28</v>
      </c>
      <c r="C490" t="str">
        <f>'Unformatted Trip Summary'!I488</f>
        <v>Light Vehicle Driver</v>
      </c>
      <c r="D490">
        <f>'Unformatted Trip Summary'!D488</f>
        <v>575</v>
      </c>
      <c r="E490">
        <f>'Unformatted Trip Summary'!E488</f>
        <v>4143</v>
      </c>
      <c r="F490" s="1">
        <f>'Unformatted Trip Summary'!F488</f>
        <v>109.73771908000001</v>
      </c>
      <c r="G490" s="1">
        <f>'Unformatted Trip Summary'!G488</f>
        <v>1146.8859440000001</v>
      </c>
      <c r="H490" s="1">
        <f>'Unformatted Trip Summary'!H488</f>
        <v>25.934060488</v>
      </c>
    </row>
    <row r="491" spans="1:8" x14ac:dyDescent="0.2">
      <c r="A491" t="str">
        <f>'Unformatted Trip Summary'!A489</f>
        <v>07 TARANAKI</v>
      </c>
      <c r="B491" t="str">
        <f>'Unformatted Trip Summary'!J489</f>
        <v>2032/33</v>
      </c>
      <c r="C491" t="str">
        <f>'Unformatted Trip Summary'!I489</f>
        <v>Light Vehicle Driver</v>
      </c>
      <c r="D491">
        <f>'Unformatted Trip Summary'!D489</f>
        <v>575</v>
      </c>
      <c r="E491">
        <f>'Unformatted Trip Summary'!E489</f>
        <v>4143</v>
      </c>
      <c r="F491" s="1">
        <f>'Unformatted Trip Summary'!F489</f>
        <v>112.61483174999999</v>
      </c>
      <c r="G491" s="1">
        <f>'Unformatted Trip Summary'!G489</f>
        <v>1173.6042184</v>
      </c>
      <c r="H491" s="1">
        <f>'Unformatted Trip Summary'!H489</f>
        <v>26.621935246</v>
      </c>
    </row>
    <row r="492" spans="1:8" x14ac:dyDescent="0.2">
      <c r="A492" t="str">
        <f>'Unformatted Trip Summary'!A490</f>
        <v>07 TARANAKI</v>
      </c>
      <c r="B492" t="str">
        <f>'Unformatted Trip Summary'!J490</f>
        <v>2037/38</v>
      </c>
      <c r="C492" t="str">
        <f>'Unformatted Trip Summary'!I490</f>
        <v>Light Vehicle Driver</v>
      </c>
      <c r="D492">
        <f>'Unformatted Trip Summary'!D490</f>
        <v>575</v>
      </c>
      <c r="E492">
        <f>'Unformatted Trip Summary'!E490</f>
        <v>4143</v>
      </c>
      <c r="F492" s="1">
        <f>'Unformatted Trip Summary'!F490</f>
        <v>114.85457198</v>
      </c>
      <c r="G492" s="1">
        <f>'Unformatted Trip Summary'!G490</f>
        <v>1206.7224369999999</v>
      </c>
      <c r="H492" s="1">
        <f>'Unformatted Trip Summary'!H490</f>
        <v>27.314699483999998</v>
      </c>
    </row>
    <row r="493" spans="1:8" x14ac:dyDescent="0.2">
      <c r="A493" t="str">
        <f>'Unformatted Trip Summary'!A491</f>
        <v>07 TARANAKI</v>
      </c>
      <c r="B493" t="str">
        <f>'Unformatted Trip Summary'!J491</f>
        <v>2042/43</v>
      </c>
      <c r="C493" t="str">
        <f>'Unformatted Trip Summary'!I491</f>
        <v>Light Vehicle Driver</v>
      </c>
      <c r="D493">
        <f>'Unformatted Trip Summary'!D491</f>
        <v>575</v>
      </c>
      <c r="E493">
        <f>'Unformatted Trip Summary'!E491</f>
        <v>4143</v>
      </c>
      <c r="F493" s="1">
        <f>'Unformatted Trip Summary'!F491</f>
        <v>116.39216145</v>
      </c>
      <c r="G493" s="1">
        <f>'Unformatted Trip Summary'!G491</f>
        <v>1233.6395829000001</v>
      </c>
      <c r="H493" s="1">
        <f>'Unformatted Trip Summary'!H491</f>
        <v>27.856270714000001</v>
      </c>
    </row>
    <row r="494" spans="1:8" x14ac:dyDescent="0.2">
      <c r="A494" t="str">
        <f>'Unformatted Trip Summary'!A492</f>
        <v>07 TARANAKI</v>
      </c>
      <c r="B494" t="str">
        <f>'Unformatted Trip Summary'!J492</f>
        <v>2012/13</v>
      </c>
      <c r="C494" t="str">
        <f>'Unformatted Trip Summary'!I492</f>
        <v>Light Vehicle Passenger</v>
      </c>
      <c r="D494">
        <f>'Unformatted Trip Summary'!D492</f>
        <v>446</v>
      </c>
      <c r="E494">
        <f>'Unformatted Trip Summary'!E492</f>
        <v>2212</v>
      </c>
      <c r="F494" s="1">
        <f>'Unformatted Trip Summary'!F492</f>
        <v>45.48406773</v>
      </c>
      <c r="G494" s="1">
        <f>'Unformatted Trip Summary'!G492</f>
        <v>656.25872372000003</v>
      </c>
      <c r="H494" s="1">
        <f>'Unformatted Trip Summary'!H492</f>
        <v>13.125178352000001</v>
      </c>
    </row>
    <row r="495" spans="1:8" x14ac:dyDescent="0.2">
      <c r="A495" t="str">
        <f>'Unformatted Trip Summary'!A493</f>
        <v>07 TARANAKI</v>
      </c>
      <c r="B495" t="str">
        <f>'Unformatted Trip Summary'!J493</f>
        <v>2017/18</v>
      </c>
      <c r="C495" t="str">
        <f>'Unformatted Trip Summary'!I493</f>
        <v>Light Vehicle Passenger</v>
      </c>
      <c r="D495">
        <f>'Unformatted Trip Summary'!D493</f>
        <v>446</v>
      </c>
      <c r="E495">
        <f>'Unformatted Trip Summary'!E493</f>
        <v>2212</v>
      </c>
      <c r="F495" s="1">
        <f>'Unformatted Trip Summary'!F493</f>
        <v>46.789602082999998</v>
      </c>
      <c r="G495" s="1">
        <f>'Unformatted Trip Summary'!G493</f>
        <v>671.37100128999998</v>
      </c>
      <c r="H495" s="1">
        <f>'Unformatted Trip Summary'!H493</f>
        <v>13.447135551000001</v>
      </c>
    </row>
    <row r="496" spans="1:8" x14ac:dyDescent="0.2">
      <c r="A496" t="str">
        <f>'Unformatted Trip Summary'!A494</f>
        <v>07 TARANAKI</v>
      </c>
      <c r="B496" t="str">
        <f>'Unformatted Trip Summary'!J494</f>
        <v>2022/23</v>
      </c>
      <c r="C496" t="str">
        <f>'Unformatted Trip Summary'!I494</f>
        <v>Light Vehicle Passenger</v>
      </c>
      <c r="D496">
        <f>'Unformatted Trip Summary'!D494</f>
        <v>446</v>
      </c>
      <c r="E496">
        <f>'Unformatted Trip Summary'!E494</f>
        <v>2212</v>
      </c>
      <c r="F496" s="1">
        <f>'Unformatted Trip Summary'!F494</f>
        <v>47.736279781</v>
      </c>
      <c r="G496" s="1">
        <f>'Unformatted Trip Summary'!G494</f>
        <v>680.81954009000003</v>
      </c>
      <c r="H496" s="1">
        <f>'Unformatted Trip Summary'!H494</f>
        <v>13.669036218</v>
      </c>
    </row>
    <row r="497" spans="1:8" x14ac:dyDescent="0.2">
      <c r="A497" t="str">
        <f>'Unformatted Trip Summary'!A495</f>
        <v>07 TARANAKI</v>
      </c>
      <c r="B497" t="str">
        <f>'Unformatted Trip Summary'!J495</f>
        <v>2027/28</v>
      </c>
      <c r="C497" t="str">
        <f>'Unformatted Trip Summary'!I495</f>
        <v>Light Vehicle Passenger</v>
      </c>
      <c r="D497">
        <f>'Unformatted Trip Summary'!D495</f>
        <v>446</v>
      </c>
      <c r="E497">
        <f>'Unformatted Trip Summary'!E495</f>
        <v>2212</v>
      </c>
      <c r="F497" s="1">
        <f>'Unformatted Trip Summary'!F495</f>
        <v>48.644344506000003</v>
      </c>
      <c r="G497" s="1">
        <f>'Unformatted Trip Summary'!G495</f>
        <v>694.11377503000006</v>
      </c>
      <c r="H497" s="1">
        <f>'Unformatted Trip Summary'!H495</f>
        <v>13.960941639</v>
      </c>
    </row>
    <row r="498" spans="1:8" x14ac:dyDescent="0.2">
      <c r="A498" t="str">
        <f>'Unformatted Trip Summary'!A496</f>
        <v>07 TARANAKI</v>
      </c>
      <c r="B498" t="str">
        <f>'Unformatted Trip Summary'!J496</f>
        <v>2032/33</v>
      </c>
      <c r="C498" t="str">
        <f>'Unformatted Trip Summary'!I496</f>
        <v>Light Vehicle Passenger</v>
      </c>
      <c r="D498">
        <f>'Unformatted Trip Summary'!D496</f>
        <v>446</v>
      </c>
      <c r="E498">
        <f>'Unformatted Trip Summary'!E496</f>
        <v>2212</v>
      </c>
      <c r="F498" s="1">
        <f>'Unformatted Trip Summary'!F496</f>
        <v>49.470646782000003</v>
      </c>
      <c r="G498" s="1">
        <f>'Unformatted Trip Summary'!G496</f>
        <v>707.75371662999999</v>
      </c>
      <c r="H498" s="1">
        <f>'Unformatted Trip Summary'!H496</f>
        <v>14.237306134000001</v>
      </c>
    </row>
    <row r="499" spans="1:8" x14ac:dyDescent="0.2">
      <c r="A499" t="str">
        <f>'Unformatted Trip Summary'!A497</f>
        <v>07 TARANAKI</v>
      </c>
      <c r="B499" t="str">
        <f>'Unformatted Trip Summary'!J497</f>
        <v>2037/38</v>
      </c>
      <c r="C499" t="str">
        <f>'Unformatted Trip Summary'!I497</f>
        <v>Light Vehicle Passenger</v>
      </c>
      <c r="D499">
        <f>'Unformatted Trip Summary'!D497</f>
        <v>446</v>
      </c>
      <c r="E499">
        <f>'Unformatted Trip Summary'!E497</f>
        <v>2212</v>
      </c>
      <c r="F499" s="1">
        <f>'Unformatted Trip Summary'!F497</f>
        <v>49.910576480000003</v>
      </c>
      <c r="G499" s="1">
        <f>'Unformatted Trip Summary'!G497</f>
        <v>711.29695937999998</v>
      </c>
      <c r="H499" s="1">
        <f>'Unformatted Trip Summary'!H497</f>
        <v>14.337920617</v>
      </c>
    </row>
    <row r="500" spans="1:8" x14ac:dyDescent="0.2">
      <c r="A500" t="str">
        <f>'Unformatted Trip Summary'!A498</f>
        <v>07 TARANAKI</v>
      </c>
      <c r="B500" t="str">
        <f>'Unformatted Trip Summary'!J498</f>
        <v>2042/43</v>
      </c>
      <c r="C500" t="str">
        <f>'Unformatted Trip Summary'!I498</f>
        <v>Light Vehicle Passenger</v>
      </c>
      <c r="D500">
        <f>'Unformatted Trip Summary'!D498</f>
        <v>446</v>
      </c>
      <c r="E500">
        <f>'Unformatted Trip Summary'!E498</f>
        <v>2212</v>
      </c>
      <c r="F500" s="1">
        <f>'Unformatted Trip Summary'!F498</f>
        <v>50.024051577999998</v>
      </c>
      <c r="G500" s="1">
        <f>'Unformatted Trip Summary'!G498</f>
        <v>710.24495374000003</v>
      </c>
      <c r="H500" s="1">
        <f>'Unformatted Trip Summary'!H498</f>
        <v>14.345690527</v>
      </c>
    </row>
    <row r="501" spans="1:8" x14ac:dyDescent="0.2">
      <c r="A501" t="str">
        <f>'Unformatted Trip Summary'!A499</f>
        <v>07 TARANAKI</v>
      </c>
      <c r="B501" t="str">
        <f>'Unformatted Trip Summary'!J499</f>
        <v>2012/13</v>
      </c>
      <c r="C501" t="str">
        <f>'Unformatted Trip Summary'!I499</f>
        <v>Taxi/Vehicle Share</v>
      </c>
      <c r="D501">
        <f>'Unformatted Trip Summary'!D499</f>
        <v>10</v>
      </c>
      <c r="E501">
        <f>'Unformatted Trip Summary'!E499</f>
        <v>18</v>
      </c>
      <c r="F501" s="1">
        <f>'Unformatted Trip Summary'!F499</f>
        <v>0.56194422089999996</v>
      </c>
      <c r="G501" s="1">
        <f>'Unformatted Trip Summary'!G499</f>
        <v>1.1335038904000001</v>
      </c>
      <c r="H501" s="1">
        <f>'Unformatted Trip Summary'!H499</f>
        <v>0.10005985589999999</v>
      </c>
    </row>
    <row r="502" spans="1:8" x14ac:dyDescent="0.2">
      <c r="A502" t="str">
        <f>'Unformatted Trip Summary'!A500</f>
        <v>07 TARANAKI</v>
      </c>
      <c r="B502" t="str">
        <f>'Unformatted Trip Summary'!J500</f>
        <v>2017/18</v>
      </c>
      <c r="C502" t="str">
        <f>'Unformatted Trip Summary'!I500</f>
        <v>Taxi/Vehicle Share</v>
      </c>
      <c r="D502">
        <f>'Unformatted Trip Summary'!D500</f>
        <v>10</v>
      </c>
      <c r="E502">
        <f>'Unformatted Trip Summary'!E500</f>
        <v>18</v>
      </c>
      <c r="F502" s="1">
        <f>'Unformatted Trip Summary'!F500</f>
        <v>0.70425760110000002</v>
      </c>
      <c r="G502" s="1">
        <f>'Unformatted Trip Summary'!G500</f>
        <v>1.4207678231</v>
      </c>
      <c r="H502" s="1">
        <f>'Unformatted Trip Summary'!H500</f>
        <v>0.12599228160000001</v>
      </c>
    </row>
    <row r="503" spans="1:8" x14ac:dyDescent="0.2">
      <c r="A503" t="str">
        <f>'Unformatted Trip Summary'!A501</f>
        <v>07 TARANAKI</v>
      </c>
      <c r="B503" t="str">
        <f>'Unformatted Trip Summary'!J501</f>
        <v>2022/23</v>
      </c>
      <c r="C503" t="str">
        <f>'Unformatted Trip Summary'!I501</f>
        <v>Taxi/Vehicle Share</v>
      </c>
      <c r="D503">
        <f>'Unformatted Trip Summary'!D501</f>
        <v>10</v>
      </c>
      <c r="E503">
        <f>'Unformatted Trip Summary'!E501</f>
        <v>18</v>
      </c>
      <c r="F503" s="1">
        <f>'Unformatted Trip Summary'!F501</f>
        <v>0.76416933480000004</v>
      </c>
      <c r="G503" s="1">
        <f>'Unformatted Trip Summary'!G501</f>
        <v>1.5558763804</v>
      </c>
      <c r="H503" s="1">
        <f>'Unformatted Trip Summary'!H501</f>
        <v>0.13717954590000001</v>
      </c>
    </row>
    <row r="504" spans="1:8" x14ac:dyDescent="0.2">
      <c r="A504" t="str">
        <f>'Unformatted Trip Summary'!A502</f>
        <v>07 TARANAKI</v>
      </c>
      <c r="B504" t="str">
        <f>'Unformatted Trip Summary'!J502</f>
        <v>2027/28</v>
      </c>
      <c r="C504" t="str">
        <f>'Unformatted Trip Summary'!I502</f>
        <v>Taxi/Vehicle Share</v>
      </c>
      <c r="D504">
        <f>'Unformatted Trip Summary'!D502</f>
        <v>10</v>
      </c>
      <c r="E504">
        <f>'Unformatted Trip Summary'!E502</f>
        <v>18</v>
      </c>
      <c r="F504" s="1">
        <f>'Unformatted Trip Summary'!F502</f>
        <v>0.82882397009999997</v>
      </c>
      <c r="G504" s="1">
        <f>'Unformatted Trip Summary'!G502</f>
        <v>1.7045988148</v>
      </c>
      <c r="H504" s="1">
        <f>'Unformatted Trip Summary'!H502</f>
        <v>0.14945236610000001</v>
      </c>
    </row>
    <row r="505" spans="1:8" x14ac:dyDescent="0.2">
      <c r="A505" t="str">
        <f>'Unformatted Trip Summary'!A503</f>
        <v>07 TARANAKI</v>
      </c>
      <c r="B505" t="str">
        <f>'Unformatted Trip Summary'!J503</f>
        <v>2032/33</v>
      </c>
      <c r="C505" t="str">
        <f>'Unformatted Trip Summary'!I503</f>
        <v>Taxi/Vehicle Share</v>
      </c>
      <c r="D505">
        <f>'Unformatted Trip Summary'!D503</f>
        <v>10</v>
      </c>
      <c r="E505">
        <f>'Unformatted Trip Summary'!E503</f>
        <v>18</v>
      </c>
      <c r="F505" s="1">
        <f>'Unformatted Trip Summary'!F503</f>
        <v>0.84637644479999996</v>
      </c>
      <c r="G505" s="1">
        <f>'Unformatted Trip Summary'!G503</f>
        <v>1.7592393729</v>
      </c>
      <c r="H505" s="1">
        <f>'Unformatted Trip Summary'!H503</f>
        <v>0.15388158669999999</v>
      </c>
    </row>
    <row r="506" spans="1:8" x14ac:dyDescent="0.2">
      <c r="A506" t="str">
        <f>'Unformatted Trip Summary'!A504</f>
        <v>07 TARANAKI</v>
      </c>
      <c r="B506" t="str">
        <f>'Unformatted Trip Summary'!J504</f>
        <v>2037/38</v>
      </c>
      <c r="C506" t="str">
        <f>'Unformatted Trip Summary'!I504</f>
        <v>Taxi/Vehicle Share</v>
      </c>
      <c r="D506">
        <f>'Unformatted Trip Summary'!D504</f>
        <v>10</v>
      </c>
      <c r="E506">
        <f>'Unformatted Trip Summary'!E504</f>
        <v>18</v>
      </c>
      <c r="F506" s="1">
        <f>'Unformatted Trip Summary'!F504</f>
        <v>0.84661859809999995</v>
      </c>
      <c r="G506" s="1">
        <f>'Unformatted Trip Summary'!G504</f>
        <v>1.7847134055</v>
      </c>
      <c r="H506" s="1">
        <f>'Unformatted Trip Summary'!H504</f>
        <v>0.15421472250000001</v>
      </c>
    </row>
    <row r="507" spans="1:8" x14ac:dyDescent="0.2">
      <c r="A507" t="str">
        <f>'Unformatted Trip Summary'!A505</f>
        <v>07 TARANAKI</v>
      </c>
      <c r="B507" t="str">
        <f>'Unformatted Trip Summary'!J505</f>
        <v>2042/43</v>
      </c>
      <c r="C507" t="str">
        <f>'Unformatted Trip Summary'!I505</f>
        <v>Taxi/Vehicle Share</v>
      </c>
      <c r="D507">
        <f>'Unformatted Trip Summary'!D505</f>
        <v>10</v>
      </c>
      <c r="E507">
        <f>'Unformatted Trip Summary'!E505</f>
        <v>18</v>
      </c>
      <c r="F507" s="1">
        <f>'Unformatted Trip Summary'!F505</f>
        <v>0.84012390069999998</v>
      </c>
      <c r="G507" s="1">
        <f>'Unformatted Trip Summary'!G505</f>
        <v>1.7974090323</v>
      </c>
      <c r="H507" s="1">
        <f>'Unformatted Trip Summary'!H505</f>
        <v>0.1533378906</v>
      </c>
    </row>
    <row r="508" spans="1:8" x14ac:dyDescent="0.2">
      <c r="A508" t="str">
        <f>'Unformatted Trip Summary'!A506</f>
        <v>07 TARANAKI</v>
      </c>
      <c r="B508" t="str">
        <f>'Unformatted Trip Summary'!J506</f>
        <v>2012/13</v>
      </c>
      <c r="C508" t="str">
        <f>'Unformatted Trip Summary'!I506</f>
        <v>Motorcyclist</v>
      </c>
      <c r="D508">
        <f>'Unformatted Trip Summary'!D506</f>
        <v>14</v>
      </c>
      <c r="E508">
        <f>'Unformatted Trip Summary'!E506</f>
        <v>51</v>
      </c>
      <c r="F508" s="1">
        <f>'Unformatted Trip Summary'!F506</f>
        <v>1.091812341</v>
      </c>
      <c r="G508" s="1">
        <f>'Unformatted Trip Summary'!G506</f>
        <v>7.0100687938000004</v>
      </c>
      <c r="H508" s="1">
        <f>'Unformatted Trip Summary'!H506</f>
        <v>0.25001806910000002</v>
      </c>
    </row>
    <row r="509" spans="1:8" x14ac:dyDescent="0.2">
      <c r="A509" t="str">
        <f>'Unformatted Trip Summary'!A507</f>
        <v>07 TARANAKI</v>
      </c>
      <c r="B509" t="str">
        <f>'Unformatted Trip Summary'!J507</f>
        <v>2017/18</v>
      </c>
      <c r="C509" t="str">
        <f>'Unformatted Trip Summary'!I507</f>
        <v>Motorcyclist</v>
      </c>
      <c r="D509">
        <f>'Unformatted Trip Summary'!D507</f>
        <v>14</v>
      </c>
      <c r="E509">
        <f>'Unformatted Trip Summary'!E507</f>
        <v>51</v>
      </c>
      <c r="F509" s="1">
        <f>'Unformatted Trip Summary'!F507</f>
        <v>1.1649192491</v>
      </c>
      <c r="G509" s="1">
        <f>'Unformatted Trip Summary'!G507</f>
        <v>7.4807696833000001</v>
      </c>
      <c r="H509" s="1">
        <f>'Unformatted Trip Summary'!H507</f>
        <v>0.26559049680000002</v>
      </c>
    </row>
    <row r="510" spans="1:8" x14ac:dyDescent="0.2">
      <c r="A510" t="str">
        <f>'Unformatted Trip Summary'!A508</f>
        <v>07 TARANAKI</v>
      </c>
      <c r="B510" t="str">
        <f>'Unformatted Trip Summary'!J508</f>
        <v>2022/23</v>
      </c>
      <c r="C510" t="str">
        <f>'Unformatted Trip Summary'!I508</f>
        <v>Motorcyclist</v>
      </c>
      <c r="D510">
        <f>'Unformatted Trip Summary'!D508</f>
        <v>14</v>
      </c>
      <c r="E510">
        <f>'Unformatted Trip Summary'!E508</f>
        <v>51</v>
      </c>
      <c r="F510" s="1">
        <f>'Unformatted Trip Summary'!F508</f>
        <v>1.1704893181</v>
      </c>
      <c r="G510" s="1">
        <f>'Unformatted Trip Summary'!G508</f>
        <v>7.6268182706000003</v>
      </c>
      <c r="H510" s="1">
        <f>'Unformatted Trip Summary'!H508</f>
        <v>0.27133442209999997</v>
      </c>
    </row>
    <row r="511" spans="1:8" x14ac:dyDescent="0.2">
      <c r="A511" t="str">
        <f>'Unformatted Trip Summary'!A509</f>
        <v>07 TARANAKI</v>
      </c>
      <c r="B511" t="str">
        <f>'Unformatted Trip Summary'!J509</f>
        <v>2027/28</v>
      </c>
      <c r="C511" t="str">
        <f>'Unformatted Trip Summary'!I509</f>
        <v>Motorcyclist</v>
      </c>
      <c r="D511">
        <f>'Unformatted Trip Summary'!D509</f>
        <v>14</v>
      </c>
      <c r="E511">
        <f>'Unformatted Trip Summary'!E509</f>
        <v>51</v>
      </c>
      <c r="F511" s="1">
        <f>'Unformatted Trip Summary'!F509</f>
        <v>1.1127779010000001</v>
      </c>
      <c r="G511" s="1">
        <f>'Unformatted Trip Summary'!G509</f>
        <v>7.6921804641999998</v>
      </c>
      <c r="H511" s="1">
        <f>'Unformatted Trip Summary'!H509</f>
        <v>0.27123147819999999</v>
      </c>
    </row>
    <row r="512" spans="1:8" x14ac:dyDescent="0.2">
      <c r="A512" t="str">
        <f>'Unformatted Trip Summary'!A510</f>
        <v>07 TARANAKI</v>
      </c>
      <c r="B512" t="str">
        <f>'Unformatted Trip Summary'!J510</f>
        <v>2032/33</v>
      </c>
      <c r="C512" t="str">
        <f>'Unformatted Trip Summary'!I510</f>
        <v>Motorcyclist</v>
      </c>
      <c r="D512">
        <f>'Unformatted Trip Summary'!D510</f>
        <v>14</v>
      </c>
      <c r="E512">
        <f>'Unformatted Trip Summary'!E510</f>
        <v>51</v>
      </c>
      <c r="F512" s="1">
        <f>'Unformatted Trip Summary'!F510</f>
        <v>1.0614523755</v>
      </c>
      <c r="G512" s="1">
        <f>'Unformatted Trip Summary'!G510</f>
        <v>7.4629217925000004</v>
      </c>
      <c r="H512" s="1">
        <f>'Unformatted Trip Summary'!H510</f>
        <v>0.26637803729999998</v>
      </c>
    </row>
    <row r="513" spans="1:8" x14ac:dyDescent="0.2">
      <c r="A513" t="str">
        <f>'Unformatted Trip Summary'!A511</f>
        <v>07 TARANAKI</v>
      </c>
      <c r="B513" t="str">
        <f>'Unformatted Trip Summary'!J511</f>
        <v>2037/38</v>
      </c>
      <c r="C513" t="str">
        <f>'Unformatted Trip Summary'!I511</f>
        <v>Motorcyclist</v>
      </c>
      <c r="D513">
        <f>'Unformatted Trip Summary'!D511</f>
        <v>14</v>
      </c>
      <c r="E513">
        <f>'Unformatted Trip Summary'!E511</f>
        <v>51</v>
      </c>
      <c r="F513" s="1">
        <f>'Unformatted Trip Summary'!F511</f>
        <v>1.0454770438000001</v>
      </c>
      <c r="G513" s="1">
        <f>'Unformatted Trip Summary'!G511</f>
        <v>7.1663810935000001</v>
      </c>
      <c r="H513" s="1">
        <f>'Unformatted Trip Summary'!H511</f>
        <v>0.26206302879999999</v>
      </c>
    </row>
    <row r="514" spans="1:8" x14ac:dyDescent="0.2">
      <c r="A514" t="str">
        <f>'Unformatted Trip Summary'!A512</f>
        <v>07 TARANAKI</v>
      </c>
      <c r="B514" t="str">
        <f>'Unformatted Trip Summary'!J512</f>
        <v>2042/43</v>
      </c>
      <c r="C514" t="str">
        <f>'Unformatted Trip Summary'!I512</f>
        <v>Motorcyclist</v>
      </c>
      <c r="D514">
        <f>'Unformatted Trip Summary'!D512</f>
        <v>14</v>
      </c>
      <c r="E514">
        <f>'Unformatted Trip Summary'!E512</f>
        <v>51</v>
      </c>
      <c r="F514" s="1">
        <f>'Unformatted Trip Summary'!F512</f>
        <v>1.0220426956999999</v>
      </c>
      <c r="G514" s="1">
        <f>'Unformatted Trip Summary'!G512</f>
        <v>6.8511943505000001</v>
      </c>
      <c r="H514" s="1">
        <f>'Unformatted Trip Summary'!H512</f>
        <v>0.2572607354</v>
      </c>
    </row>
    <row r="515" spans="1:8" x14ac:dyDescent="0.2">
      <c r="A515" t="str">
        <f>'Unformatted Trip Summary'!A513</f>
        <v>07 TARANAKI</v>
      </c>
      <c r="B515" t="str">
        <f>'Unformatted Trip Summary'!J513</f>
        <v>2012/13</v>
      </c>
      <c r="C515" t="str">
        <f>'Unformatted Trip Summary'!I513</f>
        <v>Local Train</v>
      </c>
      <c r="D515">
        <f>'Unformatted Trip Summary'!D513</f>
        <v>1</v>
      </c>
      <c r="E515">
        <f>'Unformatted Trip Summary'!E513</f>
        <v>2</v>
      </c>
      <c r="F515" s="1">
        <f>'Unformatted Trip Summary'!F513</f>
        <v>5.3266318100000001E-2</v>
      </c>
      <c r="G515" s="1">
        <f>'Unformatted Trip Summary'!G513</f>
        <v>0.36455468079999997</v>
      </c>
      <c r="H515" s="1">
        <f>'Unformatted Trip Summary'!H513</f>
        <v>8.8777196999999999E-3</v>
      </c>
    </row>
    <row r="516" spans="1:8" x14ac:dyDescent="0.2">
      <c r="A516" t="str">
        <f>'Unformatted Trip Summary'!A514</f>
        <v>07 TARANAKI</v>
      </c>
      <c r="B516" t="str">
        <f>'Unformatted Trip Summary'!J514</f>
        <v>2017/18</v>
      </c>
      <c r="C516" t="str">
        <f>'Unformatted Trip Summary'!I514</f>
        <v>Local Train</v>
      </c>
      <c r="D516">
        <f>'Unformatted Trip Summary'!D514</f>
        <v>1</v>
      </c>
      <c r="E516">
        <f>'Unformatted Trip Summary'!E514</f>
        <v>2</v>
      </c>
      <c r="F516" s="1">
        <f>'Unformatted Trip Summary'!F514</f>
        <v>5.2612521799999999E-2</v>
      </c>
      <c r="G516" s="1">
        <f>'Unformatted Trip Summary'!G514</f>
        <v>0.3600800992</v>
      </c>
      <c r="H516" s="1">
        <f>'Unformatted Trip Summary'!H514</f>
        <v>8.7687536E-3</v>
      </c>
    </row>
    <row r="517" spans="1:8" x14ac:dyDescent="0.2">
      <c r="A517" t="str">
        <f>'Unformatted Trip Summary'!A515</f>
        <v>07 TARANAKI</v>
      </c>
      <c r="B517" t="str">
        <f>'Unformatted Trip Summary'!J515</f>
        <v>2022/23</v>
      </c>
      <c r="C517" t="str">
        <f>'Unformatted Trip Summary'!I515</f>
        <v>Local Train</v>
      </c>
      <c r="D517">
        <f>'Unformatted Trip Summary'!D515</f>
        <v>1</v>
      </c>
      <c r="E517">
        <f>'Unformatted Trip Summary'!E515</f>
        <v>2</v>
      </c>
      <c r="F517" s="1">
        <f>'Unformatted Trip Summary'!F515</f>
        <v>4.9369590400000003E-2</v>
      </c>
      <c r="G517" s="1">
        <f>'Unformatted Trip Summary'!G515</f>
        <v>0.33788547660000001</v>
      </c>
      <c r="H517" s="1">
        <f>'Unformatted Trip Summary'!H515</f>
        <v>8.2282650999999998E-3</v>
      </c>
    </row>
    <row r="518" spans="1:8" x14ac:dyDescent="0.2">
      <c r="A518" t="str">
        <f>'Unformatted Trip Summary'!A516</f>
        <v>07 TARANAKI</v>
      </c>
      <c r="B518" t="str">
        <f>'Unformatted Trip Summary'!J516</f>
        <v>2027/28</v>
      </c>
      <c r="C518" t="str">
        <f>'Unformatted Trip Summary'!I516</f>
        <v>Local Train</v>
      </c>
      <c r="D518">
        <f>'Unformatted Trip Summary'!D516</f>
        <v>1</v>
      </c>
      <c r="E518">
        <f>'Unformatted Trip Summary'!E516</f>
        <v>2</v>
      </c>
      <c r="F518" s="1">
        <f>'Unformatted Trip Summary'!F516</f>
        <v>4.9791018499999999E-2</v>
      </c>
      <c r="G518" s="1">
        <f>'Unformatted Trip Summary'!G516</f>
        <v>0.34076973049999998</v>
      </c>
      <c r="H518" s="1">
        <f>'Unformatted Trip Summary'!H516</f>
        <v>8.2985031000000001E-3</v>
      </c>
    </row>
    <row r="519" spans="1:8" x14ac:dyDescent="0.2">
      <c r="A519" t="str">
        <f>'Unformatted Trip Summary'!A517</f>
        <v>07 TARANAKI</v>
      </c>
      <c r="B519" t="str">
        <f>'Unformatted Trip Summary'!J517</f>
        <v>2032/33</v>
      </c>
      <c r="C519" t="str">
        <f>'Unformatted Trip Summary'!I517</f>
        <v>Local Train</v>
      </c>
      <c r="D519">
        <f>'Unformatted Trip Summary'!D517</f>
        <v>1</v>
      </c>
      <c r="E519">
        <f>'Unformatted Trip Summary'!E517</f>
        <v>2</v>
      </c>
      <c r="F519" s="1">
        <f>'Unformatted Trip Summary'!F517</f>
        <v>5.6227820599999999E-2</v>
      </c>
      <c r="G519" s="1">
        <f>'Unformatted Trip Summary'!G517</f>
        <v>0.38482320399999997</v>
      </c>
      <c r="H519" s="1">
        <f>'Unformatted Trip Summary'!H517</f>
        <v>9.3713033999999994E-3</v>
      </c>
    </row>
    <row r="520" spans="1:8" x14ac:dyDescent="0.2">
      <c r="A520" t="str">
        <f>'Unformatted Trip Summary'!A518</f>
        <v>07 TARANAKI</v>
      </c>
      <c r="B520" t="str">
        <f>'Unformatted Trip Summary'!J518</f>
        <v>2037/38</v>
      </c>
      <c r="C520" t="str">
        <f>'Unformatted Trip Summary'!I518</f>
        <v>Local Train</v>
      </c>
      <c r="D520">
        <f>'Unformatted Trip Summary'!D518</f>
        <v>1</v>
      </c>
      <c r="E520">
        <f>'Unformatted Trip Summary'!E518</f>
        <v>2</v>
      </c>
      <c r="F520" s="1">
        <f>'Unformatted Trip Summary'!F518</f>
        <v>6.7456151800000003E-2</v>
      </c>
      <c r="G520" s="1">
        <f>'Unformatted Trip Summary'!G518</f>
        <v>0.46166990299999999</v>
      </c>
      <c r="H520" s="1">
        <f>'Unformatted Trip Summary'!H518</f>
        <v>1.1242692E-2</v>
      </c>
    </row>
    <row r="521" spans="1:8" x14ac:dyDescent="0.2">
      <c r="A521" t="str">
        <f>'Unformatted Trip Summary'!A519</f>
        <v>07 TARANAKI</v>
      </c>
      <c r="B521" t="str">
        <f>'Unformatted Trip Summary'!J519</f>
        <v>2042/43</v>
      </c>
      <c r="C521" t="str">
        <f>'Unformatted Trip Summary'!I519</f>
        <v>Local Train</v>
      </c>
      <c r="D521">
        <f>'Unformatted Trip Summary'!D519</f>
        <v>1</v>
      </c>
      <c r="E521">
        <f>'Unformatted Trip Summary'!E519</f>
        <v>2</v>
      </c>
      <c r="F521" s="1">
        <f>'Unformatted Trip Summary'!F519</f>
        <v>7.8870074999999998E-2</v>
      </c>
      <c r="G521" s="1">
        <f>'Unformatted Trip Summary'!G519</f>
        <v>0.53978679330000001</v>
      </c>
      <c r="H521" s="1">
        <f>'Unformatted Trip Summary'!H519</f>
        <v>1.3145012500000001E-2</v>
      </c>
    </row>
    <row r="522" spans="1:8" x14ac:dyDescent="0.2">
      <c r="A522" t="str">
        <f>'Unformatted Trip Summary'!A520</f>
        <v>07 TARANAKI</v>
      </c>
      <c r="B522" t="str">
        <f>'Unformatted Trip Summary'!J520</f>
        <v>2012/13</v>
      </c>
      <c r="C522" t="str">
        <f>'Unformatted Trip Summary'!I520</f>
        <v>Local Bus</v>
      </c>
      <c r="D522">
        <f>'Unformatted Trip Summary'!D520</f>
        <v>22</v>
      </c>
      <c r="E522">
        <f>'Unformatted Trip Summary'!E520</f>
        <v>54</v>
      </c>
      <c r="F522" s="1">
        <f>'Unformatted Trip Summary'!F520</f>
        <v>1.2787514622</v>
      </c>
      <c r="G522" s="1">
        <f>'Unformatted Trip Summary'!G520</f>
        <v>14.084735078</v>
      </c>
      <c r="H522" s="1">
        <f>'Unformatted Trip Summary'!H520</f>
        <v>0.4632962336</v>
      </c>
    </row>
    <row r="523" spans="1:8" x14ac:dyDescent="0.2">
      <c r="A523" t="str">
        <f>'Unformatted Trip Summary'!A521</f>
        <v>07 TARANAKI</v>
      </c>
      <c r="B523" t="str">
        <f>'Unformatted Trip Summary'!J521</f>
        <v>2017/18</v>
      </c>
      <c r="C523" t="str">
        <f>'Unformatted Trip Summary'!I521</f>
        <v>Local Bus</v>
      </c>
      <c r="D523">
        <f>'Unformatted Trip Summary'!D521</f>
        <v>22</v>
      </c>
      <c r="E523">
        <f>'Unformatted Trip Summary'!E521</f>
        <v>54</v>
      </c>
      <c r="F523" s="1">
        <f>'Unformatted Trip Summary'!F521</f>
        <v>1.3400964418000001</v>
      </c>
      <c r="G523" s="1">
        <f>'Unformatted Trip Summary'!G521</f>
        <v>15.572626061999999</v>
      </c>
      <c r="H523" s="1">
        <f>'Unformatted Trip Summary'!H521</f>
        <v>0.48418283130000001</v>
      </c>
    </row>
    <row r="524" spans="1:8" x14ac:dyDescent="0.2">
      <c r="A524" t="str">
        <f>'Unformatted Trip Summary'!A522</f>
        <v>07 TARANAKI</v>
      </c>
      <c r="B524" t="str">
        <f>'Unformatted Trip Summary'!J522</f>
        <v>2022/23</v>
      </c>
      <c r="C524" t="str">
        <f>'Unformatted Trip Summary'!I522</f>
        <v>Local Bus</v>
      </c>
      <c r="D524">
        <f>'Unformatted Trip Summary'!D522</f>
        <v>22</v>
      </c>
      <c r="E524">
        <f>'Unformatted Trip Summary'!E522</f>
        <v>54</v>
      </c>
      <c r="F524" s="1">
        <f>'Unformatted Trip Summary'!F522</f>
        <v>1.3867494829</v>
      </c>
      <c r="G524" s="1">
        <f>'Unformatted Trip Summary'!G522</f>
        <v>16.507949225000001</v>
      </c>
      <c r="H524" s="1">
        <f>'Unformatted Trip Summary'!H522</f>
        <v>0.4981098015</v>
      </c>
    </row>
    <row r="525" spans="1:8" x14ac:dyDescent="0.2">
      <c r="A525" t="str">
        <f>'Unformatted Trip Summary'!A523</f>
        <v>07 TARANAKI</v>
      </c>
      <c r="B525" t="str">
        <f>'Unformatted Trip Summary'!J523</f>
        <v>2027/28</v>
      </c>
      <c r="C525" t="str">
        <f>'Unformatted Trip Summary'!I523</f>
        <v>Local Bus</v>
      </c>
      <c r="D525">
        <f>'Unformatted Trip Summary'!D523</f>
        <v>22</v>
      </c>
      <c r="E525">
        <f>'Unformatted Trip Summary'!E523</f>
        <v>54</v>
      </c>
      <c r="F525" s="1">
        <f>'Unformatted Trip Summary'!F523</f>
        <v>1.3918253411999999</v>
      </c>
      <c r="G525" s="1">
        <f>'Unformatted Trip Summary'!G523</f>
        <v>16.684962707</v>
      </c>
      <c r="H525" s="1">
        <f>'Unformatted Trip Summary'!H523</f>
        <v>0.49856022459999999</v>
      </c>
    </row>
    <row r="526" spans="1:8" x14ac:dyDescent="0.2">
      <c r="A526" t="str">
        <f>'Unformatted Trip Summary'!A524</f>
        <v>07 TARANAKI</v>
      </c>
      <c r="B526" t="str">
        <f>'Unformatted Trip Summary'!J524</f>
        <v>2032/33</v>
      </c>
      <c r="C526" t="str">
        <f>'Unformatted Trip Summary'!I524</f>
        <v>Local Bus</v>
      </c>
      <c r="D526">
        <f>'Unformatted Trip Summary'!D524</f>
        <v>22</v>
      </c>
      <c r="E526">
        <f>'Unformatted Trip Summary'!E524</f>
        <v>54</v>
      </c>
      <c r="F526" s="1">
        <f>'Unformatted Trip Summary'!F524</f>
        <v>1.3744191311</v>
      </c>
      <c r="G526" s="1">
        <f>'Unformatted Trip Summary'!G524</f>
        <v>16.600354116999998</v>
      </c>
      <c r="H526" s="1">
        <f>'Unformatted Trip Summary'!H524</f>
        <v>0.49225892469999999</v>
      </c>
    </row>
    <row r="527" spans="1:8" x14ac:dyDescent="0.2">
      <c r="A527" t="str">
        <f>'Unformatted Trip Summary'!A525</f>
        <v>07 TARANAKI</v>
      </c>
      <c r="B527" t="str">
        <f>'Unformatted Trip Summary'!J525</f>
        <v>2037/38</v>
      </c>
      <c r="C527" t="str">
        <f>'Unformatted Trip Summary'!I525</f>
        <v>Local Bus</v>
      </c>
      <c r="D527">
        <f>'Unformatted Trip Summary'!D525</f>
        <v>22</v>
      </c>
      <c r="E527">
        <f>'Unformatted Trip Summary'!E525</f>
        <v>54</v>
      </c>
      <c r="F527" s="1">
        <f>'Unformatted Trip Summary'!F525</f>
        <v>1.4049559479</v>
      </c>
      <c r="G527" s="1">
        <f>'Unformatted Trip Summary'!G525</f>
        <v>17.625484579999998</v>
      </c>
      <c r="H527" s="1">
        <f>'Unformatted Trip Summary'!H525</f>
        <v>0.50752752769999998</v>
      </c>
    </row>
    <row r="528" spans="1:8" x14ac:dyDescent="0.2">
      <c r="A528" t="str">
        <f>'Unformatted Trip Summary'!A526</f>
        <v>07 TARANAKI</v>
      </c>
      <c r="B528" t="str">
        <f>'Unformatted Trip Summary'!J526</f>
        <v>2042/43</v>
      </c>
      <c r="C528" t="str">
        <f>'Unformatted Trip Summary'!I526</f>
        <v>Local Bus</v>
      </c>
      <c r="D528">
        <f>'Unformatted Trip Summary'!D526</f>
        <v>22</v>
      </c>
      <c r="E528">
        <f>'Unformatted Trip Summary'!E526</f>
        <v>54</v>
      </c>
      <c r="F528" s="1">
        <f>'Unformatted Trip Summary'!F526</f>
        <v>1.4307181484</v>
      </c>
      <c r="G528" s="1">
        <f>'Unformatted Trip Summary'!G526</f>
        <v>18.629388036999998</v>
      </c>
      <c r="H528" s="1">
        <f>'Unformatted Trip Summary'!H526</f>
        <v>0.52129328939999997</v>
      </c>
    </row>
    <row r="529" spans="1:8" x14ac:dyDescent="0.2">
      <c r="A529" t="str">
        <f>'Unformatted Trip Summary'!A527</f>
        <v>07 TARANAKI</v>
      </c>
      <c r="B529" t="str">
        <f>'Unformatted Trip Summary'!J527</f>
        <v>2012/13</v>
      </c>
      <c r="C529" t="str">
        <f>'Unformatted Trip Summary'!I527</f>
        <v>Other Household Travel</v>
      </c>
      <c r="D529">
        <f>'Unformatted Trip Summary'!D527</f>
        <v>4</v>
      </c>
      <c r="E529">
        <f>'Unformatted Trip Summary'!E527</f>
        <v>11</v>
      </c>
      <c r="F529" s="1">
        <f>'Unformatted Trip Summary'!F527</f>
        <v>0.17475937220000001</v>
      </c>
      <c r="G529" s="1">
        <f>'Unformatted Trip Summary'!G527</f>
        <v>0</v>
      </c>
      <c r="H529" s="1">
        <f>'Unformatted Trip Summary'!H527</f>
        <v>5.6354069499999999E-2</v>
      </c>
    </row>
    <row r="530" spans="1:8" x14ac:dyDescent="0.2">
      <c r="A530" t="str">
        <f>'Unformatted Trip Summary'!A528</f>
        <v>07 TARANAKI</v>
      </c>
      <c r="B530" t="str">
        <f>'Unformatted Trip Summary'!J528</f>
        <v>2017/18</v>
      </c>
      <c r="C530" t="str">
        <f>'Unformatted Trip Summary'!I528</f>
        <v>Other Household Travel</v>
      </c>
      <c r="D530">
        <f>'Unformatted Trip Summary'!D528</f>
        <v>4</v>
      </c>
      <c r="E530">
        <f>'Unformatted Trip Summary'!E528</f>
        <v>11</v>
      </c>
      <c r="F530" s="1">
        <f>'Unformatted Trip Summary'!F528</f>
        <v>0.18768948460000001</v>
      </c>
      <c r="G530" s="1">
        <f>'Unformatted Trip Summary'!G528</f>
        <v>0</v>
      </c>
      <c r="H530" s="1">
        <f>'Unformatted Trip Summary'!H528</f>
        <v>6.0078277800000003E-2</v>
      </c>
    </row>
    <row r="531" spans="1:8" x14ac:dyDescent="0.2">
      <c r="A531" t="str">
        <f>'Unformatted Trip Summary'!A529</f>
        <v>07 TARANAKI</v>
      </c>
      <c r="B531" t="str">
        <f>'Unformatted Trip Summary'!J529</f>
        <v>2022/23</v>
      </c>
      <c r="C531" t="str">
        <f>'Unformatted Trip Summary'!I529</f>
        <v>Other Household Travel</v>
      </c>
      <c r="D531">
        <f>'Unformatted Trip Summary'!D529</f>
        <v>4</v>
      </c>
      <c r="E531">
        <f>'Unformatted Trip Summary'!E529</f>
        <v>11</v>
      </c>
      <c r="F531" s="1">
        <f>'Unformatted Trip Summary'!F529</f>
        <v>0.19767539840000001</v>
      </c>
      <c r="G531" s="1">
        <f>'Unformatted Trip Summary'!G529</f>
        <v>0</v>
      </c>
      <c r="H531" s="1">
        <f>'Unformatted Trip Summary'!H529</f>
        <v>6.3362251499999994E-2</v>
      </c>
    </row>
    <row r="532" spans="1:8" x14ac:dyDescent="0.2">
      <c r="A532" t="str">
        <f>'Unformatted Trip Summary'!A530</f>
        <v>07 TARANAKI</v>
      </c>
      <c r="B532" t="str">
        <f>'Unformatted Trip Summary'!J530</f>
        <v>2027/28</v>
      </c>
      <c r="C532" t="str">
        <f>'Unformatted Trip Summary'!I530</f>
        <v>Other Household Travel</v>
      </c>
      <c r="D532">
        <f>'Unformatted Trip Summary'!D530</f>
        <v>4</v>
      </c>
      <c r="E532">
        <f>'Unformatted Trip Summary'!E530</f>
        <v>11</v>
      </c>
      <c r="F532" s="1">
        <f>'Unformatted Trip Summary'!F530</f>
        <v>0.20647612400000001</v>
      </c>
      <c r="G532" s="1">
        <f>'Unformatted Trip Summary'!G530</f>
        <v>0</v>
      </c>
      <c r="H532" s="1">
        <f>'Unformatted Trip Summary'!H530</f>
        <v>7.0292968299999994E-2</v>
      </c>
    </row>
    <row r="533" spans="1:8" x14ac:dyDescent="0.2">
      <c r="A533" t="str">
        <f>'Unformatted Trip Summary'!A531</f>
        <v>07 TARANAKI</v>
      </c>
      <c r="B533" t="str">
        <f>'Unformatted Trip Summary'!J531</f>
        <v>2032/33</v>
      </c>
      <c r="C533" t="str">
        <f>'Unformatted Trip Summary'!I531</f>
        <v>Other Household Travel</v>
      </c>
      <c r="D533">
        <f>'Unformatted Trip Summary'!D531</f>
        <v>4</v>
      </c>
      <c r="E533">
        <f>'Unformatted Trip Summary'!E531</f>
        <v>11</v>
      </c>
      <c r="F533" s="1">
        <f>'Unformatted Trip Summary'!F531</f>
        <v>0.2271659358</v>
      </c>
      <c r="G533" s="1">
        <f>'Unformatted Trip Summary'!G531</f>
        <v>0</v>
      </c>
      <c r="H533" s="1">
        <f>'Unformatted Trip Summary'!H531</f>
        <v>8.2816069300000003E-2</v>
      </c>
    </row>
    <row r="534" spans="1:8" x14ac:dyDescent="0.2">
      <c r="A534" t="str">
        <f>'Unformatted Trip Summary'!A532</f>
        <v>07 TARANAKI</v>
      </c>
      <c r="B534" t="str">
        <f>'Unformatted Trip Summary'!J532</f>
        <v>2037/38</v>
      </c>
      <c r="C534" t="str">
        <f>'Unformatted Trip Summary'!I532</f>
        <v>Other Household Travel</v>
      </c>
      <c r="D534">
        <f>'Unformatted Trip Summary'!D532</f>
        <v>4</v>
      </c>
      <c r="E534">
        <f>'Unformatted Trip Summary'!E532</f>
        <v>11</v>
      </c>
      <c r="F534" s="1">
        <f>'Unformatted Trip Summary'!F532</f>
        <v>0.24124982950000001</v>
      </c>
      <c r="G534" s="1">
        <f>'Unformatted Trip Summary'!G532</f>
        <v>0</v>
      </c>
      <c r="H534" s="1">
        <f>'Unformatted Trip Summary'!H532</f>
        <v>9.1173000099999998E-2</v>
      </c>
    </row>
    <row r="535" spans="1:8" x14ac:dyDescent="0.2">
      <c r="A535" t="str">
        <f>'Unformatted Trip Summary'!A533</f>
        <v>07 TARANAKI</v>
      </c>
      <c r="B535" t="str">
        <f>'Unformatted Trip Summary'!J533</f>
        <v>2042/43</v>
      </c>
      <c r="C535" t="str">
        <f>'Unformatted Trip Summary'!I533</f>
        <v>Other Household Travel</v>
      </c>
      <c r="D535">
        <f>'Unformatted Trip Summary'!D533</f>
        <v>4</v>
      </c>
      <c r="E535">
        <f>'Unformatted Trip Summary'!E533</f>
        <v>11</v>
      </c>
      <c r="F535" s="1">
        <f>'Unformatted Trip Summary'!F533</f>
        <v>0.24826847990000001</v>
      </c>
      <c r="G535" s="1">
        <f>'Unformatted Trip Summary'!G533</f>
        <v>0</v>
      </c>
      <c r="H535" s="1">
        <f>'Unformatted Trip Summary'!H533</f>
        <v>9.5659178499999997E-2</v>
      </c>
    </row>
    <row r="536" spans="1:8" x14ac:dyDescent="0.2">
      <c r="A536" t="str">
        <f>'Unformatted Trip Summary'!A534</f>
        <v>07 TARANAKI</v>
      </c>
      <c r="B536" t="str">
        <f>'Unformatted Trip Summary'!J534</f>
        <v>2012/13</v>
      </c>
      <c r="C536" t="str">
        <f>'Unformatted Trip Summary'!I534</f>
        <v>Air/Non-Local PT</v>
      </c>
      <c r="D536">
        <f>'Unformatted Trip Summary'!D534</f>
        <v>7</v>
      </c>
      <c r="E536">
        <f>'Unformatted Trip Summary'!E534</f>
        <v>9</v>
      </c>
      <c r="F536" s="1">
        <f>'Unformatted Trip Summary'!F534</f>
        <v>0.31946750800000001</v>
      </c>
      <c r="G536" s="1">
        <f>'Unformatted Trip Summary'!G534</f>
        <v>11.123016451</v>
      </c>
      <c r="H536" s="1">
        <f>'Unformatted Trip Summary'!H534</f>
        <v>0.97687121219999995</v>
      </c>
    </row>
    <row r="537" spans="1:8" x14ac:dyDescent="0.2">
      <c r="A537" t="str">
        <f>'Unformatted Trip Summary'!A535</f>
        <v>07 TARANAKI</v>
      </c>
      <c r="B537" t="str">
        <f>'Unformatted Trip Summary'!J535</f>
        <v>2017/18</v>
      </c>
      <c r="C537" t="str">
        <f>'Unformatted Trip Summary'!I535</f>
        <v>Air/Non-Local PT</v>
      </c>
      <c r="D537">
        <f>'Unformatted Trip Summary'!D535</f>
        <v>7</v>
      </c>
      <c r="E537">
        <f>'Unformatted Trip Summary'!E535</f>
        <v>9</v>
      </c>
      <c r="F537" s="1">
        <f>'Unformatted Trip Summary'!F535</f>
        <v>0.28338111840000002</v>
      </c>
      <c r="G537" s="1">
        <f>'Unformatted Trip Summary'!G535</f>
        <v>12.170993531000001</v>
      </c>
      <c r="H537" s="1">
        <f>'Unformatted Trip Summary'!H535</f>
        <v>0.86906801440000003</v>
      </c>
    </row>
    <row r="538" spans="1:8" x14ac:dyDescent="0.2">
      <c r="A538" t="str">
        <f>'Unformatted Trip Summary'!A536</f>
        <v>07 TARANAKI</v>
      </c>
      <c r="B538" t="str">
        <f>'Unformatted Trip Summary'!J536</f>
        <v>2022/23</v>
      </c>
      <c r="C538" t="str">
        <f>'Unformatted Trip Summary'!I536</f>
        <v>Air/Non-Local PT</v>
      </c>
      <c r="D538">
        <f>'Unformatted Trip Summary'!D536</f>
        <v>7</v>
      </c>
      <c r="E538">
        <f>'Unformatted Trip Summary'!E536</f>
        <v>9</v>
      </c>
      <c r="F538" s="1">
        <f>'Unformatted Trip Summary'!F536</f>
        <v>0.26520832119999999</v>
      </c>
      <c r="G538" s="1">
        <f>'Unformatted Trip Summary'!G536</f>
        <v>14.416035902000001</v>
      </c>
      <c r="H538" s="1">
        <f>'Unformatted Trip Summary'!H536</f>
        <v>0.82019585920000004</v>
      </c>
    </row>
    <row r="539" spans="1:8" x14ac:dyDescent="0.2">
      <c r="A539" t="str">
        <f>'Unformatted Trip Summary'!A537</f>
        <v>07 TARANAKI</v>
      </c>
      <c r="B539" t="str">
        <f>'Unformatted Trip Summary'!J537</f>
        <v>2027/28</v>
      </c>
      <c r="C539" t="str">
        <f>'Unformatted Trip Summary'!I537</f>
        <v>Air/Non-Local PT</v>
      </c>
      <c r="D539">
        <f>'Unformatted Trip Summary'!D537</f>
        <v>7</v>
      </c>
      <c r="E539">
        <f>'Unformatted Trip Summary'!E537</f>
        <v>9</v>
      </c>
      <c r="F539" s="1">
        <f>'Unformatted Trip Summary'!F537</f>
        <v>0.26565989569999998</v>
      </c>
      <c r="G539" s="1">
        <f>'Unformatted Trip Summary'!G537</f>
        <v>17.554227151999999</v>
      </c>
      <c r="H539" s="1">
        <f>'Unformatted Trip Summary'!H537</f>
        <v>0.82977491439999995</v>
      </c>
    </row>
    <row r="540" spans="1:8" x14ac:dyDescent="0.2">
      <c r="A540" t="str">
        <f>'Unformatted Trip Summary'!A538</f>
        <v>07 TARANAKI</v>
      </c>
      <c r="B540" t="str">
        <f>'Unformatted Trip Summary'!J538</f>
        <v>2032/33</v>
      </c>
      <c r="C540" t="str">
        <f>'Unformatted Trip Summary'!I538</f>
        <v>Air/Non-Local PT</v>
      </c>
      <c r="D540">
        <f>'Unformatted Trip Summary'!D538</f>
        <v>7</v>
      </c>
      <c r="E540">
        <f>'Unformatted Trip Summary'!E538</f>
        <v>9</v>
      </c>
      <c r="F540" s="1">
        <f>'Unformatted Trip Summary'!F538</f>
        <v>0.26929494669999998</v>
      </c>
      <c r="G540" s="1">
        <f>'Unformatted Trip Summary'!G538</f>
        <v>20.027282416999999</v>
      </c>
      <c r="H540" s="1">
        <f>'Unformatted Trip Summary'!H538</f>
        <v>0.83900811050000002</v>
      </c>
    </row>
    <row r="541" spans="1:8" x14ac:dyDescent="0.2">
      <c r="A541" t="str">
        <f>'Unformatted Trip Summary'!A539</f>
        <v>07 TARANAKI</v>
      </c>
      <c r="B541" t="str">
        <f>'Unformatted Trip Summary'!J539</f>
        <v>2037/38</v>
      </c>
      <c r="C541" t="str">
        <f>'Unformatted Trip Summary'!I539</f>
        <v>Air/Non-Local PT</v>
      </c>
      <c r="D541">
        <f>'Unformatted Trip Summary'!D539</f>
        <v>7</v>
      </c>
      <c r="E541">
        <f>'Unformatted Trip Summary'!E539</f>
        <v>9</v>
      </c>
      <c r="F541" s="1">
        <f>'Unformatted Trip Summary'!F539</f>
        <v>0.27338680780000002</v>
      </c>
      <c r="G541" s="1">
        <f>'Unformatted Trip Summary'!G539</f>
        <v>22.745818786000001</v>
      </c>
      <c r="H541" s="1">
        <f>'Unformatted Trip Summary'!H539</f>
        <v>0.84323710460000001</v>
      </c>
    </row>
    <row r="542" spans="1:8" x14ac:dyDescent="0.2">
      <c r="A542" t="str">
        <f>'Unformatted Trip Summary'!A540</f>
        <v>07 TARANAKI</v>
      </c>
      <c r="B542" t="str">
        <f>'Unformatted Trip Summary'!J540</f>
        <v>2042/43</v>
      </c>
      <c r="C542" t="str">
        <f>'Unformatted Trip Summary'!I540</f>
        <v>Air/Non-Local PT</v>
      </c>
      <c r="D542">
        <f>'Unformatted Trip Summary'!D540</f>
        <v>7</v>
      </c>
      <c r="E542">
        <f>'Unformatted Trip Summary'!E540</f>
        <v>9</v>
      </c>
      <c r="F542" s="1">
        <f>'Unformatted Trip Summary'!F540</f>
        <v>0.27434432240000001</v>
      </c>
      <c r="G542" s="1">
        <f>'Unformatted Trip Summary'!G540</f>
        <v>25.373302433999999</v>
      </c>
      <c r="H542" s="1">
        <f>'Unformatted Trip Summary'!H540</f>
        <v>0.83934105820000005</v>
      </c>
    </row>
    <row r="543" spans="1:8" x14ac:dyDescent="0.2">
      <c r="A543" t="str">
        <f>'Unformatted Trip Summary'!A541</f>
        <v>07 TARANAKI</v>
      </c>
      <c r="B543" t="str">
        <f>'Unformatted Trip Summary'!J541</f>
        <v>2012/13</v>
      </c>
      <c r="C543" t="str">
        <f>'Unformatted Trip Summary'!I541</f>
        <v>Non-Household Travel</v>
      </c>
      <c r="D543">
        <f>'Unformatted Trip Summary'!D541</f>
        <v>28</v>
      </c>
      <c r="E543">
        <f>'Unformatted Trip Summary'!E541</f>
        <v>118</v>
      </c>
      <c r="F543" s="1">
        <f>'Unformatted Trip Summary'!F541</f>
        <v>3.0516698092999999</v>
      </c>
      <c r="G543" s="1">
        <f>'Unformatted Trip Summary'!G541</f>
        <v>51.301529111999997</v>
      </c>
      <c r="H543" s="1">
        <f>'Unformatted Trip Summary'!H541</f>
        <v>1.1153896443</v>
      </c>
    </row>
    <row r="544" spans="1:8" x14ac:dyDescent="0.2">
      <c r="A544" t="str">
        <f>'Unformatted Trip Summary'!A542</f>
        <v>07 TARANAKI</v>
      </c>
      <c r="B544" t="str">
        <f>'Unformatted Trip Summary'!J542</f>
        <v>2017/18</v>
      </c>
      <c r="C544" t="str">
        <f>'Unformatted Trip Summary'!I542</f>
        <v>Non-Household Travel</v>
      </c>
      <c r="D544">
        <f>'Unformatted Trip Summary'!D542</f>
        <v>28</v>
      </c>
      <c r="E544">
        <f>'Unformatted Trip Summary'!E542</f>
        <v>118</v>
      </c>
      <c r="F544" s="1">
        <f>'Unformatted Trip Summary'!F542</f>
        <v>3.4559365399000002</v>
      </c>
      <c r="G544" s="1">
        <f>'Unformatted Trip Summary'!G542</f>
        <v>57.562658221</v>
      </c>
      <c r="H544" s="1">
        <f>'Unformatted Trip Summary'!H542</f>
        <v>1.2745156098999999</v>
      </c>
    </row>
    <row r="545" spans="1:8" x14ac:dyDescent="0.2">
      <c r="A545" t="str">
        <f>'Unformatted Trip Summary'!A543</f>
        <v>07 TARANAKI</v>
      </c>
      <c r="B545" t="str">
        <f>'Unformatted Trip Summary'!J543</f>
        <v>2022/23</v>
      </c>
      <c r="C545" t="str">
        <f>'Unformatted Trip Summary'!I543</f>
        <v>Non-Household Travel</v>
      </c>
      <c r="D545">
        <f>'Unformatted Trip Summary'!D543</f>
        <v>28</v>
      </c>
      <c r="E545">
        <f>'Unformatted Trip Summary'!E543</f>
        <v>118</v>
      </c>
      <c r="F545" s="1">
        <f>'Unformatted Trip Summary'!F543</f>
        <v>3.7738785840000002</v>
      </c>
      <c r="G545" s="1">
        <f>'Unformatted Trip Summary'!G543</f>
        <v>62.016907021999998</v>
      </c>
      <c r="H545" s="1">
        <f>'Unformatted Trip Summary'!H543</f>
        <v>1.3966196653</v>
      </c>
    </row>
    <row r="546" spans="1:8" x14ac:dyDescent="0.2">
      <c r="A546" t="str">
        <f>'Unformatted Trip Summary'!A544</f>
        <v>07 TARANAKI</v>
      </c>
      <c r="B546" t="str">
        <f>'Unformatted Trip Summary'!J544</f>
        <v>2027/28</v>
      </c>
      <c r="C546" t="str">
        <f>'Unformatted Trip Summary'!I544</f>
        <v>Non-Household Travel</v>
      </c>
      <c r="D546">
        <f>'Unformatted Trip Summary'!D544</f>
        <v>28</v>
      </c>
      <c r="E546">
        <f>'Unformatted Trip Summary'!E544</f>
        <v>118</v>
      </c>
      <c r="F546" s="1">
        <f>'Unformatted Trip Summary'!F544</f>
        <v>4.0027459057000003</v>
      </c>
      <c r="G546" s="1">
        <f>'Unformatted Trip Summary'!G544</f>
        <v>63.930157483000002</v>
      </c>
      <c r="H546" s="1">
        <f>'Unformatted Trip Summary'!H544</f>
        <v>1.4687199469000001</v>
      </c>
    </row>
    <row r="547" spans="1:8" x14ac:dyDescent="0.2">
      <c r="A547" t="str">
        <f>'Unformatted Trip Summary'!A545</f>
        <v>07 TARANAKI</v>
      </c>
      <c r="B547" t="str">
        <f>'Unformatted Trip Summary'!J545</f>
        <v>2032/33</v>
      </c>
      <c r="C547" t="str">
        <f>'Unformatted Trip Summary'!I545</f>
        <v>Non-Household Travel</v>
      </c>
      <c r="D547">
        <f>'Unformatted Trip Summary'!D545</f>
        <v>28</v>
      </c>
      <c r="E547">
        <f>'Unformatted Trip Summary'!E545</f>
        <v>118</v>
      </c>
      <c r="F547" s="1">
        <f>'Unformatted Trip Summary'!F545</f>
        <v>4.1522334661000002</v>
      </c>
      <c r="G547" s="1">
        <f>'Unformatted Trip Summary'!G545</f>
        <v>64.845388287999995</v>
      </c>
      <c r="H547" s="1">
        <f>'Unformatted Trip Summary'!H545</f>
        <v>1.5037652992999999</v>
      </c>
    </row>
    <row r="548" spans="1:8" x14ac:dyDescent="0.2">
      <c r="A548" t="str">
        <f>'Unformatted Trip Summary'!A546</f>
        <v>07 TARANAKI</v>
      </c>
      <c r="B548" t="str">
        <f>'Unformatted Trip Summary'!J546</f>
        <v>2037/38</v>
      </c>
      <c r="C548" t="str">
        <f>'Unformatted Trip Summary'!I546</f>
        <v>Non-Household Travel</v>
      </c>
      <c r="D548">
        <f>'Unformatted Trip Summary'!D546</f>
        <v>28</v>
      </c>
      <c r="E548">
        <f>'Unformatted Trip Summary'!E546</f>
        <v>118</v>
      </c>
      <c r="F548" s="1">
        <f>'Unformatted Trip Summary'!F546</f>
        <v>4.2604315131000003</v>
      </c>
      <c r="G548" s="1">
        <f>'Unformatted Trip Summary'!G546</f>
        <v>65.246468590000006</v>
      </c>
      <c r="H548" s="1">
        <f>'Unformatted Trip Summary'!H546</f>
        <v>1.5145743147999999</v>
      </c>
    </row>
    <row r="549" spans="1:8" x14ac:dyDescent="0.2">
      <c r="A549" t="str">
        <f>'Unformatted Trip Summary'!A547</f>
        <v>07 TARANAKI</v>
      </c>
      <c r="B549" t="str">
        <f>'Unformatted Trip Summary'!J547</f>
        <v>2042/43</v>
      </c>
      <c r="C549" t="str">
        <f>'Unformatted Trip Summary'!I547</f>
        <v>Non-Household Travel</v>
      </c>
      <c r="D549">
        <f>'Unformatted Trip Summary'!D547</f>
        <v>28</v>
      </c>
      <c r="E549">
        <f>'Unformatted Trip Summary'!E547</f>
        <v>118</v>
      </c>
      <c r="F549" s="1">
        <f>'Unformatted Trip Summary'!F547</f>
        <v>4.3559730637999996</v>
      </c>
      <c r="G549" s="1">
        <f>'Unformatted Trip Summary'!G547</f>
        <v>65.380802020999994</v>
      </c>
      <c r="H549" s="1">
        <f>'Unformatted Trip Summary'!H547</f>
        <v>1.5186849748</v>
      </c>
    </row>
    <row r="550" spans="1:8" x14ac:dyDescent="0.2">
      <c r="A550" t="str">
        <f>'Unformatted Trip Summary'!A548</f>
        <v>08 MANAWATU-WANGANUI</v>
      </c>
      <c r="B550" t="str">
        <f>'Unformatted Trip Summary'!J548</f>
        <v>2012/13</v>
      </c>
      <c r="C550" t="str">
        <f>'Unformatted Trip Summary'!I548</f>
        <v>Pedestrian</v>
      </c>
      <c r="D550">
        <f>'Unformatted Trip Summary'!D548</f>
        <v>214</v>
      </c>
      <c r="E550">
        <f>'Unformatted Trip Summary'!E548</f>
        <v>797</v>
      </c>
      <c r="F550" s="1">
        <f>'Unformatted Trip Summary'!F548</f>
        <v>39.544031846000003</v>
      </c>
      <c r="G550" s="1">
        <f>'Unformatted Trip Summary'!G548</f>
        <v>32.265609755</v>
      </c>
      <c r="H550" s="1">
        <f>'Unformatted Trip Summary'!H548</f>
        <v>8.3408449691000008</v>
      </c>
    </row>
    <row r="551" spans="1:8" x14ac:dyDescent="0.2">
      <c r="A551" t="str">
        <f>'Unformatted Trip Summary'!A549</f>
        <v>08 MANAWATU-WANGANUI</v>
      </c>
      <c r="B551" t="str">
        <f>'Unformatted Trip Summary'!J549</f>
        <v>2017/18</v>
      </c>
      <c r="C551" t="str">
        <f>'Unformatted Trip Summary'!I549</f>
        <v>Pedestrian</v>
      </c>
      <c r="D551">
        <f>'Unformatted Trip Summary'!D549</f>
        <v>214</v>
      </c>
      <c r="E551">
        <f>'Unformatted Trip Summary'!E549</f>
        <v>797</v>
      </c>
      <c r="F551" s="1">
        <f>'Unformatted Trip Summary'!F549</f>
        <v>38.987712449999997</v>
      </c>
      <c r="G551" s="1">
        <f>'Unformatted Trip Summary'!G549</f>
        <v>32.472223206999999</v>
      </c>
      <c r="H551" s="1">
        <f>'Unformatted Trip Summary'!H549</f>
        <v>8.2510815033</v>
      </c>
    </row>
    <row r="552" spans="1:8" x14ac:dyDescent="0.2">
      <c r="A552" t="str">
        <f>'Unformatted Trip Summary'!A550</f>
        <v>08 MANAWATU-WANGANUI</v>
      </c>
      <c r="B552" t="str">
        <f>'Unformatted Trip Summary'!J550</f>
        <v>2022/23</v>
      </c>
      <c r="C552" t="str">
        <f>'Unformatted Trip Summary'!I550</f>
        <v>Pedestrian</v>
      </c>
      <c r="D552">
        <f>'Unformatted Trip Summary'!D550</f>
        <v>214</v>
      </c>
      <c r="E552">
        <f>'Unformatted Trip Summary'!E550</f>
        <v>797</v>
      </c>
      <c r="F552" s="1">
        <f>'Unformatted Trip Summary'!F550</f>
        <v>37.888700374999999</v>
      </c>
      <c r="G552" s="1">
        <f>'Unformatted Trip Summary'!G550</f>
        <v>31.9342158</v>
      </c>
      <c r="H552" s="1">
        <f>'Unformatted Trip Summary'!H550</f>
        <v>7.9996800588000001</v>
      </c>
    </row>
    <row r="553" spans="1:8" x14ac:dyDescent="0.2">
      <c r="A553" t="str">
        <f>'Unformatted Trip Summary'!A551</f>
        <v>08 MANAWATU-WANGANUI</v>
      </c>
      <c r="B553" t="str">
        <f>'Unformatted Trip Summary'!J551</f>
        <v>2027/28</v>
      </c>
      <c r="C553" t="str">
        <f>'Unformatted Trip Summary'!I551</f>
        <v>Pedestrian</v>
      </c>
      <c r="D553">
        <f>'Unformatted Trip Summary'!D551</f>
        <v>214</v>
      </c>
      <c r="E553">
        <f>'Unformatted Trip Summary'!E551</f>
        <v>797</v>
      </c>
      <c r="F553" s="1">
        <f>'Unformatted Trip Summary'!F551</f>
        <v>35.671980556000001</v>
      </c>
      <c r="G553" s="1">
        <f>'Unformatted Trip Summary'!G551</f>
        <v>30.370979938000001</v>
      </c>
      <c r="H553" s="1">
        <f>'Unformatted Trip Summary'!H551</f>
        <v>7.5246297603999999</v>
      </c>
    </row>
    <row r="554" spans="1:8" x14ac:dyDescent="0.2">
      <c r="A554" t="str">
        <f>'Unformatted Trip Summary'!A552</f>
        <v>08 MANAWATU-WANGANUI</v>
      </c>
      <c r="B554" t="str">
        <f>'Unformatted Trip Summary'!J552</f>
        <v>2032/33</v>
      </c>
      <c r="C554" t="str">
        <f>'Unformatted Trip Summary'!I552</f>
        <v>Pedestrian</v>
      </c>
      <c r="D554">
        <f>'Unformatted Trip Summary'!D552</f>
        <v>214</v>
      </c>
      <c r="E554">
        <f>'Unformatted Trip Summary'!E552</f>
        <v>797</v>
      </c>
      <c r="F554" s="1">
        <f>'Unformatted Trip Summary'!F552</f>
        <v>33.782198725999997</v>
      </c>
      <c r="G554" s="1">
        <f>'Unformatted Trip Summary'!G552</f>
        <v>28.795993660000001</v>
      </c>
      <c r="H554" s="1">
        <f>'Unformatted Trip Summary'!H552</f>
        <v>7.0513708211999999</v>
      </c>
    </row>
    <row r="555" spans="1:8" x14ac:dyDescent="0.2">
      <c r="A555" t="str">
        <f>'Unformatted Trip Summary'!A553</f>
        <v>08 MANAWATU-WANGANUI</v>
      </c>
      <c r="B555" t="str">
        <f>'Unformatted Trip Summary'!J553</f>
        <v>2037/38</v>
      </c>
      <c r="C555" t="str">
        <f>'Unformatted Trip Summary'!I553</f>
        <v>Pedestrian</v>
      </c>
      <c r="D555">
        <f>'Unformatted Trip Summary'!D553</f>
        <v>214</v>
      </c>
      <c r="E555">
        <f>'Unformatted Trip Summary'!E553</f>
        <v>797</v>
      </c>
      <c r="F555" s="1">
        <f>'Unformatted Trip Summary'!F553</f>
        <v>32.201159738000001</v>
      </c>
      <c r="G555" s="1">
        <f>'Unformatted Trip Summary'!G553</f>
        <v>27.397459894000001</v>
      </c>
      <c r="H555" s="1">
        <f>'Unformatted Trip Summary'!H553</f>
        <v>6.5938896463000001</v>
      </c>
    </row>
    <row r="556" spans="1:8" x14ac:dyDescent="0.2">
      <c r="A556" t="str">
        <f>'Unformatted Trip Summary'!A554</f>
        <v>08 MANAWATU-WANGANUI</v>
      </c>
      <c r="B556" t="str">
        <f>'Unformatted Trip Summary'!J554</f>
        <v>2042/43</v>
      </c>
      <c r="C556" t="str">
        <f>'Unformatted Trip Summary'!I554</f>
        <v>Pedestrian</v>
      </c>
      <c r="D556">
        <f>'Unformatted Trip Summary'!D554</f>
        <v>214</v>
      </c>
      <c r="E556">
        <f>'Unformatted Trip Summary'!E554</f>
        <v>797</v>
      </c>
      <c r="F556" s="1">
        <f>'Unformatted Trip Summary'!F554</f>
        <v>30.751253462000001</v>
      </c>
      <c r="G556" s="1">
        <f>'Unformatted Trip Summary'!G554</f>
        <v>26.146995049000001</v>
      </c>
      <c r="H556" s="1">
        <f>'Unformatted Trip Summary'!H554</f>
        <v>6.1752002228</v>
      </c>
    </row>
    <row r="557" spans="1:8" x14ac:dyDescent="0.2">
      <c r="A557" t="str">
        <f>'Unformatted Trip Summary'!A555</f>
        <v>08 MANAWATU-WANGANUI</v>
      </c>
      <c r="B557" t="str">
        <f>'Unformatted Trip Summary'!J555</f>
        <v>2012/13</v>
      </c>
      <c r="C557" t="str">
        <f>'Unformatted Trip Summary'!I555</f>
        <v>Cyclist</v>
      </c>
      <c r="D557">
        <f>'Unformatted Trip Summary'!D555</f>
        <v>33</v>
      </c>
      <c r="E557">
        <f>'Unformatted Trip Summary'!E555</f>
        <v>96</v>
      </c>
      <c r="F557" s="1">
        <f>'Unformatted Trip Summary'!F555</f>
        <v>4.6745036201000003</v>
      </c>
      <c r="G557" s="1">
        <f>'Unformatted Trip Summary'!G555</f>
        <v>20.722330986999999</v>
      </c>
      <c r="H557" s="1">
        <f>'Unformatted Trip Summary'!H555</f>
        <v>1.7566260256999999</v>
      </c>
    </row>
    <row r="558" spans="1:8" x14ac:dyDescent="0.2">
      <c r="A558" t="str">
        <f>'Unformatted Trip Summary'!A556</f>
        <v>08 MANAWATU-WANGANUI</v>
      </c>
      <c r="B558" t="str">
        <f>'Unformatted Trip Summary'!J556</f>
        <v>2017/18</v>
      </c>
      <c r="C558" t="str">
        <f>'Unformatted Trip Summary'!I556</f>
        <v>Cyclist</v>
      </c>
      <c r="D558">
        <f>'Unformatted Trip Summary'!D556</f>
        <v>33</v>
      </c>
      <c r="E558">
        <f>'Unformatted Trip Summary'!E556</f>
        <v>96</v>
      </c>
      <c r="F558" s="1">
        <f>'Unformatted Trip Summary'!F556</f>
        <v>4.9244934784999996</v>
      </c>
      <c r="G558" s="1">
        <f>'Unformatted Trip Summary'!G556</f>
        <v>23.232432227</v>
      </c>
      <c r="H558" s="1">
        <f>'Unformatted Trip Summary'!H556</f>
        <v>1.9305336439</v>
      </c>
    </row>
    <row r="559" spans="1:8" x14ac:dyDescent="0.2">
      <c r="A559" t="str">
        <f>'Unformatted Trip Summary'!A557</f>
        <v>08 MANAWATU-WANGANUI</v>
      </c>
      <c r="B559" t="str">
        <f>'Unformatted Trip Summary'!J557</f>
        <v>2022/23</v>
      </c>
      <c r="C559" t="str">
        <f>'Unformatted Trip Summary'!I557</f>
        <v>Cyclist</v>
      </c>
      <c r="D559">
        <f>'Unformatted Trip Summary'!D557</f>
        <v>33</v>
      </c>
      <c r="E559">
        <f>'Unformatted Trip Summary'!E557</f>
        <v>96</v>
      </c>
      <c r="F559" s="1">
        <f>'Unformatted Trip Summary'!F557</f>
        <v>5.1421878522000002</v>
      </c>
      <c r="G559" s="1">
        <f>'Unformatted Trip Summary'!G557</f>
        <v>24.825460721999999</v>
      </c>
      <c r="H559" s="1">
        <f>'Unformatted Trip Summary'!H557</f>
        <v>2.0551213770999999</v>
      </c>
    </row>
    <row r="560" spans="1:8" x14ac:dyDescent="0.2">
      <c r="A560" t="str">
        <f>'Unformatted Trip Summary'!A558</f>
        <v>08 MANAWATU-WANGANUI</v>
      </c>
      <c r="B560" t="str">
        <f>'Unformatted Trip Summary'!J558</f>
        <v>2027/28</v>
      </c>
      <c r="C560" t="str">
        <f>'Unformatted Trip Summary'!I558</f>
        <v>Cyclist</v>
      </c>
      <c r="D560">
        <f>'Unformatted Trip Summary'!D558</f>
        <v>33</v>
      </c>
      <c r="E560">
        <f>'Unformatted Trip Summary'!E558</f>
        <v>96</v>
      </c>
      <c r="F560" s="1">
        <f>'Unformatted Trip Summary'!F558</f>
        <v>5.3269579510999998</v>
      </c>
      <c r="G560" s="1">
        <f>'Unformatted Trip Summary'!G558</f>
        <v>25.330350829</v>
      </c>
      <c r="H560" s="1">
        <f>'Unformatted Trip Summary'!H558</f>
        <v>2.1241784716000001</v>
      </c>
    </row>
    <row r="561" spans="1:8" x14ac:dyDescent="0.2">
      <c r="A561" t="str">
        <f>'Unformatted Trip Summary'!A559</f>
        <v>08 MANAWATU-WANGANUI</v>
      </c>
      <c r="B561" t="str">
        <f>'Unformatted Trip Summary'!J559</f>
        <v>2032/33</v>
      </c>
      <c r="C561" t="str">
        <f>'Unformatted Trip Summary'!I559</f>
        <v>Cyclist</v>
      </c>
      <c r="D561">
        <f>'Unformatted Trip Summary'!D559</f>
        <v>33</v>
      </c>
      <c r="E561">
        <f>'Unformatted Trip Summary'!E559</f>
        <v>96</v>
      </c>
      <c r="F561" s="1">
        <f>'Unformatted Trip Summary'!F559</f>
        <v>5.5309736680999997</v>
      </c>
      <c r="G561" s="1">
        <f>'Unformatted Trip Summary'!G559</f>
        <v>25.676322209999999</v>
      </c>
      <c r="H561" s="1">
        <f>'Unformatted Trip Summary'!H559</f>
        <v>2.1769150525000001</v>
      </c>
    </row>
    <row r="562" spans="1:8" x14ac:dyDescent="0.2">
      <c r="A562" t="str">
        <f>'Unformatted Trip Summary'!A560</f>
        <v>08 MANAWATU-WANGANUI</v>
      </c>
      <c r="B562" t="str">
        <f>'Unformatted Trip Summary'!J560</f>
        <v>2037/38</v>
      </c>
      <c r="C562" t="str">
        <f>'Unformatted Trip Summary'!I560</f>
        <v>Cyclist</v>
      </c>
      <c r="D562">
        <f>'Unformatted Trip Summary'!D560</f>
        <v>33</v>
      </c>
      <c r="E562">
        <f>'Unformatted Trip Summary'!E560</f>
        <v>96</v>
      </c>
      <c r="F562" s="1">
        <f>'Unformatted Trip Summary'!F560</f>
        <v>5.5381007380999998</v>
      </c>
      <c r="G562" s="1">
        <f>'Unformatted Trip Summary'!G560</f>
        <v>25.955105951</v>
      </c>
      <c r="H562" s="1">
        <f>'Unformatted Trip Summary'!H560</f>
        <v>2.1825882433000001</v>
      </c>
    </row>
    <row r="563" spans="1:8" x14ac:dyDescent="0.2">
      <c r="A563" t="str">
        <f>'Unformatted Trip Summary'!A561</f>
        <v>08 MANAWATU-WANGANUI</v>
      </c>
      <c r="B563" t="str">
        <f>'Unformatted Trip Summary'!J561</f>
        <v>2042/43</v>
      </c>
      <c r="C563" t="str">
        <f>'Unformatted Trip Summary'!I561</f>
        <v>Cyclist</v>
      </c>
      <c r="D563">
        <f>'Unformatted Trip Summary'!D561</f>
        <v>33</v>
      </c>
      <c r="E563">
        <f>'Unformatted Trip Summary'!E561</f>
        <v>96</v>
      </c>
      <c r="F563" s="1">
        <f>'Unformatted Trip Summary'!F561</f>
        <v>5.5103469655000001</v>
      </c>
      <c r="G563" s="1">
        <f>'Unformatted Trip Summary'!G561</f>
        <v>26.151864316000001</v>
      </c>
      <c r="H563" s="1">
        <f>'Unformatted Trip Summary'!H561</f>
        <v>2.1744827309999999</v>
      </c>
    </row>
    <row r="564" spans="1:8" x14ac:dyDescent="0.2">
      <c r="A564" t="str">
        <f>'Unformatted Trip Summary'!A562</f>
        <v>08 MANAWATU-WANGANUI</v>
      </c>
      <c r="B564" t="str">
        <f>'Unformatted Trip Summary'!J562</f>
        <v>2012/13</v>
      </c>
      <c r="C564" t="str">
        <f>'Unformatted Trip Summary'!I562</f>
        <v>Light Vehicle Driver</v>
      </c>
      <c r="D564">
        <f>'Unformatted Trip Summary'!D562</f>
        <v>588</v>
      </c>
      <c r="E564">
        <f>'Unformatted Trip Summary'!E562</f>
        <v>4259</v>
      </c>
      <c r="F564" s="1">
        <f>'Unformatted Trip Summary'!F562</f>
        <v>178.69640117</v>
      </c>
      <c r="G564" s="1">
        <f>'Unformatted Trip Summary'!G562</f>
        <v>1782.4745101999999</v>
      </c>
      <c r="H564" s="1">
        <f>'Unformatted Trip Summary'!H562</f>
        <v>42.09204356</v>
      </c>
    </row>
    <row r="565" spans="1:8" x14ac:dyDescent="0.2">
      <c r="A565" t="str">
        <f>'Unformatted Trip Summary'!A563</f>
        <v>08 MANAWATU-WANGANUI</v>
      </c>
      <c r="B565" t="str">
        <f>'Unformatted Trip Summary'!J563</f>
        <v>2017/18</v>
      </c>
      <c r="C565" t="str">
        <f>'Unformatted Trip Summary'!I563</f>
        <v>Light Vehicle Driver</v>
      </c>
      <c r="D565">
        <f>'Unformatted Trip Summary'!D563</f>
        <v>588</v>
      </c>
      <c r="E565">
        <f>'Unformatted Trip Summary'!E563</f>
        <v>4259</v>
      </c>
      <c r="F565" s="1">
        <f>'Unformatted Trip Summary'!F563</f>
        <v>191.4185573</v>
      </c>
      <c r="G565" s="1">
        <f>'Unformatted Trip Summary'!G563</f>
        <v>1929.1908393000001</v>
      </c>
      <c r="H565" s="1">
        <f>'Unformatted Trip Summary'!H563</f>
        <v>45.494087706000002</v>
      </c>
    </row>
    <row r="566" spans="1:8" x14ac:dyDescent="0.2">
      <c r="A566" t="str">
        <f>'Unformatted Trip Summary'!A564</f>
        <v>08 MANAWATU-WANGANUI</v>
      </c>
      <c r="B566" t="str">
        <f>'Unformatted Trip Summary'!J564</f>
        <v>2022/23</v>
      </c>
      <c r="C566" t="str">
        <f>'Unformatted Trip Summary'!I564</f>
        <v>Light Vehicle Driver</v>
      </c>
      <c r="D566">
        <f>'Unformatted Trip Summary'!D564</f>
        <v>588</v>
      </c>
      <c r="E566">
        <f>'Unformatted Trip Summary'!E564</f>
        <v>4259</v>
      </c>
      <c r="F566" s="1">
        <f>'Unformatted Trip Summary'!F564</f>
        <v>197.84965091000001</v>
      </c>
      <c r="G566" s="1">
        <f>'Unformatted Trip Summary'!G564</f>
        <v>2016.6095092999999</v>
      </c>
      <c r="H566" s="1">
        <f>'Unformatted Trip Summary'!H564</f>
        <v>47.364095306000003</v>
      </c>
    </row>
    <row r="567" spans="1:8" x14ac:dyDescent="0.2">
      <c r="A567" t="str">
        <f>'Unformatted Trip Summary'!A565</f>
        <v>08 MANAWATU-WANGANUI</v>
      </c>
      <c r="B567" t="str">
        <f>'Unformatted Trip Summary'!J565</f>
        <v>2027/28</v>
      </c>
      <c r="C567" t="str">
        <f>'Unformatted Trip Summary'!I565</f>
        <v>Light Vehicle Driver</v>
      </c>
      <c r="D567">
        <f>'Unformatted Trip Summary'!D565</f>
        <v>588</v>
      </c>
      <c r="E567">
        <f>'Unformatted Trip Summary'!E565</f>
        <v>4259</v>
      </c>
      <c r="F567" s="1">
        <f>'Unformatted Trip Summary'!F565</f>
        <v>201.08049444</v>
      </c>
      <c r="G567" s="1">
        <f>'Unformatted Trip Summary'!G565</f>
        <v>2083.5801848999999</v>
      </c>
      <c r="H567" s="1">
        <f>'Unformatted Trip Summary'!H565</f>
        <v>48.518362148000001</v>
      </c>
    </row>
    <row r="568" spans="1:8" x14ac:dyDescent="0.2">
      <c r="A568" t="str">
        <f>'Unformatted Trip Summary'!A566</f>
        <v>08 MANAWATU-WANGANUI</v>
      </c>
      <c r="B568" t="str">
        <f>'Unformatted Trip Summary'!J566</f>
        <v>2032/33</v>
      </c>
      <c r="C568" t="str">
        <f>'Unformatted Trip Summary'!I566</f>
        <v>Light Vehicle Driver</v>
      </c>
      <c r="D568">
        <f>'Unformatted Trip Summary'!D566</f>
        <v>588</v>
      </c>
      <c r="E568">
        <f>'Unformatted Trip Summary'!E566</f>
        <v>4259</v>
      </c>
      <c r="F568" s="1">
        <f>'Unformatted Trip Summary'!F566</f>
        <v>204.30798813999999</v>
      </c>
      <c r="G568" s="1">
        <f>'Unformatted Trip Summary'!G566</f>
        <v>2133.9133953999999</v>
      </c>
      <c r="H568" s="1">
        <f>'Unformatted Trip Summary'!H566</f>
        <v>49.459379597999998</v>
      </c>
    </row>
    <row r="569" spans="1:8" x14ac:dyDescent="0.2">
      <c r="A569" t="str">
        <f>'Unformatted Trip Summary'!A567</f>
        <v>08 MANAWATU-WANGANUI</v>
      </c>
      <c r="B569" t="str">
        <f>'Unformatted Trip Summary'!J567</f>
        <v>2037/38</v>
      </c>
      <c r="C569" t="str">
        <f>'Unformatted Trip Summary'!I567</f>
        <v>Light Vehicle Driver</v>
      </c>
      <c r="D569">
        <f>'Unformatted Trip Summary'!D567</f>
        <v>588</v>
      </c>
      <c r="E569">
        <f>'Unformatted Trip Summary'!E567</f>
        <v>4259</v>
      </c>
      <c r="F569" s="1">
        <f>'Unformatted Trip Summary'!F567</f>
        <v>204.55844685</v>
      </c>
      <c r="G569" s="1">
        <f>'Unformatted Trip Summary'!G567</f>
        <v>2151.8758292000002</v>
      </c>
      <c r="H569" s="1">
        <f>'Unformatted Trip Summary'!H567</f>
        <v>49.635071173999997</v>
      </c>
    </row>
    <row r="570" spans="1:8" x14ac:dyDescent="0.2">
      <c r="A570" t="str">
        <f>'Unformatted Trip Summary'!A568</f>
        <v>08 MANAWATU-WANGANUI</v>
      </c>
      <c r="B570" t="str">
        <f>'Unformatted Trip Summary'!J568</f>
        <v>2042/43</v>
      </c>
      <c r="C570" t="str">
        <f>'Unformatted Trip Summary'!I568</f>
        <v>Light Vehicle Driver</v>
      </c>
      <c r="D570">
        <f>'Unformatted Trip Summary'!D568</f>
        <v>588</v>
      </c>
      <c r="E570">
        <f>'Unformatted Trip Summary'!E568</f>
        <v>4259</v>
      </c>
      <c r="F570" s="1">
        <f>'Unformatted Trip Summary'!F568</f>
        <v>203.62099287999999</v>
      </c>
      <c r="G570" s="1">
        <f>'Unformatted Trip Summary'!G568</f>
        <v>2157.6105106</v>
      </c>
      <c r="H570" s="1">
        <f>'Unformatted Trip Summary'!H568</f>
        <v>49.509530228999999</v>
      </c>
    </row>
    <row r="571" spans="1:8" x14ac:dyDescent="0.2">
      <c r="A571" t="str">
        <f>'Unformatted Trip Summary'!A569</f>
        <v>08 MANAWATU-WANGANUI</v>
      </c>
      <c r="B571" t="str">
        <f>'Unformatted Trip Summary'!J569</f>
        <v>2012/13</v>
      </c>
      <c r="C571" t="str">
        <f>'Unformatted Trip Summary'!I569</f>
        <v>Light Vehicle Passenger</v>
      </c>
      <c r="D571">
        <f>'Unformatted Trip Summary'!D569</f>
        <v>425</v>
      </c>
      <c r="E571">
        <f>'Unformatted Trip Summary'!E569</f>
        <v>2071</v>
      </c>
      <c r="F571" s="1">
        <f>'Unformatted Trip Summary'!F569</f>
        <v>84.046137802999993</v>
      </c>
      <c r="G571" s="1">
        <f>'Unformatted Trip Summary'!G569</f>
        <v>885.65568203999999</v>
      </c>
      <c r="H571" s="1">
        <f>'Unformatted Trip Summary'!H569</f>
        <v>20.286542670999999</v>
      </c>
    </row>
    <row r="572" spans="1:8" x14ac:dyDescent="0.2">
      <c r="A572" t="str">
        <f>'Unformatted Trip Summary'!A570</f>
        <v>08 MANAWATU-WANGANUI</v>
      </c>
      <c r="B572" t="str">
        <f>'Unformatted Trip Summary'!J570</f>
        <v>2017/18</v>
      </c>
      <c r="C572" t="str">
        <f>'Unformatted Trip Summary'!I570</f>
        <v>Light Vehicle Passenger</v>
      </c>
      <c r="D572">
        <f>'Unformatted Trip Summary'!D570</f>
        <v>425</v>
      </c>
      <c r="E572">
        <f>'Unformatted Trip Summary'!E570</f>
        <v>2071</v>
      </c>
      <c r="F572" s="1">
        <f>'Unformatted Trip Summary'!F570</f>
        <v>84.205850071</v>
      </c>
      <c r="G572" s="1">
        <f>'Unformatted Trip Summary'!G570</f>
        <v>911.73408013000005</v>
      </c>
      <c r="H572" s="1">
        <f>'Unformatted Trip Summary'!H570</f>
        <v>20.679045131999999</v>
      </c>
    </row>
    <row r="573" spans="1:8" x14ac:dyDescent="0.2">
      <c r="A573" t="str">
        <f>'Unformatted Trip Summary'!A571</f>
        <v>08 MANAWATU-WANGANUI</v>
      </c>
      <c r="B573" t="str">
        <f>'Unformatted Trip Summary'!J571</f>
        <v>2022/23</v>
      </c>
      <c r="C573" t="str">
        <f>'Unformatted Trip Summary'!I571</f>
        <v>Light Vehicle Passenger</v>
      </c>
      <c r="D573">
        <f>'Unformatted Trip Summary'!D571</f>
        <v>425</v>
      </c>
      <c r="E573">
        <f>'Unformatted Trip Summary'!E571</f>
        <v>2071</v>
      </c>
      <c r="F573" s="1">
        <f>'Unformatted Trip Summary'!F571</f>
        <v>83.724366356999994</v>
      </c>
      <c r="G573" s="1">
        <f>'Unformatted Trip Summary'!G571</f>
        <v>920.50579416999994</v>
      </c>
      <c r="H573" s="1">
        <f>'Unformatted Trip Summary'!H571</f>
        <v>20.769843345999998</v>
      </c>
    </row>
    <row r="574" spans="1:8" x14ac:dyDescent="0.2">
      <c r="A574" t="str">
        <f>'Unformatted Trip Summary'!A572</f>
        <v>08 MANAWATU-WANGANUI</v>
      </c>
      <c r="B574" t="str">
        <f>'Unformatted Trip Summary'!J572</f>
        <v>2027/28</v>
      </c>
      <c r="C574" t="str">
        <f>'Unformatted Trip Summary'!I572</f>
        <v>Light Vehicle Passenger</v>
      </c>
      <c r="D574">
        <f>'Unformatted Trip Summary'!D572</f>
        <v>425</v>
      </c>
      <c r="E574">
        <f>'Unformatted Trip Summary'!E572</f>
        <v>2071</v>
      </c>
      <c r="F574" s="1">
        <f>'Unformatted Trip Summary'!F572</f>
        <v>82.277715204000003</v>
      </c>
      <c r="G574" s="1">
        <f>'Unformatted Trip Summary'!G572</f>
        <v>925.69040325000003</v>
      </c>
      <c r="H574" s="1">
        <f>'Unformatted Trip Summary'!H572</f>
        <v>20.684412644999998</v>
      </c>
    </row>
    <row r="575" spans="1:8" x14ac:dyDescent="0.2">
      <c r="A575" t="str">
        <f>'Unformatted Trip Summary'!A573</f>
        <v>08 MANAWATU-WANGANUI</v>
      </c>
      <c r="B575" t="str">
        <f>'Unformatted Trip Summary'!J573</f>
        <v>2032/33</v>
      </c>
      <c r="C575" t="str">
        <f>'Unformatted Trip Summary'!I573</f>
        <v>Light Vehicle Passenger</v>
      </c>
      <c r="D575">
        <f>'Unformatted Trip Summary'!D573</f>
        <v>425</v>
      </c>
      <c r="E575">
        <f>'Unformatted Trip Summary'!E573</f>
        <v>2071</v>
      </c>
      <c r="F575" s="1">
        <f>'Unformatted Trip Summary'!F573</f>
        <v>81.302944530000005</v>
      </c>
      <c r="G575" s="1">
        <f>'Unformatted Trip Summary'!G573</f>
        <v>938.19745219000004</v>
      </c>
      <c r="H575" s="1">
        <f>'Unformatted Trip Summary'!H573</f>
        <v>20.768273444999998</v>
      </c>
    </row>
    <row r="576" spans="1:8" x14ac:dyDescent="0.2">
      <c r="A576" t="str">
        <f>'Unformatted Trip Summary'!A574</f>
        <v>08 MANAWATU-WANGANUI</v>
      </c>
      <c r="B576" t="str">
        <f>'Unformatted Trip Summary'!J574</f>
        <v>2037/38</v>
      </c>
      <c r="C576" t="str">
        <f>'Unformatted Trip Summary'!I574</f>
        <v>Light Vehicle Passenger</v>
      </c>
      <c r="D576">
        <f>'Unformatted Trip Summary'!D574</f>
        <v>425</v>
      </c>
      <c r="E576">
        <f>'Unformatted Trip Summary'!E574</f>
        <v>2071</v>
      </c>
      <c r="F576" s="1">
        <f>'Unformatted Trip Summary'!F574</f>
        <v>79.646301219999998</v>
      </c>
      <c r="G576" s="1">
        <f>'Unformatted Trip Summary'!G574</f>
        <v>944.42787668999995</v>
      </c>
      <c r="H576" s="1">
        <f>'Unformatted Trip Summary'!H574</f>
        <v>20.742935113000001</v>
      </c>
    </row>
    <row r="577" spans="1:8" x14ac:dyDescent="0.2">
      <c r="A577" t="str">
        <f>'Unformatted Trip Summary'!A575</f>
        <v>08 MANAWATU-WANGANUI</v>
      </c>
      <c r="B577" t="str">
        <f>'Unformatted Trip Summary'!J575</f>
        <v>2042/43</v>
      </c>
      <c r="C577" t="str">
        <f>'Unformatted Trip Summary'!I575</f>
        <v>Light Vehicle Passenger</v>
      </c>
      <c r="D577">
        <f>'Unformatted Trip Summary'!D575</f>
        <v>425</v>
      </c>
      <c r="E577">
        <f>'Unformatted Trip Summary'!E575</f>
        <v>2071</v>
      </c>
      <c r="F577" s="1">
        <f>'Unformatted Trip Summary'!F575</f>
        <v>77.662367571000004</v>
      </c>
      <c r="G577" s="1">
        <f>'Unformatted Trip Summary'!G575</f>
        <v>947.52497196000002</v>
      </c>
      <c r="H577" s="1">
        <f>'Unformatted Trip Summary'!H575</f>
        <v>20.63650646</v>
      </c>
    </row>
    <row r="578" spans="1:8" x14ac:dyDescent="0.2">
      <c r="A578" t="str">
        <f>'Unformatted Trip Summary'!A576</f>
        <v>08 MANAWATU-WANGANUI</v>
      </c>
      <c r="B578" t="str">
        <f>'Unformatted Trip Summary'!J576</f>
        <v>2012/13</v>
      </c>
      <c r="C578" t="str">
        <f>'Unformatted Trip Summary'!I576</f>
        <v>Taxi/Vehicle Share</v>
      </c>
      <c r="D578">
        <f>'Unformatted Trip Summary'!D576</f>
        <v>16</v>
      </c>
      <c r="E578">
        <f>'Unformatted Trip Summary'!E576</f>
        <v>32</v>
      </c>
      <c r="F578" s="1">
        <f>'Unformatted Trip Summary'!F576</f>
        <v>0.99874441920000001</v>
      </c>
      <c r="G578" s="1">
        <f>'Unformatted Trip Summary'!G576</f>
        <v>5.6344181790999999</v>
      </c>
      <c r="H578" s="1">
        <f>'Unformatted Trip Summary'!H576</f>
        <v>0.26821620219999998</v>
      </c>
    </row>
    <row r="579" spans="1:8" x14ac:dyDescent="0.2">
      <c r="A579" t="str">
        <f>'Unformatted Trip Summary'!A577</f>
        <v>08 MANAWATU-WANGANUI</v>
      </c>
      <c r="B579" t="str">
        <f>'Unformatted Trip Summary'!J577</f>
        <v>2017/18</v>
      </c>
      <c r="C579" t="str">
        <f>'Unformatted Trip Summary'!I577</f>
        <v>Taxi/Vehicle Share</v>
      </c>
      <c r="D579">
        <f>'Unformatted Trip Summary'!D577</f>
        <v>16</v>
      </c>
      <c r="E579">
        <f>'Unformatted Trip Summary'!E577</f>
        <v>32</v>
      </c>
      <c r="F579" s="1">
        <f>'Unformatted Trip Summary'!F577</f>
        <v>1.1052850506</v>
      </c>
      <c r="G579" s="1">
        <f>'Unformatted Trip Summary'!G577</f>
        <v>6.8174429943000003</v>
      </c>
      <c r="H579" s="1">
        <f>'Unformatted Trip Summary'!H577</f>
        <v>0.31967833109999999</v>
      </c>
    </row>
    <row r="580" spans="1:8" x14ac:dyDescent="0.2">
      <c r="A580" t="str">
        <f>'Unformatted Trip Summary'!A578</f>
        <v>08 MANAWATU-WANGANUI</v>
      </c>
      <c r="B580" t="str">
        <f>'Unformatted Trip Summary'!J578</f>
        <v>2022/23</v>
      </c>
      <c r="C580" t="str">
        <f>'Unformatted Trip Summary'!I578</f>
        <v>Taxi/Vehicle Share</v>
      </c>
      <c r="D580">
        <f>'Unformatted Trip Summary'!D578</f>
        <v>16</v>
      </c>
      <c r="E580">
        <f>'Unformatted Trip Summary'!E578</f>
        <v>32</v>
      </c>
      <c r="F580" s="1">
        <f>'Unformatted Trip Summary'!F578</f>
        <v>1.1393188274999999</v>
      </c>
      <c r="G580" s="1">
        <f>'Unformatted Trip Summary'!G578</f>
        <v>7.5063117402000001</v>
      </c>
      <c r="H580" s="1">
        <f>'Unformatted Trip Summary'!H578</f>
        <v>0.3470837088</v>
      </c>
    </row>
    <row r="581" spans="1:8" x14ac:dyDescent="0.2">
      <c r="A581" t="str">
        <f>'Unformatted Trip Summary'!A579</f>
        <v>08 MANAWATU-WANGANUI</v>
      </c>
      <c r="B581" t="str">
        <f>'Unformatted Trip Summary'!J579</f>
        <v>2027/28</v>
      </c>
      <c r="C581" t="str">
        <f>'Unformatted Trip Summary'!I579</f>
        <v>Taxi/Vehicle Share</v>
      </c>
      <c r="D581">
        <f>'Unformatted Trip Summary'!D579</f>
        <v>16</v>
      </c>
      <c r="E581">
        <f>'Unformatted Trip Summary'!E579</f>
        <v>32</v>
      </c>
      <c r="F581" s="1">
        <f>'Unformatted Trip Summary'!F579</f>
        <v>1.1104241131000001</v>
      </c>
      <c r="G581" s="1">
        <f>'Unformatted Trip Summary'!G579</f>
        <v>7.7062494359000002</v>
      </c>
      <c r="H581" s="1">
        <f>'Unformatted Trip Summary'!H579</f>
        <v>0.35159369559999998</v>
      </c>
    </row>
    <row r="582" spans="1:8" x14ac:dyDescent="0.2">
      <c r="A582" t="str">
        <f>'Unformatted Trip Summary'!A580</f>
        <v>08 MANAWATU-WANGANUI</v>
      </c>
      <c r="B582" t="str">
        <f>'Unformatted Trip Summary'!J580</f>
        <v>2032/33</v>
      </c>
      <c r="C582" t="str">
        <f>'Unformatted Trip Summary'!I580</f>
        <v>Taxi/Vehicle Share</v>
      </c>
      <c r="D582">
        <f>'Unformatted Trip Summary'!D580</f>
        <v>16</v>
      </c>
      <c r="E582">
        <f>'Unformatted Trip Summary'!E580</f>
        <v>32</v>
      </c>
      <c r="F582" s="1">
        <f>'Unformatted Trip Summary'!F580</f>
        <v>1.0740239639</v>
      </c>
      <c r="G582" s="1">
        <f>'Unformatted Trip Summary'!G580</f>
        <v>7.8481765190999999</v>
      </c>
      <c r="H582" s="1">
        <f>'Unformatted Trip Summary'!H580</f>
        <v>0.35443381619999997</v>
      </c>
    </row>
    <row r="583" spans="1:8" x14ac:dyDescent="0.2">
      <c r="A583" t="str">
        <f>'Unformatted Trip Summary'!A581</f>
        <v>08 MANAWATU-WANGANUI</v>
      </c>
      <c r="B583" t="str">
        <f>'Unformatted Trip Summary'!J581</f>
        <v>2037/38</v>
      </c>
      <c r="C583" t="str">
        <f>'Unformatted Trip Summary'!I581</f>
        <v>Taxi/Vehicle Share</v>
      </c>
      <c r="D583">
        <f>'Unformatted Trip Summary'!D581</f>
        <v>16</v>
      </c>
      <c r="E583">
        <f>'Unformatted Trip Summary'!E581</f>
        <v>32</v>
      </c>
      <c r="F583" s="1">
        <f>'Unformatted Trip Summary'!F581</f>
        <v>1.0908599788</v>
      </c>
      <c r="G583" s="1">
        <f>'Unformatted Trip Summary'!G581</f>
        <v>8.4384813474999998</v>
      </c>
      <c r="H583" s="1">
        <f>'Unformatted Trip Summary'!H581</f>
        <v>0.37746347130000002</v>
      </c>
    </row>
    <row r="584" spans="1:8" x14ac:dyDescent="0.2">
      <c r="A584" t="str">
        <f>'Unformatted Trip Summary'!A582</f>
        <v>08 MANAWATU-WANGANUI</v>
      </c>
      <c r="B584" t="str">
        <f>'Unformatted Trip Summary'!J582</f>
        <v>2042/43</v>
      </c>
      <c r="C584" t="str">
        <f>'Unformatted Trip Summary'!I582</f>
        <v>Taxi/Vehicle Share</v>
      </c>
      <c r="D584">
        <f>'Unformatted Trip Summary'!D582</f>
        <v>16</v>
      </c>
      <c r="E584">
        <f>'Unformatted Trip Summary'!E582</f>
        <v>32</v>
      </c>
      <c r="F584" s="1">
        <f>'Unformatted Trip Summary'!F582</f>
        <v>1.1105439798000001</v>
      </c>
      <c r="G584" s="1">
        <f>'Unformatted Trip Summary'!G582</f>
        <v>9.0666923347000008</v>
      </c>
      <c r="H584" s="1">
        <f>'Unformatted Trip Summary'!H582</f>
        <v>0.40209950630000002</v>
      </c>
    </row>
    <row r="585" spans="1:8" x14ac:dyDescent="0.2">
      <c r="A585" t="str">
        <f>'Unformatted Trip Summary'!A583</f>
        <v>08 MANAWATU-WANGANUI</v>
      </c>
      <c r="B585" t="str">
        <f>'Unformatted Trip Summary'!J583</f>
        <v>2012/13</v>
      </c>
      <c r="C585" t="str">
        <f>'Unformatted Trip Summary'!I583</f>
        <v>Motorcyclist</v>
      </c>
      <c r="D585">
        <f>'Unformatted Trip Summary'!D583</f>
        <v>5</v>
      </c>
      <c r="E585">
        <f>'Unformatted Trip Summary'!E583</f>
        <v>19</v>
      </c>
      <c r="F585" s="1">
        <f>'Unformatted Trip Summary'!F583</f>
        <v>0.79000583589999995</v>
      </c>
      <c r="G585" s="1">
        <f>'Unformatted Trip Summary'!G583</f>
        <v>3.8744282972000001</v>
      </c>
      <c r="H585" s="1">
        <f>'Unformatted Trip Summary'!H583</f>
        <v>0.1643149203</v>
      </c>
    </row>
    <row r="586" spans="1:8" x14ac:dyDescent="0.2">
      <c r="A586" t="str">
        <f>'Unformatted Trip Summary'!A584</f>
        <v>08 MANAWATU-WANGANUI</v>
      </c>
      <c r="B586" t="str">
        <f>'Unformatted Trip Summary'!J584</f>
        <v>2017/18</v>
      </c>
      <c r="C586" t="str">
        <f>'Unformatted Trip Summary'!I584</f>
        <v>Motorcyclist</v>
      </c>
      <c r="D586">
        <f>'Unformatted Trip Summary'!D584</f>
        <v>5</v>
      </c>
      <c r="E586">
        <f>'Unformatted Trip Summary'!E584</f>
        <v>19</v>
      </c>
      <c r="F586" s="1">
        <f>'Unformatted Trip Summary'!F584</f>
        <v>0.73075697289999997</v>
      </c>
      <c r="G586" s="1">
        <f>'Unformatted Trip Summary'!G584</f>
        <v>4.2424287413000004</v>
      </c>
      <c r="H586" s="1">
        <f>'Unformatted Trip Summary'!H584</f>
        <v>0.1586296264</v>
      </c>
    </row>
    <row r="587" spans="1:8" x14ac:dyDescent="0.2">
      <c r="A587" t="str">
        <f>'Unformatted Trip Summary'!A585</f>
        <v>08 MANAWATU-WANGANUI</v>
      </c>
      <c r="B587" t="str">
        <f>'Unformatted Trip Summary'!J585</f>
        <v>2022/23</v>
      </c>
      <c r="C587" t="str">
        <f>'Unformatted Trip Summary'!I585</f>
        <v>Motorcyclist</v>
      </c>
      <c r="D587">
        <f>'Unformatted Trip Summary'!D585</f>
        <v>5</v>
      </c>
      <c r="E587">
        <f>'Unformatted Trip Summary'!E585</f>
        <v>19</v>
      </c>
      <c r="F587" s="1">
        <f>'Unformatted Trip Summary'!F585</f>
        <v>0.6554155411</v>
      </c>
      <c r="G587" s="1">
        <f>'Unformatted Trip Summary'!G585</f>
        <v>4.3634941353999999</v>
      </c>
      <c r="H587" s="1">
        <f>'Unformatted Trip Summary'!H585</f>
        <v>0.1479103464</v>
      </c>
    </row>
    <row r="588" spans="1:8" x14ac:dyDescent="0.2">
      <c r="A588" t="str">
        <f>'Unformatted Trip Summary'!A586</f>
        <v>08 MANAWATU-WANGANUI</v>
      </c>
      <c r="B588" t="str">
        <f>'Unformatted Trip Summary'!J586</f>
        <v>2027/28</v>
      </c>
      <c r="C588" t="str">
        <f>'Unformatted Trip Summary'!I586</f>
        <v>Motorcyclist</v>
      </c>
      <c r="D588">
        <f>'Unformatted Trip Summary'!D586</f>
        <v>5</v>
      </c>
      <c r="E588">
        <f>'Unformatted Trip Summary'!E586</f>
        <v>19</v>
      </c>
      <c r="F588" s="1">
        <f>'Unformatted Trip Summary'!F586</f>
        <v>0.56565076120000002</v>
      </c>
      <c r="G588" s="1">
        <f>'Unformatted Trip Summary'!G586</f>
        <v>4.2154012295000003</v>
      </c>
      <c r="H588" s="1">
        <f>'Unformatted Trip Summary'!H586</f>
        <v>0.1322136283</v>
      </c>
    </row>
    <row r="589" spans="1:8" x14ac:dyDescent="0.2">
      <c r="A589" t="str">
        <f>'Unformatted Trip Summary'!A587</f>
        <v>08 MANAWATU-WANGANUI</v>
      </c>
      <c r="B589" t="str">
        <f>'Unformatted Trip Summary'!J587</f>
        <v>2032/33</v>
      </c>
      <c r="C589" t="str">
        <f>'Unformatted Trip Summary'!I587</f>
        <v>Motorcyclist</v>
      </c>
      <c r="D589">
        <f>'Unformatted Trip Summary'!D587</f>
        <v>5</v>
      </c>
      <c r="E589">
        <f>'Unformatted Trip Summary'!E587</f>
        <v>19</v>
      </c>
      <c r="F589" s="1">
        <f>'Unformatted Trip Summary'!F587</f>
        <v>0.51590178379999996</v>
      </c>
      <c r="G589" s="1">
        <f>'Unformatted Trip Summary'!G587</f>
        <v>4.0530033268999999</v>
      </c>
      <c r="H589" s="1">
        <f>'Unformatted Trip Summary'!H587</f>
        <v>0.1228928438</v>
      </c>
    </row>
    <row r="590" spans="1:8" x14ac:dyDescent="0.2">
      <c r="A590" t="str">
        <f>'Unformatted Trip Summary'!A588</f>
        <v>08 MANAWATU-WANGANUI</v>
      </c>
      <c r="B590" t="str">
        <f>'Unformatted Trip Summary'!J588</f>
        <v>2037/38</v>
      </c>
      <c r="C590" t="str">
        <f>'Unformatted Trip Summary'!I588</f>
        <v>Motorcyclist</v>
      </c>
      <c r="D590">
        <f>'Unformatted Trip Summary'!D588</f>
        <v>5</v>
      </c>
      <c r="E590">
        <f>'Unformatted Trip Summary'!E588</f>
        <v>19</v>
      </c>
      <c r="F590" s="1">
        <f>'Unformatted Trip Summary'!F588</f>
        <v>0.49502073730000001</v>
      </c>
      <c r="G590" s="1">
        <f>'Unformatted Trip Summary'!G588</f>
        <v>3.9717111073</v>
      </c>
      <c r="H590" s="1">
        <f>'Unformatted Trip Summary'!H588</f>
        <v>0.1190552377</v>
      </c>
    </row>
    <row r="591" spans="1:8" x14ac:dyDescent="0.2">
      <c r="A591" t="str">
        <f>'Unformatted Trip Summary'!A589</f>
        <v>08 MANAWATU-WANGANUI</v>
      </c>
      <c r="B591" t="str">
        <f>'Unformatted Trip Summary'!J589</f>
        <v>2042/43</v>
      </c>
      <c r="C591" t="str">
        <f>'Unformatted Trip Summary'!I589</f>
        <v>Motorcyclist</v>
      </c>
      <c r="D591">
        <f>'Unformatted Trip Summary'!D589</f>
        <v>5</v>
      </c>
      <c r="E591">
        <f>'Unformatted Trip Summary'!E589</f>
        <v>19</v>
      </c>
      <c r="F591" s="1">
        <f>'Unformatted Trip Summary'!F589</f>
        <v>0.4673448791</v>
      </c>
      <c r="G591" s="1">
        <f>'Unformatted Trip Summary'!G589</f>
        <v>3.8647357322000002</v>
      </c>
      <c r="H591" s="1">
        <f>'Unformatted Trip Summary'!H589</f>
        <v>0.1138483235</v>
      </c>
    </row>
    <row r="592" spans="1:8" x14ac:dyDescent="0.2">
      <c r="A592" t="str">
        <f>'Unformatted Trip Summary'!A590</f>
        <v>08 MANAWATU-WANGANUI</v>
      </c>
      <c r="B592" t="str">
        <f>'Unformatted Trip Summary'!J590</f>
        <v>2012/13</v>
      </c>
      <c r="C592" t="str">
        <f>'Unformatted Trip Summary'!I590</f>
        <v>Local Bus</v>
      </c>
      <c r="D592">
        <f>'Unformatted Trip Summary'!D590</f>
        <v>41</v>
      </c>
      <c r="E592">
        <f>'Unformatted Trip Summary'!E590</f>
        <v>90</v>
      </c>
      <c r="F592" s="1">
        <f>'Unformatted Trip Summary'!F590</f>
        <v>5.2110099151</v>
      </c>
      <c r="G592" s="1">
        <f>'Unformatted Trip Summary'!G590</f>
        <v>39.768452936000003</v>
      </c>
      <c r="H592" s="1">
        <f>'Unformatted Trip Summary'!H590</f>
        <v>1.7349616699999999</v>
      </c>
    </row>
    <row r="593" spans="1:8" x14ac:dyDescent="0.2">
      <c r="A593" t="str">
        <f>'Unformatted Trip Summary'!A591</f>
        <v>08 MANAWATU-WANGANUI</v>
      </c>
      <c r="B593" t="str">
        <f>'Unformatted Trip Summary'!J591</f>
        <v>2017/18</v>
      </c>
      <c r="C593" t="str">
        <f>'Unformatted Trip Summary'!I591</f>
        <v>Local Bus</v>
      </c>
      <c r="D593">
        <f>'Unformatted Trip Summary'!D591</f>
        <v>41</v>
      </c>
      <c r="E593">
        <f>'Unformatted Trip Summary'!E591</f>
        <v>90</v>
      </c>
      <c r="F593" s="1">
        <f>'Unformatted Trip Summary'!F591</f>
        <v>4.7992741297999997</v>
      </c>
      <c r="G593" s="1">
        <f>'Unformatted Trip Summary'!G591</f>
        <v>35.463637843000001</v>
      </c>
      <c r="H593" s="1">
        <f>'Unformatted Trip Summary'!H591</f>
        <v>1.5928493693000001</v>
      </c>
    </row>
    <row r="594" spans="1:8" x14ac:dyDescent="0.2">
      <c r="A594" t="str">
        <f>'Unformatted Trip Summary'!A592</f>
        <v>08 MANAWATU-WANGANUI</v>
      </c>
      <c r="B594" t="str">
        <f>'Unformatted Trip Summary'!J592</f>
        <v>2022/23</v>
      </c>
      <c r="C594" t="str">
        <f>'Unformatted Trip Summary'!I592</f>
        <v>Local Bus</v>
      </c>
      <c r="D594">
        <f>'Unformatted Trip Summary'!D592</f>
        <v>41</v>
      </c>
      <c r="E594">
        <f>'Unformatted Trip Summary'!E592</f>
        <v>90</v>
      </c>
      <c r="F594" s="1">
        <f>'Unformatted Trip Summary'!F592</f>
        <v>4.4664523108000003</v>
      </c>
      <c r="G594" s="1">
        <f>'Unformatted Trip Summary'!G592</f>
        <v>32.262616164000001</v>
      </c>
      <c r="H594" s="1">
        <f>'Unformatted Trip Summary'!H592</f>
        <v>1.4711924487000001</v>
      </c>
    </row>
    <row r="595" spans="1:8" x14ac:dyDescent="0.2">
      <c r="A595" t="str">
        <f>'Unformatted Trip Summary'!A593</f>
        <v>08 MANAWATU-WANGANUI</v>
      </c>
      <c r="B595" t="str">
        <f>'Unformatted Trip Summary'!J593</f>
        <v>2027/28</v>
      </c>
      <c r="C595" t="str">
        <f>'Unformatted Trip Summary'!I593</f>
        <v>Local Bus</v>
      </c>
      <c r="D595">
        <f>'Unformatted Trip Summary'!D593</f>
        <v>41</v>
      </c>
      <c r="E595">
        <f>'Unformatted Trip Summary'!E593</f>
        <v>90</v>
      </c>
      <c r="F595" s="1">
        <f>'Unformatted Trip Summary'!F593</f>
        <v>4.22900104</v>
      </c>
      <c r="G595" s="1">
        <f>'Unformatted Trip Summary'!G593</f>
        <v>29.967091243999999</v>
      </c>
      <c r="H595" s="1">
        <f>'Unformatted Trip Summary'!H593</f>
        <v>1.3726948413</v>
      </c>
    </row>
    <row r="596" spans="1:8" x14ac:dyDescent="0.2">
      <c r="A596" t="str">
        <f>'Unformatted Trip Summary'!A594</f>
        <v>08 MANAWATU-WANGANUI</v>
      </c>
      <c r="B596" t="str">
        <f>'Unformatted Trip Summary'!J594</f>
        <v>2032/33</v>
      </c>
      <c r="C596" t="str">
        <f>'Unformatted Trip Summary'!I594</f>
        <v>Local Bus</v>
      </c>
      <c r="D596">
        <f>'Unformatted Trip Summary'!D594</f>
        <v>41</v>
      </c>
      <c r="E596">
        <f>'Unformatted Trip Summary'!E594</f>
        <v>90</v>
      </c>
      <c r="F596" s="1">
        <f>'Unformatted Trip Summary'!F594</f>
        <v>3.9816103929</v>
      </c>
      <c r="G596" s="1">
        <f>'Unformatted Trip Summary'!G594</f>
        <v>27.641163957</v>
      </c>
      <c r="H596" s="1">
        <f>'Unformatted Trip Summary'!H594</f>
        <v>1.2829070495999999</v>
      </c>
    </row>
    <row r="597" spans="1:8" x14ac:dyDescent="0.2">
      <c r="A597" t="str">
        <f>'Unformatted Trip Summary'!A595</f>
        <v>08 MANAWATU-WANGANUI</v>
      </c>
      <c r="B597" t="str">
        <f>'Unformatted Trip Summary'!J595</f>
        <v>2037/38</v>
      </c>
      <c r="C597" t="str">
        <f>'Unformatted Trip Summary'!I595</f>
        <v>Local Bus</v>
      </c>
      <c r="D597">
        <f>'Unformatted Trip Summary'!D595</f>
        <v>41</v>
      </c>
      <c r="E597">
        <f>'Unformatted Trip Summary'!E595</f>
        <v>90</v>
      </c>
      <c r="F597" s="1">
        <f>'Unformatted Trip Summary'!F595</f>
        <v>3.7525360292999999</v>
      </c>
      <c r="G597" s="1">
        <f>'Unformatted Trip Summary'!G595</f>
        <v>25.645375153</v>
      </c>
      <c r="H597" s="1">
        <f>'Unformatted Trip Summary'!H595</f>
        <v>1.1896391038</v>
      </c>
    </row>
    <row r="598" spans="1:8" x14ac:dyDescent="0.2">
      <c r="A598" t="str">
        <f>'Unformatted Trip Summary'!A596</f>
        <v>08 MANAWATU-WANGANUI</v>
      </c>
      <c r="B598" t="str">
        <f>'Unformatted Trip Summary'!J596</f>
        <v>2042/43</v>
      </c>
      <c r="C598" t="str">
        <f>'Unformatted Trip Summary'!I596</f>
        <v>Local Bus</v>
      </c>
      <c r="D598">
        <f>'Unformatted Trip Summary'!D596</f>
        <v>41</v>
      </c>
      <c r="E598">
        <f>'Unformatted Trip Summary'!E596</f>
        <v>90</v>
      </c>
      <c r="F598" s="1">
        <f>'Unformatted Trip Summary'!F596</f>
        <v>3.4863763688999998</v>
      </c>
      <c r="G598" s="1">
        <f>'Unformatted Trip Summary'!G596</f>
        <v>23.567949271</v>
      </c>
      <c r="H598" s="1">
        <f>'Unformatted Trip Summary'!H596</f>
        <v>1.0887806358000001</v>
      </c>
    </row>
    <row r="599" spans="1:8" x14ac:dyDescent="0.2">
      <c r="A599" t="str">
        <f>'Unformatted Trip Summary'!A597</f>
        <v>08 MANAWATU-WANGANUI</v>
      </c>
      <c r="B599" t="str">
        <f>'Unformatted Trip Summary'!J597</f>
        <v>2012/13</v>
      </c>
      <c r="C599" t="str">
        <f>'Unformatted Trip Summary'!I597</f>
        <v>Local Ferry</v>
      </c>
      <c r="D599">
        <f>'Unformatted Trip Summary'!D597</f>
        <v>2</v>
      </c>
      <c r="E599">
        <f>'Unformatted Trip Summary'!E597</f>
        <v>4</v>
      </c>
      <c r="F599" s="1">
        <f>'Unformatted Trip Summary'!F597</f>
        <v>0.1068619116</v>
      </c>
      <c r="G599" s="1">
        <f>'Unformatted Trip Summary'!G597</f>
        <v>0</v>
      </c>
      <c r="H599" s="1">
        <f>'Unformatted Trip Summary'!H597</f>
        <v>1.3357739E-2</v>
      </c>
    </row>
    <row r="600" spans="1:8" x14ac:dyDescent="0.2">
      <c r="A600" t="str">
        <f>'Unformatted Trip Summary'!A598</f>
        <v>08 MANAWATU-WANGANUI</v>
      </c>
      <c r="B600" t="str">
        <f>'Unformatted Trip Summary'!J598</f>
        <v>2017/18</v>
      </c>
      <c r="C600" t="str">
        <f>'Unformatted Trip Summary'!I598</f>
        <v>Local Ferry</v>
      </c>
      <c r="D600">
        <f>'Unformatted Trip Summary'!D598</f>
        <v>2</v>
      </c>
      <c r="E600">
        <f>'Unformatted Trip Summary'!E598</f>
        <v>4</v>
      </c>
      <c r="F600" s="1">
        <f>'Unformatted Trip Summary'!F598</f>
        <v>0.11976830550000001</v>
      </c>
      <c r="G600" s="1">
        <f>'Unformatted Trip Summary'!G598</f>
        <v>0</v>
      </c>
      <c r="H600" s="1">
        <f>'Unformatted Trip Summary'!H598</f>
        <v>1.49710382E-2</v>
      </c>
    </row>
    <row r="601" spans="1:8" x14ac:dyDescent="0.2">
      <c r="A601" t="str">
        <f>'Unformatted Trip Summary'!A599</f>
        <v>08 MANAWATU-WANGANUI</v>
      </c>
      <c r="B601" t="str">
        <f>'Unformatted Trip Summary'!J599</f>
        <v>2022/23</v>
      </c>
      <c r="C601" t="str">
        <f>'Unformatted Trip Summary'!I599</f>
        <v>Local Ferry</v>
      </c>
      <c r="D601">
        <f>'Unformatted Trip Summary'!D599</f>
        <v>2</v>
      </c>
      <c r="E601">
        <f>'Unformatted Trip Summary'!E599</f>
        <v>4</v>
      </c>
      <c r="F601" s="1">
        <f>'Unformatted Trip Summary'!F599</f>
        <v>0.1275353591</v>
      </c>
      <c r="G601" s="1">
        <f>'Unformatted Trip Summary'!G599</f>
        <v>0</v>
      </c>
      <c r="H601" s="1">
        <f>'Unformatted Trip Summary'!H599</f>
        <v>1.59419199E-2</v>
      </c>
    </row>
    <row r="602" spans="1:8" x14ac:dyDescent="0.2">
      <c r="A602" t="str">
        <f>'Unformatted Trip Summary'!A600</f>
        <v>08 MANAWATU-WANGANUI</v>
      </c>
      <c r="B602" t="str">
        <f>'Unformatted Trip Summary'!J600</f>
        <v>2027/28</v>
      </c>
      <c r="C602" t="str">
        <f>'Unformatted Trip Summary'!I600</f>
        <v>Local Ferry</v>
      </c>
      <c r="D602">
        <f>'Unformatted Trip Summary'!D600</f>
        <v>2</v>
      </c>
      <c r="E602">
        <f>'Unformatted Trip Summary'!E600</f>
        <v>4</v>
      </c>
      <c r="F602" s="1">
        <f>'Unformatted Trip Summary'!F600</f>
        <v>0.14090991310000001</v>
      </c>
      <c r="G602" s="1">
        <f>'Unformatted Trip Summary'!G600</f>
        <v>0</v>
      </c>
      <c r="H602" s="1">
        <f>'Unformatted Trip Summary'!H600</f>
        <v>1.7613739100000001E-2</v>
      </c>
    </row>
    <row r="603" spans="1:8" x14ac:dyDescent="0.2">
      <c r="A603" t="str">
        <f>'Unformatted Trip Summary'!A601</f>
        <v>08 MANAWATU-WANGANUI</v>
      </c>
      <c r="B603" t="str">
        <f>'Unformatted Trip Summary'!J601</f>
        <v>2032/33</v>
      </c>
      <c r="C603" t="str">
        <f>'Unformatted Trip Summary'!I601</f>
        <v>Local Ferry</v>
      </c>
      <c r="D603">
        <f>'Unformatted Trip Summary'!D601</f>
        <v>2</v>
      </c>
      <c r="E603">
        <f>'Unformatted Trip Summary'!E601</f>
        <v>4</v>
      </c>
      <c r="F603" s="1">
        <f>'Unformatted Trip Summary'!F601</f>
        <v>0.14431783519999999</v>
      </c>
      <c r="G603" s="1">
        <f>'Unformatted Trip Summary'!G601</f>
        <v>0</v>
      </c>
      <c r="H603" s="1">
        <f>'Unformatted Trip Summary'!H601</f>
        <v>1.8039729399999999E-2</v>
      </c>
    </row>
    <row r="604" spans="1:8" x14ac:dyDescent="0.2">
      <c r="A604" t="str">
        <f>'Unformatted Trip Summary'!A602</f>
        <v>08 MANAWATU-WANGANUI</v>
      </c>
      <c r="B604" t="str">
        <f>'Unformatted Trip Summary'!J602</f>
        <v>2037/38</v>
      </c>
      <c r="C604" t="str">
        <f>'Unformatted Trip Summary'!I602</f>
        <v>Local Ferry</v>
      </c>
      <c r="D604">
        <f>'Unformatted Trip Summary'!D602</f>
        <v>2</v>
      </c>
      <c r="E604">
        <f>'Unformatted Trip Summary'!E602</f>
        <v>4</v>
      </c>
      <c r="F604" s="1">
        <f>'Unformatted Trip Summary'!F602</f>
        <v>0.14027711900000001</v>
      </c>
      <c r="G604" s="1">
        <f>'Unformatted Trip Summary'!G602</f>
        <v>0</v>
      </c>
      <c r="H604" s="1">
        <f>'Unformatted Trip Summary'!H602</f>
        <v>1.7534639899999999E-2</v>
      </c>
    </row>
    <row r="605" spans="1:8" x14ac:dyDescent="0.2">
      <c r="A605" t="str">
        <f>'Unformatted Trip Summary'!A603</f>
        <v>08 MANAWATU-WANGANUI</v>
      </c>
      <c r="B605" t="str">
        <f>'Unformatted Trip Summary'!J603</f>
        <v>2042/43</v>
      </c>
      <c r="C605" t="str">
        <f>'Unformatted Trip Summary'!I603</f>
        <v>Local Ferry</v>
      </c>
      <c r="D605">
        <f>'Unformatted Trip Summary'!D603</f>
        <v>2</v>
      </c>
      <c r="E605">
        <f>'Unformatted Trip Summary'!E603</f>
        <v>4</v>
      </c>
      <c r="F605" s="1">
        <f>'Unformatted Trip Summary'!F603</f>
        <v>0.13521903069999999</v>
      </c>
      <c r="G605" s="1">
        <f>'Unformatted Trip Summary'!G603</f>
        <v>0</v>
      </c>
      <c r="H605" s="1">
        <f>'Unformatted Trip Summary'!H603</f>
        <v>1.6902378799999999E-2</v>
      </c>
    </row>
    <row r="606" spans="1:8" x14ac:dyDescent="0.2">
      <c r="A606" t="str">
        <f>'Unformatted Trip Summary'!A604</f>
        <v>08 MANAWATU-WANGANUI</v>
      </c>
      <c r="B606" t="str">
        <f>'Unformatted Trip Summary'!J604</f>
        <v>2012/13</v>
      </c>
      <c r="C606" t="str">
        <f>'Unformatted Trip Summary'!I604</f>
        <v>Other Household Travel</v>
      </c>
      <c r="D606">
        <f>'Unformatted Trip Summary'!D604</f>
        <v>2</v>
      </c>
      <c r="E606">
        <f>'Unformatted Trip Summary'!E604</f>
        <v>5</v>
      </c>
      <c r="F606" s="1">
        <f>'Unformatted Trip Summary'!F604</f>
        <v>0.24513607779999999</v>
      </c>
      <c r="G606" s="1">
        <f>'Unformatted Trip Summary'!G604</f>
        <v>0</v>
      </c>
      <c r="H606" s="1">
        <f>'Unformatted Trip Summary'!H604</f>
        <v>3.9735238899999997E-2</v>
      </c>
    </row>
    <row r="607" spans="1:8" x14ac:dyDescent="0.2">
      <c r="A607" t="str">
        <f>'Unformatted Trip Summary'!A605</f>
        <v>08 MANAWATU-WANGANUI</v>
      </c>
      <c r="B607" t="str">
        <f>'Unformatted Trip Summary'!J605</f>
        <v>2017/18</v>
      </c>
      <c r="C607" t="str">
        <f>'Unformatted Trip Summary'!I605</f>
        <v>Other Household Travel</v>
      </c>
      <c r="D607">
        <f>'Unformatted Trip Summary'!D605</f>
        <v>2</v>
      </c>
      <c r="E607">
        <f>'Unformatted Trip Summary'!E605</f>
        <v>5</v>
      </c>
      <c r="F607" s="1">
        <f>'Unformatted Trip Summary'!F605</f>
        <v>0.2327765504</v>
      </c>
      <c r="G607" s="1">
        <f>'Unformatted Trip Summary'!G605</f>
        <v>0</v>
      </c>
      <c r="H607" s="1">
        <f>'Unformatted Trip Summary'!H605</f>
        <v>3.7969601800000002E-2</v>
      </c>
    </row>
    <row r="608" spans="1:8" x14ac:dyDescent="0.2">
      <c r="A608" t="str">
        <f>'Unformatted Trip Summary'!A606</f>
        <v>08 MANAWATU-WANGANUI</v>
      </c>
      <c r="B608" t="str">
        <f>'Unformatted Trip Summary'!J606</f>
        <v>2022/23</v>
      </c>
      <c r="C608" t="str">
        <f>'Unformatted Trip Summary'!I606</f>
        <v>Other Household Travel</v>
      </c>
      <c r="D608">
        <f>'Unformatted Trip Summary'!D606</f>
        <v>2</v>
      </c>
      <c r="E608">
        <f>'Unformatted Trip Summary'!E606</f>
        <v>5</v>
      </c>
      <c r="F608" s="1">
        <f>'Unformatted Trip Summary'!F606</f>
        <v>0.21315470389999999</v>
      </c>
      <c r="G608" s="1">
        <f>'Unformatted Trip Summary'!G606</f>
        <v>0</v>
      </c>
      <c r="H608" s="1">
        <f>'Unformatted Trip Summary'!H606</f>
        <v>3.4600539899999998E-2</v>
      </c>
    </row>
    <row r="609" spans="1:8" x14ac:dyDescent="0.2">
      <c r="A609" t="str">
        <f>'Unformatted Trip Summary'!A607</f>
        <v>08 MANAWATU-WANGANUI</v>
      </c>
      <c r="B609" t="str">
        <f>'Unformatted Trip Summary'!J607</f>
        <v>2027/28</v>
      </c>
      <c r="C609" t="str">
        <f>'Unformatted Trip Summary'!I607</f>
        <v>Other Household Travel</v>
      </c>
      <c r="D609">
        <f>'Unformatted Trip Summary'!D607</f>
        <v>2</v>
      </c>
      <c r="E609">
        <f>'Unformatted Trip Summary'!E607</f>
        <v>5</v>
      </c>
      <c r="F609" s="1">
        <f>'Unformatted Trip Summary'!F607</f>
        <v>0.18530111320000001</v>
      </c>
      <c r="G609" s="1">
        <f>'Unformatted Trip Summary'!G607</f>
        <v>0</v>
      </c>
      <c r="H609" s="1">
        <f>'Unformatted Trip Summary'!H607</f>
        <v>3.0384627599999998E-2</v>
      </c>
    </row>
    <row r="610" spans="1:8" x14ac:dyDescent="0.2">
      <c r="A610" t="str">
        <f>'Unformatted Trip Summary'!A608</f>
        <v>08 MANAWATU-WANGANUI</v>
      </c>
      <c r="B610" t="str">
        <f>'Unformatted Trip Summary'!J608</f>
        <v>2032/33</v>
      </c>
      <c r="C610" t="str">
        <f>'Unformatted Trip Summary'!I608</f>
        <v>Other Household Travel</v>
      </c>
      <c r="D610">
        <f>'Unformatted Trip Summary'!D608</f>
        <v>2</v>
      </c>
      <c r="E610">
        <f>'Unformatted Trip Summary'!E608</f>
        <v>5</v>
      </c>
      <c r="F610" s="1">
        <f>'Unformatted Trip Summary'!F608</f>
        <v>0.16652488570000001</v>
      </c>
      <c r="G610" s="1">
        <f>'Unformatted Trip Summary'!G608</f>
        <v>0</v>
      </c>
      <c r="H610" s="1">
        <f>'Unformatted Trip Summary'!H608</f>
        <v>2.7585458100000002E-2</v>
      </c>
    </row>
    <row r="611" spans="1:8" x14ac:dyDescent="0.2">
      <c r="A611" t="str">
        <f>'Unformatted Trip Summary'!A609</f>
        <v>08 MANAWATU-WANGANUI</v>
      </c>
      <c r="B611" t="str">
        <f>'Unformatted Trip Summary'!J609</f>
        <v>2037/38</v>
      </c>
      <c r="C611" t="str">
        <f>'Unformatted Trip Summary'!I609</f>
        <v>Other Household Travel</v>
      </c>
      <c r="D611">
        <f>'Unformatted Trip Summary'!D609</f>
        <v>2</v>
      </c>
      <c r="E611">
        <f>'Unformatted Trip Summary'!E609</f>
        <v>5</v>
      </c>
      <c r="F611" s="1">
        <f>'Unformatted Trip Summary'!F609</f>
        <v>0.14889280620000001</v>
      </c>
      <c r="G611" s="1">
        <f>'Unformatted Trip Summary'!G609</f>
        <v>0</v>
      </c>
      <c r="H611" s="1">
        <f>'Unformatted Trip Summary'!H609</f>
        <v>2.5204759199999999E-2</v>
      </c>
    </row>
    <row r="612" spans="1:8" x14ac:dyDescent="0.2">
      <c r="A612" t="str">
        <f>'Unformatted Trip Summary'!A610</f>
        <v>08 MANAWATU-WANGANUI</v>
      </c>
      <c r="B612" t="str">
        <f>'Unformatted Trip Summary'!J610</f>
        <v>2042/43</v>
      </c>
      <c r="C612" t="str">
        <f>'Unformatted Trip Summary'!I610</f>
        <v>Other Household Travel</v>
      </c>
      <c r="D612">
        <f>'Unformatted Trip Summary'!D610</f>
        <v>2</v>
      </c>
      <c r="E612">
        <f>'Unformatted Trip Summary'!E610</f>
        <v>5</v>
      </c>
      <c r="F612" s="1">
        <f>'Unformatted Trip Summary'!F610</f>
        <v>0.1302357136</v>
      </c>
      <c r="G612" s="1">
        <f>'Unformatted Trip Summary'!G610</f>
        <v>0</v>
      </c>
      <c r="H612" s="1">
        <f>'Unformatted Trip Summary'!H610</f>
        <v>2.2511562499999999E-2</v>
      </c>
    </row>
    <row r="613" spans="1:8" x14ac:dyDescent="0.2">
      <c r="A613" t="str">
        <f>'Unformatted Trip Summary'!A611</f>
        <v>08 MANAWATU-WANGANUI</v>
      </c>
      <c r="B613" t="str">
        <f>'Unformatted Trip Summary'!J611</f>
        <v>2012/13</v>
      </c>
      <c r="C613" t="str">
        <f>'Unformatted Trip Summary'!I611</f>
        <v>Air/Non-Local PT</v>
      </c>
      <c r="D613">
        <f>'Unformatted Trip Summary'!D611</f>
        <v>7</v>
      </c>
      <c r="E613">
        <f>'Unformatted Trip Summary'!E611</f>
        <v>9</v>
      </c>
      <c r="F613" s="1">
        <f>'Unformatted Trip Summary'!F611</f>
        <v>0.39226351739999998</v>
      </c>
      <c r="G613" s="1">
        <f>'Unformatted Trip Summary'!G611</f>
        <v>21.972430028000002</v>
      </c>
      <c r="H613" s="1">
        <f>'Unformatted Trip Summary'!H611</f>
        <v>0.73590853769999998</v>
      </c>
    </row>
    <row r="614" spans="1:8" x14ac:dyDescent="0.2">
      <c r="A614" t="str">
        <f>'Unformatted Trip Summary'!A612</f>
        <v>08 MANAWATU-WANGANUI</v>
      </c>
      <c r="B614" t="str">
        <f>'Unformatted Trip Summary'!J612</f>
        <v>2017/18</v>
      </c>
      <c r="C614" t="str">
        <f>'Unformatted Trip Summary'!I612</f>
        <v>Air/Non-Local PT</v>
      </c>
      <c r="D614">
        <f>'Unformatted Trip Summary'!D612</f>
        <v>7</v>
      </c>
      <c r="E614">
        <f>'Unformatted Trip Summary'!E612</f>
        <v>9</v>
      </c>
      <c r="F614" s="1">
        <f>'Unformatted Trip Summary'!F612</f>
        <v>0.475095975</v>
      </c>
      <c r="G614" s="1">
        <f>'Unformatted Trip Summary'!G612</f>
        <v>24.136963859000002</v>
      </c>
      <c r="H614" s="1">
        <f>'Unformatted Trip Summary'!H612</f>
        <v>0.85405637199999995</v>
      </c>
    </row>
    <row r="615" spans="1:8" x14ac:dyDescent="0.2">
      <c r="A615" t="str">
        <f>'Unformatted Trip Summary'!A613</f>
        <v>08 MANAWATU-WANGANUI</v>
      </c>
      <c r="B615" t="str">
        <f>'Unformatted Trip Summary'!J613</f>
        <v>2022/23</v>
      </c>
      <c r="C615" t="str">
        <f>'Unformatted Trip Summary'!I613</f>
        <v>Air/Non-Local PT</v>
      </c>
      <c r="D615">
        <f>'Unformatted Trip Summary'!D613</f>
        <v>7</v>
      </c>
      <c r="E615">
        <f>'Unformatted Trip Summary'!E613</f>
        <v>9</v>
      </c>
      <c r="F615" s="1">
        <f>'Unformatted Trip Summary'!F613</f>
        <v>0.54861016559999998</v>
      </c>
      <c r="G615" s="1">
        <f>'Unformatted Trip Summary'!G613</f>
        <v>26.530540343999998</v>
      </c>
      <c r="H615" s="1">
        <f>'Unformatted Trip Summary'!H613</f>
        <v>0.97529474650000003</v>
      </c>
    </row>
    <row r="616" spans="1:8" x14ac:dyDescent="0.2">
      <c r="A616" t="str">
        <f>'Unformatted Trip Summary'!A614</f>
        <v>08 MANAWATU-WANGANUI</v>
      </c>
      <c r="B616" t="str">
        <f>'Unformatted Trip Summary'!J614</f>
        <v>2027/28</v>
      </c>
      <c r="C616" t="str">
        <f>'Unformatted Trip Summary'!I614</f>
        <v>Air/Non-Local PT</v>
      </c>
      <c r="D616">
        <f>'Unformatted Trip Summary'!D614</f>
        <v>7</v>
      </c>
      <c r="E616">
        <f>'Unformatted Trip Summary'!E614</f>
        <v>9</v>
      </c>
      <c r="F616" s="1">
        <f>'Unformatted Trip Summary'!F614</f>
        <v>0.62068960849999999</v>
      </c>
      <c r="G616" s="1">
        <f>'Unformatted Trip Summary'!G614</f>
        <v>30.078330421</v>
      </c>
      <c r="H616" s="1">
        <f>'Unformatted Trip Summary'!H614</f>
        <v>1.1223978608</v>
      </c>
    </row>
    <row r="617" spans="1:8" x14ac:dyDescent="0.2">
      <c r="A617" t="str">
        <f>'Unformatted Trip Summary'!A615</f>
        <v>08 MANAWATU-WANGANUI</v>
      </c>
      <c r="B617" t="str">
        <f>'Unformatted Trip Summary'!J615</f>
        <v>2032/33</v>
      </c>
      <c r="C617" t="str">
        <f>'Unformatted Trip Summary'!I615</f>
        <v>Air/Non-Local PT</v>
      </c>
      <c r="D617">
        <f>'Unformatted Trip Summary'!D615</f>
        <v>7</v>
      </c>
      <c r="E617">
        <f>'Unformatted Trip Summary'!E615</f>
        <v>9</v>
      </c>
      <c r="F617" s="1">
        <f>'Unformatted Trip Summary'!F615</f>
        <v>0.68124318319999999</v>
      </c>
      <c r="G617" s="1">
        <f>'Unformatted Trip Summary'!G615</f>
        <v>31.894626069000001</v>
      </c>
      <c r="H617" s="1">
        <f>'Unformatted Trip Summary'!H615</f>
        <v>1.2362531486999999</v>
      </c>
    </row>
    <row r="618" spans="1:8" x14ac:dyDescent="0.2">
      <c r="A618" t="str">
        <f>'Unformatted Trip Summary'!A616</f>
        <v>08 MANAWATU-WANGANUI</v>
      </c>
      <c r="B618" t="str">
        <f>'Unformatted Trip Summary'!J616</f>
        <v>2037/38</v>
      </c>
      <c r="C618" t="str">
        <f>'Unformatted Trip Summary'!I616</f>
        <v>Air/Non-Local PT</v>
      </c>
      <c r="D618">
        <f>'Unformatted Trip Summary'!D616</f>
        <v>7</v>
      </c>
      <c r="E618">
        <f>'Unformatted Trip Summary'!E616</f>
        <v>9</v>
      </c>
      <c r="F618" s="1">
        <f>'Unformatted Trip Summary'!F616</f>
        <v>0.72370683449999995</v>
      </c>
      <c r="G618" s="1">
        <f>'Unformatted Trip Summary'!G616</f>
        <v>30.865594077000001</v>
      </c>
      <c r="H618" s="1">
        <f>'Unformatted Trip Summary'!H616</f>
        <v>1.2792573837000001</v>
      </c>
    </row>
    <row r="619" spans="1:8" x14ac:dyDescent="0.2">
      <c r="A619" t="str">
        <f>'Unformatted Trip Summary'!A617</f>
        <v>08 MANAWATU-WANGANUI</v>
      </c>
      <c r="B619" t="str">
        <f>'Unformatted Trip Summary'!J617</f>
        <v>2042/43</v>
      </c>
      <c r="C619" t="str">
        <f>'Unformatted Trip Summary'!I617</f>
        <v>Air/Non-Local PT</v>
      </c>
      <c r="D619">
        <f>'Unformatted Trip Summary'!D617</f>
        <v>7</v>
      </c>
      <c r="E619">
        <f>'Unformatted Trip Summary'!E617</f>
        <v>9</v>
      </c>
      <c r="F619" s="1">
        <f>'Unformatted Trip Summary'!F617</f>
        <v>0.76613102109999998</v>
      </c>
      <c r="G619" s="1">
        <f>'Unformatted Trip Summary'!G617</f>
        <v>29.56399858</v>
      </c>
      <c r="H619" s="1">
        <f>'Unformatted Trip Summary'!H617</f>
        <v>1.3168224413</v>
      </c>
    </row>
    <row r="620" spans="1:8" x14ac:dyDescent="0.2">
      <c r="A620" t="str">
        <f>'Unformatted Trip Summary'!A618</f>
        <v>08 MANAWATU-WANGANUI</v>
      </c>
      <c r="B620" t="str">
        <f>'Unformatted Trip Summary'!J618</f>
        <v>2012/13</v>
      </c>
      <c r="C620" t="str">
        <f>'Unformatted Trip Summary'!I618</f>
        <v>Non-Household Travel</v>
      </c>
      <c r="D620">
        <f>'Unformatted Trip Summary'!D618</f>
        <v>12</v>
      </c>
      <c r="E620">
        <f>'Unformatted Trip Summary'!E618</f>
        <v>37</v>
      </c>
      <c r="F620" s="1">
        <f>'Unformatted Trip Summary'!F618</f>
        <v>1.6982787315000001</v>
      </c>
      <c r="G620" s="1">
        <f>'Unformatted Trip Summary'!G618</f>
        <v>38.826541556000002</v>
      </c>
      <c r="H620" s="1">
        <f>'Unformatted Trip Summary'!H618</f>
        <v>0.76899050189999996</v>
      </c>
    </row>
    <row r="621" spans="1:8" x14ac:dyDescent="0.2">
      <c r="A621" t="str">
        <f>'Unformatted Trip Summary'!A619</f>
        <v>08 MANAWATU-WANGANUI</v>
      </c>
      <c r="B621" t="str">
        <f>'Unformatted Trip Summary'!J619</f>
        <v>2017/18</v>
      </c>
      <c r="C621" t="str">
        <f>'Unformatted Trip Summary'!I619</f>
        <v>Non-Household Travel</v>
      </c>
      <c r="D621">
        <f>'Unformatted Trip Summary'!D619</f>
        <v>12</v>
      </c>
      <c r="E621">
        <f>'Unformatted Trip Summary'!E619</f>
        <v>37</v>
      </c>
      <c r="F621" s="1">
        <f>'Unformatted Trip Summary'!F619</f>
        <v>1.7344107607999999</v>
      </c>
      <c r="G621" s="1">
        <f>'Unformatted Trip Summary'!G619</f>
        <v>38.914123939</v>
      </c>
      <c r="H621" s="1">
        <f>'Unformatted Trip Summary'!H619</f>
        <v>0.78580530569999996</v>
      </c>
    </row>
    <row r="622" spans="1:8" x14ac:dyDescent="0.2">
      <c r="A622" t="str">
        <f>'Unformatted Trip Summary'!A620</f>
        <v>08 MANAWATU-WANGANUI</v>
      </c>
      <c r="B622" t="str">
        <f>'Unformatted Trip Summary'!J620</f>
        <v>2022/23</v>
      </c>
      <c r="C622" t="str">
        <f>'Unformatted Trip Summary'!I620</f>
        <v>Non-Household Travel</v>
      </c>
      <c r="D622">
        <f>'Unformatted Trip Summary'!D620</f>
        <v>12</v>
      </c>
      <c r="E622">
        <f>'Unformatted Trip Summary'!E620</f>
        <v>37</v>
      </c>
      <c r="F622" s="1">
        <f>'Unformatted Trip Summary'!F620</f>
        <v>1.7859000431000001</v>
      </c>
      <c r="G622" s="1">
        <f>'Unformatted Trip Summary'!G620</f>
        <v>40.031645490999999</v>
      </c>
      <c r="H622" s="1">
        <f>'Unformatted Trip Summary'!H620</f>
        <v>0.81469435909999999</v>
      </c>
    </row>
    <row r="623" spans="1:8" x14ac:dyDescent="0.2">
      <c r="A623" t="str">
        <f>'Unformatted Trip Summary'!A621</f>
        <v>08 MANAWATU-WANGANUI</v>
      </c>
      <c r="B623" t="str">
        <f>'Unformatted Trip Summary'!J621</f>
        <v>2027/28</v>
      </c>
      <c r="C623" t="str">
        <f>'Unformatted Trip Summary'!I621</f>
        <v>Non-Household Travel</v>
      </c>
      <c r="D623">
        <f>'Unformatted Trip Summary'!D621</f>
        <v>12</v>
      </c>
      <c r="E623">
        <f>'Unformatted Trip Summary'!E621</f>
        <v>37</v>
      </c>
      <c r="F623" s="1">
        <f>'Unformatted Trip Summary'!F621</f>
        <v>1.8628661629000001</v>
      </c>
      <c r="G623" s="1">
        <f>'Unformatted Trip Summary'!G621</f>
        <v>42.284798403000003</v>
      </c>
      <c r="H623" s="1">
        <f>'Unformatted Trip Summary'!H621</f>
        <v>0.85743060260000004</v>
      </c>
    </row>
    <row r="624" spans="1:8" x14ac:dyDescent="0.2">
      <c r="A624" t="str">
        <f>'Unformatted Trip Summary'!A622</f>
        <v>08 MANAWATU-WANGANUI</v>
      </c>
      <c r="B624" t="str">
        <f>'Unformatted Trip Summary'!J622</f>
        <v>2032/33</v>
      </c>
      <c r="C624" t="str">
        <f>'Unformatted Trip Summary'!I622</f>
        <v>Non-Household Travel</v>
      </c>
      <c r="D624">
        <f>'Unformatted Trip Summary'!D622</f>
        <v>12</v>
      </c>
      <c r="E624">
        <f>'Unformatted Trip Summary'!E622</f>
        <v>37</v>
      </c>
      <c r="F624" s="1">
        <f>'Unformatted Trip Summary'!F622</f>
        <v>1.8868938638999999</v>
      </c>
      <c r="G624" s="1">
        <f>'Unformatted Trip Summary'!G622</f>
        <v>44.390455101000001</v>
      </c>
      <c r="H624" s="1">
        <f>'Unformatted Trip Summary'!H622</f>
        <v>0.88847103829999996</v>
      </c>
    </row>
    <row r="625" spans="1:8" x14ac:dyDescent="0.2">
      <c r="A625" t="str">
        <f>'Unformatted Trip Summary'!A623</f>
        <v>08 MANAWATU-WANGANUI</v>
      </c>
      <c r="B625" t="str">
        <f>'Unformatted Trip Summary'!J623</f>
        <v>2037/38</v>
      </c>
      <c r="C625" t="str">
        <f>'Unformatted Trip Summary'!I623</f>
        <v>Non-Household Travel</v>
      </c>
      <c r="D625">
        <f>'Unformatted Trip Summary'!D623</f>
        <v>12</v>
      </c>
      <c r="E625">
        <f>'Unformatted Trip Summary'!E623</f>
        <v>37</v>
      </c>
      <c r="F625" s="1">
        <f>'Unformatted Trip Summary'!F623</f>
        <v>1.8646595249</v>
      </c>
      <c r="G625" s="1">
        <f>'Unformatted Trip Summary'!G623</f>
        <v>44.878203646000003</v>
      </c>
      <c r="H625" s="1">
        <f>'Unformatted Trip Summary'!H623</f>
        <v>0.89057526440000001</v>
      </c>
    </row>
    <row r="626" spans="1:8" x14ac:dyDescent="0.2">
      <c r="A626" t="str">
        <f>'Unformatted Trip Summary'!A624</f>
        <v>08 MANAWATU-WANGANUI</v>
      </c>
      <c r="B626" t="str">
        <f>'Unformatted Trip Summary'!J624</f>
        <v>2042/43</v>
      </c>
      <c r="C626" t="str">
        <f>'Unformatted Trip Summary'!I624</f>
        <v>Non-Household Travel</v>
      </c>
      <c r="D626">
        <f>'Unformatted Trip Summary'!D624</f>
        <v>12</v>
      </c>
      <c r="E626">
        <f>'Unformatted Trip Summary'!E624</f>
        <v>37</v>
      </c>
      <c r="F626" s="1">
        <f>'Unformatted Trip Summary'!F624</f>
        <v>1.8234838419999999</v>
      </c>
      <c r="G626" s="1">
        <f>'Unformatted Trip Summary'!G624</f>
        <v>45.026903941999997</v>
      </c>
      <c r="H626" s="1">
        <f>'Unformatted Trip Summary'!H624</f>
        <v>0.88566785569999995</v>
      </c>
    </row>
    <row r="627" spans="1:8" x14ac:dyDescent="0.2">
      <c r="A627" t="str">
        <f>'Unformatted Trip Summary'!A625</f>
        <v>09 WELLINGTON</v>
      </c>
      <c r="B627" t="str">
        <f>'Unformatted Trip Summary'!J625</f>
        <v>2012/13</v>
      </c>
      <c r="C627" t="str">
        <f>'Unformatted Trip Summary'!I625</f>
        <v>Pedestrian</v>
      </c>
      <c r="D627">
        <f>'Unformatted Trip Summary'!D625</f>
        <v>941</v>
      </c>
      <c r="E627">
        <f>'Unformatted Trip Summary'!E625</f>
        <v>4221</v>
      </c>
      <c r="F627" s="1">
        <f>'Unformatted Trip Summary'!F625</f>
        <v>182.29561206</v>
      </c>
      <c r="G627" s="1">
        <f>'Unformatted Trip Summary'!G625</f>
        <v>126.13499251</v>
      </c>
      <c r="H627" s="1">
        <f>'Unformatted Trip Summary'!H625</f>
        <v>32.985647405999998</v>
      </c>
    </row>
    <row r="628" spans="1:8" x14ac:dyDescent="0.2">
      <c r="A628" t="str">
        <f>'Unformatted Trip Summary'!A626</f>
        <v>09 WELLINGTON</v>
      </c>
      <c r="B628" t="str">
        <f>'Unformatted Trip Summary'!J626</f>
        <v>2017/18</v>
      </c>
      <c r="C628" t="str">
        <f>'Unformatted Trip Summary'!I626</f>
        <v>Pedestrian</v>
      </c>
      <c r="D628">
        <f>'Unformatted Trip Summary'!D626</f>
        <v>941</v>
      </c>
      <c r="E628">
        <f>'Unformatted Trip Summary'!E626</f>
        <v>4221</v>
      </c>
      <c r="F628" s="1">
        <f>'Unformatted Trip Summary'!F626</f>
        <v>195.41046102999999</v>
      </c>
      <c r="G628" s="1">
        <f>'Unformatted Trip Summary'!G626</f>
        <v>135.98196798000001</v>
      </c>
      <c r="H628" s="1">
        <f>'Unformatted Trip Summary'!H626</f>
        <v>35.535702491999999</v>
      </c>
    </row>
    <row r="629" spans="1:8" x14ac:dyDescent="0.2">
      <c r="A629" t="str">
        <f>'Unformatted Trip Summary'!A627</f>
        <v>09 WELLINGTON</v>
      </c>
      <c r="B629" t="str">
        <f>'Unformatted Trip Summary'!J627</f>
        <v>2022/23</v>
      </c>
      <c r="C629" t="str">
        <f>'Unformatted Trip Summary'!I627</f>
        <v>Pedestrian</v>
      </c>
      <c r="D629">
        <f>'Unformatted Trip Summary'!D627</f>
        <v>941</v>
      </c>
      <c r="E629">
        <f>'Unformatted Trip Summary'!E627</f>
        <v>4221</v>
      </c>
      <c r="F629" s="1">
        <f>'Unformatted Trip Summary'!F627</f>
        <v>202.44457084000001</v>
      </c>
      <c r="G629" s="1">
        <f>'Unformatted Trip Summary'!G627</f>
        <v>141.19355490000001</v>
      </c>
      <c r="H629" s="1">
        <f>'Unformatted Trip Summary'!H627</f>
        <v>36.843545433999999</v>
      </c>
    </row>
    <row r="630" spans="1:8" x14ac:dyDescent="0.2">
      <c r="A630" t="str">
        <f>'Unformatted Trip Summary'!A628</f>
        <v>09 WELLINGTON</v>
      </c>
      <c r="B630" t="str">
        <f>'Unformatted Trip Summary'!J628</f>
        <v>2027/28</v>
      </c>
      <c r="C630" t="str">
        <f>'Unformatted Trip Summary'!I628</f>
        <v>Pedestrian</v>
      </c>
      <c r="D630">
        <f>'Unformatted Trip Summary'!D628</f>
        <v>941</v>
      </c>
      <c r="E630">
        <f>'Unformatted Trip Summary'!E628</f>
        <v>4221</v>
      </c>
      <c r="F630" s="1">
        <f>'Unformatted Trip Summary'!F628</f>
        <v>209.19577819</v>
      </c>
      <c r="G630" s="1">
        <f>'Unformatted Trip Summary'!G628</f>
        <v>146.41929726000001</v>
      </c>
      <c r="H630" s="1">
        <f>'Unformatted Trip Summary'!H628</f>
        <v>38.311459913</v>
      </c>
    </row>
    <row r="631" spans="1:8" x14ac:dyDescent="0.2">
      <c r="A631" t="str">
        <f>'Unformatted Trip Summary'!A629</f>
        <v>09 WELLINGTON</v>
      </c>
      <c r="B631" t="str">
        <f>'Unformatted Trip Summary'!J629</f>
        <v>2032/33</v>
      </c>
      <c r="C631" t="str">
        <f>'Unformatted Trip Summary'!I629</f>
        <v>Pedestrian</v>
      </c>
      <c r="D631">
        <f>'Unformatted Trip Summary'!D629</f>
        <v>941</v>
      </c>
      <c r="E631">
        <f>'Unformatted Trip Summary'!E629</f>
        <v>4221</v>
      </c>
      <c r="F631" s="1">
        <f>'Unformatted Trip Summary'!F629</f>
        <v>215.14329817000001</v>
      </c>
      <c r="G631" s="1">
        <f>'Unformatted Trip Summary'!G629</f>
        <v>151.29976058</v>
      </c>
      <c r="H631" s="1">
        <f>'Unformatted Trip Summary'!H629</f>
        <v>39.644547842999998</v>
      </c>
    </row>
    <row r="632" spans="1:8" x14ac:dyDescent="0.2">
      <c r="A632" t="str">
        <f>'Unformatted Trip Summary'!A630</f>
        <v>09 WELLINGTON</v>
      </c>
      <c r="B632" t="str">
        <f>'Unformatted Trip Summary'!J630</f>
        <v>2037/38</v>
      </c>
      <c r="C632" t="str">
        <f>'Unformatted Trip Summary'!I630</f>
        <v>Pedestrian</v>
      </c>
      <c r="D632">
        <f>'Unformatted Trip Summary'!D630</f>
        <v>941</v>
      </c>
      <c r="E632">
        <f>'Unformatted Trip Summary'!E630</f>
        <v>4221</v>
      </c>
      <c r="F632" s="1">
        <f>'Unformatted Trip Summary'!F630</f>
        <v>220.86656511000001</v>
      </c>
      <c r="G632" s="1">
        <f>'Unformatted Trip Summary'!G630</f>
        <v>156.43219998000001</v>
      </c>
      <c r="H632" s="1">
        <f>'Unformatted Trip Summary'!H630</f>
        <v>40.888281010999997</v>
      </c>
    </row>
    <row r="633" spans="1:8" x14ac:dyDescent="0.2">
      <c r="A633" t="str">
        <f>'Unformatted Trip Summary'!A631</f>
        <v>09 WELLINGTON</v>
      </c>
      <c r="B633" t="str">
        <f>'Unformatted Trip Summary'!J631</f>
        <v>2042/43</v>
      </c>
      <c r="C633" t="str">
        <f>'Unformatted Trip Summary'!I631</f>
        <v>Pedestrian</v>
      </c>
      <c r="D633">
        <f>'Unformatted Trip Summary'!D631</f>
        <v>941</v>
      </c>
      <c r="E633">
        <f>'Unformatted Trip Summary'!E631</f>
        <v>4221</v>
      </c>
      <c r="F633" s="1">
        <f>'Unformatted Trip Summary'!F631</f>
        <v>225.78151946</v>
      </c>
      <c r="G633" s="1">
        <f>'Unformatted Trip Summary'!G631</f>
        <v>161.16905208</v>
      </c>
      <c r="H633" s="1">
        <f>'Unformatted Trip Summary'!H631</f>
        <v>42.021579107999997</v>
      </c>
    </row>
    <row r="634" spans="1:8" x14ac:dyDescent="0.2">
      <c r="A634" t="str">
        <f>'Unformatted Trip Summary'!A632</f>
        <v>09 WELLINGTON</v>
      </c>
      <c r="B634" t="str">
        <f>'Unformatted Trip Summary'!J632</f>
        <v>2012/13</v>
      </c>
      <c r="C634" t="str">
        <f>'Unformatted Trip Summary'!I632</f>
        <v>Cyclist</v>
      </c>
      <c r="D634">
        <f>'Unformatted Trip Summary'!D632</f>
        <v>54</v>
      </c>
      <c r="E634">
        <f>'Unformatted Trip Summary'!E632</f>
        <v>164</v>
      </c>
      <c r="F634" s="1">
        <f>'Unformatted Trip Summary'!F632</f>
        <v>8.1327913301999999</v>
      </c>
      <c r="G634" s="1">
        <f>'Unformatted Trip Summary'!G632</f>
        <v>52.092312808000003</v>
      </c>
      <c r="H634" s="1">
        <f>'Unformatted Trip Summary'!H632</f>
        <v>3.6978261002999999</v>
      </c>
    </row>
    <row r="635" spans="1:8" x14ac:dyDescent="0.2">
      <c r="A635" t="str">
        <f>'Unformatted Trip Summary'!A633</f>
        <v>09 WELLINGTON</v>
      </c>
      <c r="B635" t="str">
        <f>'Unformatted Trip Summary'!J633</f>
        <v>2017/18</v>
      </c>
      <c r="C635" t="str">
        <f>'Unformatted Trip Summary'!I633</f>
        <v>Cyclist</v>
      </c>
      <c r="D635">
        <f>'Unformatted Trip Summary'!D633</f>
        <v>54</v>
      </c>
      <c r="E635">
        <f>'Unformatted Trip Summary'!E633</f>
        <v>164</v>
      </c>
      <c r="F635" s="1">
        <f>'Unformatted Trip Summary'!F633</f>
        <v>8.4455327274999998</v>
      </c>
      <c r="G635" s="1">
        <f>'Unformatted Trip Summary'!G633</f>
        <v>56.208191462000002</v>
      </c>
      <c r="H635" s="1">
        <f>'Unformatted Trip Summary'!H633</f>
        <v>3.9817902190000001</v>
      </c>
    </row>
    <row r="636" spans="1:8" x14ac:dyDescent="0.2">
      <c r="A636" t="str">
        <f>'Unformatted Trip Summary'!A634</f>
        <v>09 WELLINGTON</v>
      </c>
      <c r="B636" t="str">
        <f>'Unformatted Trip Summary'!J634</f>
        <v>2022/23</v>
      </c>
      <c r="C636" t="str">
        <f>'Unformatted Trip Summary'!I634</f>
        <v>Cyclist</v>
      </c>
      <c r="D636">
        <f>'Unformatted Trip Summary'!D634</f>
        <v>54</v>
      </c>
      <c r="E636">
        <f>'Unformatted Trip Summary'!E634</f>
        <v>164</v>
      </c>
      <c r="F636" s="1">
        <f>'Unformatted Trip Summary'!F634</f>
        <v>8.5378166344000004</v>
      </c>
      <c r="G636" s="1">
        <f>'Unformatted Trip Summary'!G634</f>
        <v>58.267945685999997</v>
      </c>
      <c r="H636" s="1">
        <f>'Unformatted Trip Summary'!H634</f>
        <v>4.1143884247000004</v>
      </c>
    </row>
    <row r="637" spans="1:8" x14ac:dyDescent="0.2">
      <c r="A637" t="str">
        <f>'Unformatted Trip Summary'!A635</f>
        <v>09 WELLINGTON</v>
      </c>
      <c r="B637" t="str">
        <f>'Unformatted Trip Summary'!J635</f>
        <v>2027/28</v>
      </c>
      <c r="C637" t="str">
        <f>'Unformatted Trip Summary'!I635</f>
        <v>Cyclist</v>
      </c>
      <c r="D637">
        <f>'Unformatted Trip Summary'!D635</f>
        <v>54</v>
      </c>
      <c r="E637">
        <f>'Unformatted Trip Summary'!E635</f>
        <v>164</v>
      </c>
      <c r="F637" s="1">
        <f>'Unformatted Trip Summary'!F635</f>
        <v>8.3763557579000008</v>
      </c>
      <c r="G637" s="1">
        <f>'Unformatted Trip Summary'!G635</f>
        <v>60.828494468000002</v>
      </c>
      <c r="H637" s="1">
        <f>'Unformatted Trip Summary'!H635</f>
        <v>4.2509635308</v>
      </c>
    </row>
    <row r="638" spans="1:8" x14ac:dyDescent="0.2">
      <c r="A638" t="str">
        <f>'Unformatted Trip Summary'!A636</f>
        <v>09 WELLINGTON</v>
      </c>
      <c r="B638" t="str">
        <f>'Unformatted Trip Summary'!J636</f>
        <v>2032/33</v>
      </c>
      <c r="C638" t="str">
        <f>'Unformatted Trip Summary'!I636</f>
        <v>Cyclist</v>
      </c>
      <c r="D638">
        <f>'Unformatted Trip Summary'!D636</f>
        <v>54</v>
      </c>
      <c r="E638">
        <f>'Unformatted Trip Summary'!E636</f>
        <v>164</v>
      </c>
      <c r="F638" s="1">
        <f>'Unformatted Trip Summary'!F636</f>
        <v>8.3302547782000005</v>
      </c>
      <c r="G638" s="1">
        <f>'Unformatted Trip Summary'!G636</f>
        <v>66.012993046000005</v>
      </c>
      <c r="H638" s="1">
        <f>'Unformatted Trip Summary'!H636</f>
        <v>4.5479570425000002</v>
      </c>
    </row>
    <row r="639" spans="1:8" x14ac:dyDescent="0.2">
      <c r="A639" t="str">
        <f>'Unformatted Trip Summary'!A637</f>
        <v>09 WELLINGTON</v>
      </c>
      <c r="B639" t="str">
        <f>'Unformatted Trip Summary'!J637</f>
        <v>2037/38</v>
      </c>
      <c r="C639" t="str">
        <f>'Unformatted Trip Summary'!I637</f>
        <v>Cyclist</v>
      </c>
      <c r="D639">
        <f>'Unformatted Trip Summary'!D637</f>
        <v>54</v>
      </c>
      <c r="E639">
        <f>'Unformatted Trip Summary'!E637</f>
        <v>164</v>
      </c>
      <c r="F639" s="1">
        <f>'Unformatted Trip Summary'!F637</f>
        <v>8.4155079156999992</v>
      </c>
      <c r="G639" s="1">
        <f>'Unformatted Trip Summary'!G637</f>
        <v>73.308999201000006</v>
      </c>
      <c r="H639" s="1">
        <f>'Unformatted Trip Summary'!H637</f>
        <v>4.9832096256999998</v>
      </c>
    </row>
    <row r="640" spans="1:8" x14ac:dyDescent="0.2">
      <c r="A640" t="str">
        <f>'Unformatted Trip Summary'!A638</f>
        <v>09 WELLINGTON</v>
      </c>
      <c r="B640" t="str">
        <f>'Unformatted Trip Summary'!J638</f>
        <v>2042/43</v>
      </c>
      <c r="C640" t="str">
        <f>'Unformatted Trip Summary'!I638</f>
        <v>Cyclist</v>
      </c>
      <c r="D640">
        <f>'Unformatted Trip Summary'!D638</f>
        <v>54</v>
      </c>
      <c r="E640">
        <f>'Unformatted Trip Summary'!E638</f>
        <v>164</v>
      </c>
      <c r="F640" s="1">
        <f>'Unformatted Trip Summary'!F638</f>
        <v>8.5020881517000007</v>
      </c>
      <c r="G640" s="1">
        <f>'Unformatted Trip Summary'!G638</f>
        <v>81.016922836000006</v>
      </c>
      <c r="H640" s="1">
        <f>'Unformatted Trip Summary'!H638</f>
        <v>5.4421418192999997</v>
      </c>
    </row>
    <row r="641" spans="1:8" x14ac:dyDescent="0.2">
      <c r="A641" t="str">
        <f>'Unformatted Trip Summary'!A639</f>
        <v>09 WELLINGTON</v>
      </c>
      <c r="B641" t="str">
        <f>'Unformatted Trip Summary'!J639</f>
        <v>2012/13</v>
      </c>
      <c r="C641" t="str">
        <f>'Unformatted Trip Summary'!I639</f>
        <v>Light Vehicle Driver</v>
      </c>
      <c r="D641">
        <f>'Unformatted Trip Summary'!D639</f>
        <v>1130</v>
      </c>
      <c r="E641">
        <f>'Unformatted Trip Summary'!E639</f>
        <v>8488</v>
      </c>
      <c r="F641" s="1">
        <f>'Unformatted Trip Summary'!F639</f>
        <v>377.93589692</v>
      </c>
      <c r="G641" s="1">
        <f>'Unformatted Trip Summary'!G639</f>
        <v>3481.4296611999998</v>
      </c>
      <c r="H641" s="1">
        <f>'Unformatted Trip Summary'!H639</f>
        <v>92.129697210000003</v>
      </c>
    </row>
    <row r="642" spans="1:8" x14ac:dyDescent="0.2">
      <c r="A642" t="str">
        <f>'Unformatted Trip Summary'!A640</f>
        <v>09 WELLINGTON</v>
      </c>
      <c r="B642" t="str">
        <f>'Unformatted Trip Summary'!J640</f>
        <v>2017/18</v>
      </c>
      <c r="C642" t="str">
        <f>'Unformatted Trip Summary'!I640</f>
        <v>Light Vehicle Driver</v>
      </c>
      <c r="D642">
        <f>'Unformatted Trip Summary'!D640</f>
        <v>1130</v>
      </c>
      <c r="E642">
        <f>'Unformatted Trip Summary'!E640</f>
        <v>8488</v>
      </c>
      <c r="F642" s="1">
        <f>'Unformatted Trip Summary'!F640</f>
        <v>403.68901804000001</v>
      </c>
      <c r="G642" s="1">
        <f>'Unformatted Trip Summary'!G640</f>
        <v>3734.7458326999999</v>
      </c>
      <c r="H642" s="1">
        <f>'Unformatted Trip Summary'!H640</f>
        <v>98.888412060999997</v>
      </c>
    </row>
    <row r="643" spans="1:8" x14ac:dyDescent="0.2">
      <c r="A643" t="str">
        <f>'Unformatted Trip Summary'!A641</f>
        <v>09 WELLINGTON</v>
      </c>
      <c r="B643" t="str">
        <f>'Unformatted Trip Summary'!J641</f>
        <v>2022/23</v>
      </c>
      <c r="C643" t="str">
        <f>'Unformatted Trip Summary'!I641</f>
        <v>Light Vehicle Driver</v>
      </c>
      <c r="D643">
        <f>'Unformatted Trip Summary'!D641</f>
        <v>1130</v>
      </c>
      <c r="E643">
        <f>'Unformatted Trip Summary'!E641</f>
        <v>8488</v>
      </c>
      <c r="F643" s="1">
        <f>'Unformatted Trip Summary'!F641</f>
        <v>420.26146378999999</v>
      </c>
      <c r="G643" s="1">
        <f>'Unformatted Trip Summary'!G641</f>
        <v>3893.8505936000001</v>
      </c>
      <c r="H643" s="1">
        <f>'Unformatted Trip Summary'!H641</f>
        <v>103.22082046</v>
      </c>
    </row>
    <row r="644" spans="1:8" x14ac:dyDescent="0.2">
      <c r="A644" t="str">
        <f>'Unformatted Trip Summary'!A642</f>
        <v>09 WELLINGTON</v>
      </c>
      <c r="B644" t="str">
        <f>'Unformatted Trip Summary'!J642</f>
        <v>2027/28</v>
      </c>
      <c r="C644" t="str">
        <f>'Unformatted Trip Summary'!I642</f>
        <v>Light Vehicle Driver</v>
      </c>
      <c r="D644">
        <f>'Unformatted Trip Summary'!D642</f>
        <v>1130</v>
      </c>
      <c r="E644">
        <f>'Unformatted Trip Summary'!E642</f>
        <v>8488</v>
      </c>
      <c r="F644" s="1">
        <f>'Unformatted Trip Summary'!F642</f>
        <v>443.52970985000002</v>
      </c>
      <c r="G644" s="1">
        <f>'Unformatted Trip Summary'!G642</f>
        <v>4126.3290004999999</v>
      </c>
      <c r="H644" s="1">
        <f>'Unformatted Trip Summary'!H642</f>
        <v>109.17294712</v>
      </c>
    </row>
    <row r="645" spans="1:8" x14ac:dyDescent="0.2">
      <c r="A645" t="str">
        <f>'Unformatted Trip Summary'!A643</f>
        <v>09 WELLINGTON</v>
      </c>
      <c r="B645" t="str">
        <f>'Unformatted Trip Summary'!J643</f>
        <v>2032/33</v>
      </c>
      <c r="C645" t="str">
        <f>'Unformatted Trip Summary'!I643</f>
        <v>Light Vehicle Driver</v>
      </c>
      <c r="D645">
        <f>'Unformatted Trip Summary'!D643</f>
        <v>1130</v>
      </c>
      <c r="E645">
        <f>'Unformatted Trip Summary'!E643</f>
        <v>8488</v>
      </c>
      <c r="F645" s="1">
        <f>'Unformatted Trip Summary'!F643</f>
        <v>465.26615237999999</v>
      </c>
      <c r="G645" s="1">
        <f>'Unformatted Trip Summary'!G643</f>
        <v>4361.1903928000002</v>
      </c>
      <c r="H645" s="1">
        <f>'Unformatted Trip Summary'!H643</f>
        <v>114.91557026</v>
      </c>
    </row>
    <row r="646" spans="1:8" x14ac:dyDescent="0.2">
      <c r="A646" t="str">
        <f>'Unformatted Trip Summary'!A644</f>
        <v>09 WELLINGTON</v>
      </c>
      <c r="B646" t="str">
        <f>'Unformatted Trip Summary'!J644</f>
        <v>2037/38</v>
      </c>
      <c r="C646" t="str">
        <f>'Unformatted Trip Summary'!I644</f>
        <v>Light Vehicle Driver</v>
      </c>
      <c r="D646">
        <f>'Unformatted Trip Summary'!D644</f>
        <v>1130</v>
      </c>
      <c r="E646">
        <f>'Unformatted Trip Summary'!E644</f>
        <v>8488</v>
      </c>
      <c r="F646" s="1">
        <f>'Unformatted Trip Summary'!F644</f>
        <v>482.94373567000002</v>
      </c>
      <c r="G646" s="1">
        <f>'Unformatted Trip Summary'!G644</f>
        <v>4559.8959955</v>
      </c>
      <c r="H646" s="1">
        <f>'Unformatted Trip Summary'!H644</f>
        <v>119.80245468</v>
      </c>
    </row>
    <row r="647" spans="1:8" x14ac:dyDescent="0.2">
      <c r="A647" t="str">
        <f>'Unformatted Trip Summary'!A645</f>
        <v>09 WELLINGTON</v>
      </c>
      <c r="B647" t="str">
        <f>'Unformatted Trip Summary'!J645</f>
        <v>2042/43</v>
      </c>
      <c r="C647" t="str">
        <f>'Unformatted Trip Summary'!I645</f>
        <v>Light Vehicle Driver</v>
      </c>
      <c r="D647">
        <f>'Unformatted Trip Summary'!D645</f>
        <v>1130</v>
      </c>
      <c r="E647">
        <f>'Unformatted Trip Summary'!E645</f>
        <v>8488</v>
      </c>
      <c r="F647" s="1">
        <f>'Unformatted Trip Summary'!F645</f>
        <v>498.55732760000001</v>
      </c>
      <c r="G647" s="1">
        <f>'Unformatted Trip Summary'!G645</f>
        <v>4739.7416266999999</v>
      </c>
      <c r="H647" s="1">
        <f>'Unformatted Trip Summary'!H645</f>
        <v>124.21460869000001</v>
      </c>
    </row>
    <row r="648" spans="1:8" x14ac:dyDescent="0.2">
      <c r="A648" t="str">
        <f>'Unformatted Trip Summary'!A646</f>
        <v>09 WELLINGTON</v>
      </c>
      <c r="B648" t="str">
        <f>'Unformatted Trip Summary'!J646</f>
        <v>2012/13</v>
      </c>
      <c r="C648" t="str">
        <f>'Unformatted Trip Summary'!I646</f>
        <v>Light Vehicle Passenger</v>
      </c>
      <c r="D648">
        <f>'Unformatted Trip Summary'!D646</f>
        <v>936</v>
      </c>
      <c r="E648">
        <f>'Unformatted Trip Summary'!E646</f>
        <v>4461</v>
      </c>
      <c r="F648" s="1">
        <f>'Unformatted Trip Summary'!F646</f>
        <v>183.55442563</v>
      </c>
      <c r="G648" s="1">
        <f>'Unformatted Trip Summary'!G646</f>
        <v>2005.8850408000001</v>
      </c>
      <c r="H648" s="1">
        <f>'Unformatted Trip Summary'!H646</f>
        <v>48.966354531</v>
      </c>
    </row>
    <row r="649" spans="1:8" x14ac:dyDescent="0.2">
      <c r="A649" t="str">
        <f>'Unformatted Trip Summary'!A647</f>
        <v>09 WELLINGTON</v>
      </c>
      <c r="B649" t="str">
        <f>'Unformatted Trip Summary'!J647</f>
        <v>2017/18</v>
      </c>
      <c r="C649" t="str">
        <f>'Unformatted Trip Summary'!I647</f>
        <v>Light Vehicle Passenger</v>
      </c>
      <c r="D649">
        <f>'Unformatted Trip Summary'!D647</f>
        <v>936</v>
      </c>
      <c r="E649">
        <f>'Unformatted Trip Summary'!E647</f>
        <v>4461</v>
      </c>
      <c r="F649" s="1">
        <f>'Unformatted Trip Summary'!F647</f>
        <v>190.91427575</v>
      </c>
      <c r="G649" s="1">
        <f>'Unformatted Trip Summary'!G647</f>
        <v>2061.3885857</v>
      </c>
      <c r="H649" s="1">
        <f>'Unformatted Trip Summary'!H647</f>
        <v>50.681857047000001</v>
      </c>
    </row>
    <row r="650" spans="1:8" x14ac:dyDescent="0.2">
      <c r="A650" t="str">
        <f>'Unformatted Trip Summary'!A648</f>
        <v>09 WELLINGTON</v>
      </c>
      <c r="B650" t="str">
        <f>'Unformatted Trip Summary'!J648</f>
        <v>2022/23</v>
      </c>
      <c r="C650" t="str">
        <f>'Unformatted Trip Summary'!I648</f>
        <v>Light Vehicle Passenger</v>
      </c>
      <c r="D650">
        <f>'Unformatted Trip Summary'!D648</f>
        <v>936</v>
      </c>
      <c r="E650">
        <f>'Unformatted Trip Summary'!E648</f>
        <v>4461</v>
      </c>
      <c r="F650" s="1">
        <f>'Unformatted Trip Summary'!F648</f>
        <v>195.13534315000001</v>
      </c>
      <c r="G650" s="1">
        <f>'Unformatted Trip Summary'!G648</f>
        <v>2081.6169740999999</v>
      </c>
      <c r="H650" s="1">
        <f>'Unformatted Trip Summary'!H648</f>
        <v>51.467476109000003</v>
      </c>
    </row>
    <row r="651" spans="1:8" x14ac:dyDescent="0.2">
      <c r="A651" t="str">
        <f>'Unformatted Trip Summary'!A649</f>
        <v>09 WELLINGTON</v>
      </c>
      <c r="B651" t="str">
        <f>'Unformatted Trip Summary'!J649</f>
        <v>2027/28</v>
      </c>
      <c r="C651" t="str">
        <f>'Unformatted Trip Summary'!I649</f>
        <v>Light Vehicle Passenger</v>
      </c>
      <c r="D651">
        <f>'Unformatted Trip Summary'!D649</f>
        <v>936</v>
      </c>
      <c r="E651">
        <f>'Unformatted Trip Summary'!E649</f>
        <v>4461</v>
      </c>
      <c r="F651" s="1">
        <f>'Unformatted Trip Summary'!F649</f>
        <v>199.28770459</v>
      </c>
      <c r="G651" s="1">
        <f>'Unformatted Trip Summary'!G649</f>
        <v>2127.1259315000002</v>
      </c>
      <c r="H651" s="1">
        <f>'Unformatted Trip Summary'!H649</f>
        <v>52.574226039000003</v>
      </c>
    </row>
    <row r="652" spans="1:8" x14ac:dyDescent="0.2">
      <c r="A652" t="str">
        <f>'Unformatted Trip Summary'!A650</f>
        <v>09 WELLINGTON</v>
      </c>
      <c r="B652" t="str">
        <f>'Unformatted Trip Summary'!J650</f>
        <v>2032/33</v>
      </c>
      <c r="C652" t="str">
        <f>'Unformatted Trip Summary'!I650</f>
        <v>Light Vehicle Passenger</v>
      </c>
      <c r="D652">
        <f>'Unformatted Trip Summary'!D650</f>
        <v>936</v>
      </c>
      <c r="E652">
        <f>'Unformatted Trip Summary'!E650</f>
        <v>4461</v>
      </c>
      <c r="F652" s="1">
        <f>'Unformatted Trip Summary'!F650</f>
        <v>203.33669255999999</v>
      </c>
      <c r="G652" s="1">
        <f>'Unformatted Trip Summary'!G650</f>
        <v>2173.2460959</v>
      </c>
      <c r="H652" s="1">
        <f>'Unformatted Trip Summary'!H650</f>
        <v>53.67067187</v>
      </c>
    </row>
    <row r="653" spans="1:8" x14ac:dyDescent="0.2">
      <c r="A653" t="str">
        <f>'Unformatted Trip Summary'!A651</f>
        <v>09 WELLINGTON</v>
      </c>
      <c r="B653" t="str">
        <f>'Unformatted Trip Summary'!J651</f>
        <v>2037/38</v>
      </c>
      <c r="C653" t="str">
        <f>'Unformatted Trip Summary'!I651</f>
        <v>Light Vehicle Passenger</v>
      </c>
      <c r="D653">
        <f>'Unformatted Trip Summary'!D651</f>
        <v>936</v>
      </c>
      <c r="E653">
        <f>'Unformatted Trip Summary'!E651</f>
        <v>4461</v>
      </c>
      <c r="F653" s="1">
        <f>'Unformatted Trip Summary'!F651</f>
        <v>206.51740670999999</v>
      </c>
      <c r="G653" s="1">
        <f>'Unformatted Trip Summary'!G651</f>
        <v>2203.7873046999998</v>
      </c>
      <c r="H653" s="1">
        <f>'Unformatted Trip Summary'!H651</f>
        <v>54.400864646000002</v>
      </c>
    </row>
    <row r="654" spans="1:8" x14ac:dyDescent="0.2">
      <c r="A654" t="str">
        <f>'Unformatted Trip Summary'!A652</f>
        <v>09 WELLINGTON</v>
      </c>
      <c r="B654" t="str">
        <f>'Unformatted Trip Summary'!J652</f>
        <v>2042/43</v>
      </c>
      <c r="C654" t="str">
        <f>'Unformatted Trip Summary'!I652</f>
        <v>Light Vehicle Passenger</v>
      </c>
      <c r="D654">
        <f>'Unformatted Trip Summary'!D652</f>
        <v>936</v>
      </c>
      <c r="E654">
        <f>'Unformatted Trip Summary'!E652</f>
        <v>4461</v>
      </c>
      <c r="F654" s="1">
        <f>'Unformatted Trip Summary'!F652</f>
        <v>208.41985266</v>
      </c>
      <c r="G654" s="1">
        <f>'Unformatted Trip Summary'!G652</f>
        <v>2221.8873815000002</v>
      </c>
      <c r="H654" s="1">
        <f>'Unformatted Trip Summary'!H652</f>
        <v>54.833946834000002</v>
      </c>
    </row>
    <row r="655" spans="1:8" x14ac:dyDescent="0.2">
      <c r="A655" t="str">
        <f>'Unformatted Trip Summary'!A653</f>
        <v>09 WELLINGTON</v>
      </c>
      <c r="B655" t="str">
        <f>'Unformatted Trip Summary'!J653</f>
        <v>2012/13</v>
      </c>
      <c r="C655" t="str">
        <f>'Unformatted Trip Summary'!I653</f>
        <v>Taxi/Vehicle Share</v>
      </c>
      <c r="D655">
        <f>'Unformatted Trip Summary'!D653</f>
        <v>31</v>
      </c>
      <c r="E655">
        <f>'Unformatted Trip Summary'!E653</f>
        <v>51</v>
      </c>
      <c r="F655" s="1">
        <f>'Unformatted Trip Summary'!F653</f>
        <v>2.3579512121000001</v>
      </c>
      <c r="G655" s="1">
        <f>'Unformatted Trip Summary'!G653</f>
        <v>19.359252680000001</v>
      </c>
      <c r="H655" s="1">
        <f>'Unformatted Trip Summary'!H653</f>
        <v>0.76229285280000003</v>
      </c>
    </row>
    <row r="656" spans="1:8" x14ac:dyDescent="0.2">
      <c r="A656" t="str">
        <f>'Unformatted Trip Summary'!A654</f>
        <v>09 WELLINGTON</v>
      </c>
      <c r="B656" t="str">
        <f>'Unformatted Trip Summary'!J654</f>
        <v>2017/18</v>
      </c>
      <c r="C656" t="str">
        <f>'Unformatted Trip Summary'!I654</f>
        <v>Taxi/Vehicle Share</v>
      </c>
      <c r="D656">
        <f>'Unformatted Trip Summary'!D654</f>
        <v>31</v>
      </c>
      <c r="E656">
        <f>'Unformatted Trip Summary'!E654</f>
        <v>51</v>
      </c>
      <c r="F656" s="1">
        <f>'Unformatted Trip Summary'!F654</f>
        <v>2.6096777248</v>
      </c>
      <c r="G656" s="1">
        <f>'Unformatted Trip Summary'!G654</f>
        <v>20.870338469</v>
      </c>
      <c r="H656" s="1">
        <f>'Unformatted Trip Summary'!H654</f>
        <v>0.83114396690000003</v>
      </c>
    </row>
    <row r="657" spans="1:8" x14ac:dyDescent="0.2">
      <c r="A657" t="str">
        <f>'Unformatted Trip Summary'!A655</f>
        <v>09 WELLINGTON</v>
      </c>
      <c r="B657" t="str">
        <f>'Unformatted Trip Summary'!J655</f>
        <v>2022/23</v>
      </c>
      <c r="C657" t="str">
        <f>'Unformatted Trip Summary'!I655</f>
        <v>Taxi/Vehicle Share</v>
      </c>
      <c r="D657">
        <f>'Unformatted Trip Summary'!D655</f>
        <v>31</v>
      </c>
      <c r="E657">
        <f>'Unformatted Trip Summary'!E655</f>
        <v>51</v>
      </c>
      <c r="F657" s="1">
        <f>'Unformatted Trip Summary'!F655</f>
        <v>2.7683039984</v>
      </c>
      <c r="G657" s="1">
        <f>'Unformatted Trip Summary'!G655</f>
        <v>22.262005342999998</v>
      </c>
      <c r="H657" s="1">
        <f>'Unformatted Trip Summary'!H655</f>
        <v>0.89051783979999999</v>
      </c>
    </row>
    <row r="658" spans="1:8" x14ac:dyDescent="0.2">
      <c r="A658" t="str">
        <f>'Unformatted Trip Summary'!A656</f>
        <v>09 WELLINGTON</v>
      </c>
      <c r="B658" t="str">
        <f>'Unformatted Trip Summary'!J656</f>
        <v>2027/28</v>
      </c>
      <c r="C658" t="str">
        <f>'Unformatted Trip Summary'!I656</f>
        <v>Taxi/Vehicle Share</v>
      </c>
      <c r="D658">
        <f>'Unformatted Trip Summary'!D656</f>
        <v>31</v>
      </c>
      <c r="E658">
        <f>'Unformatted Trip Summary'!E656</f>
        <v>51</v>
      </c>
      <c r="F658" s="1">
        <f>'Unformatted Trip Summary'!F656</f>
        <v>2.9263181496000001</v>
      </c>
      <c r="G658" s="1">
        <f>'Unformatted Trip Summary'!G656</f>
        <v>24.309593308</v>
      </c>
      <c r="H658" s="1">
        <f>'Unformatted Trip Summary'!H656</f>
        <v>0.96930699379999996</v>
      </c>
    </row>
    <row r="659" spans="1:8" x14ac:dyDescent="0.2">
      <c r="A659" t="str">
        <f>'Unformatted Trip Summary'!A657</f>
        <v>09 WELLINGTON</v>
      </c>
      <c r="B659" t="str">
        <f>'Unformatted Trip Summary'!J657</f>
        <v>2032/33</v>
      </c>
      <c r="C659" t="str">
        <f>'Unformatted Trip Summary'!I657</f>
        <v>Taxi/Vehicle Share</v>
      </c>
      <c r="D659">
        <f>'Unformatted Trip Summary'!D657</f>
        <v>31</v>
      </c>
      <c r="E659">
        <f>'Unformatted Trip Summary'!E657</f>
        <v>51</v>
      </c>
      <c r="F659" s="1">
        <f>'Unformatted Trip Summary'!F657</f>
        <v>3.0734515014000001</v>
      </c>
      <c r="G659" s="1">
        <f>'Unformatted Trip Summary'!G657</f>
        <v>26.326827371</v>
      </c>
      <c r="H659" s="1">
        <f>'Unformatted Trip Summary'!H657</f>
        <v>1.0378713101999999</v>
      </c>
    </row>
    <row r="660" spans="1:8" x14ac:dyDescent="0.2">
      <c r="A660" t="str">
        <f>'Unformatted Trip Summary'!A658</f>
        <v>09 WELLINGTON</v>
      </c>
      <c r="B660" t="str">
        <f>'Unformatted Trip Summary'!J658</f>
        <v>2037/38</v>
      </c>
      <c r="C660" t="str">
        <f>'Unformatted Trip Summary'!I658</f>
        <v>Taxi/Vehicle Share</v>
      </c>
      <c r="D660">
        <f>'Unformatted Trip Summary'!D658</f>
        <v>31</v>
      </c>
      <c r="E660">
        <f>'Unformatted Trip Summary'!E658</f>
        <v>51</v>
      </c>
      <c r="F660" s="1">
        <f>'Unformatted Trip Summary'!F658</f>
        <v>3.2063250814000002</v>
      </c>
      <c r="G660" s="1">
        <f>'Unformatted Trip Summary'!G658</f>
        <v>27.969559895</v>
      </c>
      <c r="H660" s="1">
        <f>'Unformatted Trip Summary'!H658</f>
        <v>1.0880160775000001</v>
      </c>
    </row>
    <row r="661" spans="1:8" x14ac:dyDescent="0.2">
      <c r="A661" t="str">
        <f>'Unformatted Trip Summary'!A659</f>
        <v>09 WELLINGTON</v>
      </c>
      <c r="B661" t="str">
        <f>'Unformatted Trip Summary'!J659</f>
        <v>2042/43</v>
      </c>
      <c r="C661" t="str">
        <f>'Unformatted Trip Summary'!I659</f>
        <v>Taxi/Vehicle Share</v>
      </c>
      <c r="D661">
        <f>'Unformatted Trip Summary'!D659</f>
        <v>31</v>
      </c>
      <c r="E661">
        <f>'Unformatted Trip Summary'!E659</f>
        <v>51</v>
      </c>
      <c r="F661" s="1">
        <f>'Unformatted Trip Summary'!F659</f>
        <v>3.3256707772</v>
      </c>
      <c r="G661" s="1">
        <f>'Unformatted Trip Summary'!G659</f>
        <v>29.409127783999999</v>
      </c>
      <c r="H661" s="1">
        <f>'Unformatted Trip Summary'!H659</f>
        <v>1.1320938256999999</v>
      </c>
    </row>
    <row r="662" spans="1:8" x14ac:dyDescent="0.2">
      <c r="A662" t="str">
        <f>'Unformatted Trip Summary'!A660</f>
        <v>09 WELLINGTON</v>
      </c>
      <c r="B662" t="str">
        <f>'Unformatted Trip Summary'!J660</f>
        <v>2012/13</v>
      </c>
      <c r="C662" t="str">
        <f>'Unformatted Trip Summary'!I660</f>
        <v>Motorcyclist</v>
      </c>
      <c r="D662">
        <f>'Unformatted Trip Summary'!D660</f>
        <v>16</v>
      </c>
      <c r="E662">
        <f>'Unformatted Trip Summary'!E660</f>
        <v>64</v>
      </c>
      <c r="F662" s="1">
        <f>'Unformatted Trip Summary'!F660</f>
        <v>2.4968267649999998</v>
      </c>
      <c r="G662" s="1">
        <f>'Unformatted Trip Summary'!G660</f>
        <v>24.444631151999999</v>
      </c>
      <c r="H662" s="1">
        <f>'Unformatted Trip Summary'!H660</f>
        <v>0.71073078609999996</v>
      </c>
    </row>
    <row r="663" spans="1:8" x14ac:dyDescent="0.2">
      <c r="A663" t="str">
        <f>'Unformatted Trip Summary'!A661</f>
        <v>09 WELLINGTON</v>
      </c>
      <c r="B663" t="str">
        <f>'Unformatted Trip Summary'!J661</f>
        <v>2017/18</v>
      </c>
      <c r="C663" t="str">
        <f>'Unformatted Trip Summary'!I661</f>
        <v>Motorcyclist</v>
      </c>
      <c r="D663">
        <f>'Unformatted Trip Summary'!D661</f>
        <v>16</v>
      </c>
      <c r="E663">
        <f>'Unformatted Trip Summary'!E661</f>
        <v>64</v>
      </c>
      <c r="F663" s="1">
        <f>'Unformatted Trip Summary'!F661</f>
        <v>2.6697112401999998</v>
      </c>
      <c r="G663" s="1">
        <f>'Unformatted Trip Summary'!G661</f>
        <v>24.915436018000001</v>
      </c>
      <c r="H663" s="1">
        <f>'Unformatted Trip Summary'!H661</f>
        <v>0.73986955409999999</v>
      </c>
    </row>
    <row r="664" spans="1:8" x14ac:dyDescent="0.2">
      <c r="A664" t="str">
        <f>'Unformatted Trip Summary'!A662</f>
        <v>09 WELLINGTON</v>
      </c>
      <c r="B664" t="str">
        <f>'Unformatted Trip Summary'!J662</f>
        <v>2022/23</v>
      </c>
      <c r="C664" t="str">
        <f>'Unformatted Trip Summary'!I662</f>
        <v>Motorcyclist</v>
      </c>
      <c r="D664">
        <f>'Unformatted Trip Summary'!D662</f>
        <v>16</v>
      </c>
      <c r="E664">
        <f>'Unformatted Trip Summary'!E662</f>
        <v>64</v>
      </c>
      <c r="F664" s="1">
        <f>'Unformatted Trip Summary'!F662</f>
        <v>2.7376842686999998</v>
      </c>
      <c r="G664" s="1">
        <f>'Unformatted Trip Summary'!G662</f>
        <v>24.889414937000002</v>
      </c>
      <c r="H664" s="1">
        <f>'Unformatted Trip Summary'!H662</f>
        <v>0.74320626089999997</v>
      </c>
    </row>
    <row r="665" spans="1:8" x14ac:dyDescent="0.2">
      <c r="A665" t="str">
        <f>'Unformatted Trip Summary'!A663</f>
        <v>09 WELLINGTON</v>
      </c>
      <c r="B665" t="str">
        <f>'Unformatted Trip Summary'!J663</f>
        <v>2027/28</v>
      </c>
      <c r="C665" t="str">
        <f>'Unformatted Trip Summary'!I663</f>
        <v>Motorcyclist</v>
      </c>
      <c r="D665">
        <f>'Unformatted Trip Summary'!D663</f>
        <v>16</v>
      </c>
      <c r="E665">
        <f>'Unformatted Trip Summary'!E663</f>
        <v>64</v>
      </c>
      <c r="F665" s="1">
        <f>'Unformatted Trip Summary'!F663</f>
        <v>2.8298805211000002</v>
      </c>
      <c r="G665" s="1">
        <f>'Unformatted Trip Summary'!G663</f>
        <v>25.78215307</v>
      </c>
      <c r="H665" s="1">
        <f>'Unformatted Trip Summary'!H663</f>
        <v>0.76260897319999998</v>
      </c>
    </row>
    <row r="666" spans="1:8" x14ac:dyDescent="0.2">
      <c r="A666" t="str">
        <f>'Unformatted Trip Summary'!A664</f>
        <v>09 WELLINGTON</v>
      </c>
      <c r="B666" t="str">
        <f>'Unformatted Trip Summary'!J664</f>
        <v>2032/33</v>
      </c>
      <c r="C666" t="str">
        <f>'Unformatted Trip Summary'!I664</f>
        <v>Motorcyclist</v>
      </c>
      <c r="D666">
        <f>'Unformatted Trip Summary'!D664</f>
        <v>16</v>
      </c>
      <c r="E666">
        <f>'Unformatted Trip Summary'!E664</f>
        <v>64</v>
      </c>
      <c r="F666" s="1">
        <f>'Unformatted Trip Summary'!F664</f>
        <v>2.9428362749999999</v>
      </c>
      <c r="G666" s="1">
        <f>'Unformatted Trip Summary'!G664</f>
        <v>27.432653900999998</v>
      </c>
      <c r="H666" s="1">
        <f>'Unformatted Trip Summary'!H664</f>
        <v>0.80182981499999995</v>
      </c>
    </row>
    <row r="667" spans="1:8" x14ac:dyDescent="0.2">
      <c r="A667" t="str">
        <f>'Unformatted Trip Summary'!A665</f>
        <v>09 WELLINGTON</v>
      </c>
      <c r="B667" t="str">
        <f>'Unformatted Trip Summary'!J665</f>
        <v>2037/38</v>
      </c>
      <c r="C667" t="str">
        <f>'Unformatted Trip Summary'!I665</f>
        <v>Motorcyclist</v>
      </c>
      <c r="D667">
        <f>'Unformatted Trip Summary'!D665</f>
        <v>16</v>
      </c>
      <c r="E667">
        <f>'Unformatted Trip Summary'!E665</f>
        <v>64</v>
      </c>
      <c r="F667" s="1">
        <f>'Unformatted Trip Summary'!F665</f>
        <v>3.0203811453</v>
      </c>
      <c r="G667" s="1">
        <f>'Unformatted Trip Summary'!G665</f>
        <v>28.798171240999999</v>
      </c>
      <c r="H667" s="1">
        <f>'Unformatted Trip Summary'!H665</f>
        <v>0.83540665889999999</v>
      </c>
    </row>
    <row r="668" spans="1:8" x14ac:dyDescent="0.2">
      <c r="A668" t="str">
        <f>'Unformatted Trip Summary'!A666</f>
        <v>09 WELLINGTON</v>
      </c>
      <c r="B668" t="str">
        <f>'Unformatted Trip Summary'!J666</f>
        <v>2042/43</v>
      </c>
      <c r="C668" t="str">
        <f>'Unformatted Trip Summary'!I666</f>
        <v>Motorcyclist</v>
      </c>
      <c r="D668">
        <f>'Unformatted Trip Summary'!D666</f>
        <v>16</v>
      </c>
      <c r="E668">
        <f>'Unformatted Trip Summary'!E666</f>
        <v>64</v>
      </c>
      <c r="F668" s="1">
        <f>'Unformatted Trip Summary'!F666</f>
        <v>3.0618537293000001</v>
      </c>
      <c r="G668" s="1">
        <f>'Unformatted Trip Summary'!G666</f>
        <v>29.808710197</v>
      </c>
      <c r="H668" s="1">
        <f>'Unformatted Trip Summary'!H666</f>
        <v>0.85781365980000002</v>
      </c>
    </row>
    <row r="669" spans="1:8" x14ac:dyDescent="0.2">
      <c r="A669" t="str">
        <f>'Unformatted Trip Summary'!A667</f>
        <v>09 WELLINGTON</v>
      </c>
      <c r="B669" t="str">
        <f>'Unformatted Trip Summary'!J667</f>
        <v>2012/13</v>
      </c>
      <c r="C669" t="str">
        <f>'Unformatted Trip Summary'!I667</f>
        <v>Local Train</v>
      </c>
      <c r="D669">
        <f>'Unformatted Trip Summary'!D667</f>
        <v>94</v>
      </c>
      <c r="E669">
        <f>'Unformatted Trip Summary'!E667</f>
        <v>228</v>
      </c>
      <c r="F669" s="1">
        <f>'Unformatted Trip Summary'!F667</f>
        <v>10.165258230999999</v>
      </c>
      <c r="G669" s="1">
        <f>'Unformatted Trip Summary'!G667</f>
        <v>251.12727889999999</v>
      </c>
      <c r="H669" s="1">
        <f>'Unformatted Trip Summary'!H667</f>
        <v>5.5268751299999996</v>
      </c>
    </row>
    <row r="670" spans="1:8" x14ac:dyDescent="0.2">
      <c r="A670" t="str">
        <f>'Unformatted Trip Summary'!A668</f>
        <v>09 WELLINGTON</v>
      </c>
      <c r="B670" t="str">
        <f>'Unformatted Trip Summary'!J668</f>
        <v>2017/18</v>
      </c>
      <c r="C670" t="str">
        <f>'Unformatted Trip Summary'!I668</f>
        <v>Local Train</v>
      </c>
      <c r="D670">
        <f>'Unformatted Trip Summary'!D668</f>
        <v>94</v>
      </c>
      <c r="E670">
        <f>'Unformatted Trip Summary'!E668</f>
        <v>228</v>
      </c>
      <c r="F670" s="1">
        <f>'Unformatted Trip Summary'!F668</f>
        <v>11.09745863</v>
      </c>
      <c r="G670" s="1">
        <f>'Unformatted Trip Summary'!G668</f>
        <v>272.30099767000002</v>
      </c>
      <c r="H670" s="1">
        <f>'Unformatted Trip Summary'!H668</f>
        <v>5.9722013032000003</v>
      </c>
    </row>
    <row r="671" spans="1:8" x14ac:dyDescent="0.2">
      <c r="A671" t="str">
        <f>'Unformatted Trip Summary'!A669</f>
        <v>09 WELLINGTON</v>
      </c>
      <c r="B671" t="str">
        <f>'Unformatted Trip Summary'!J669</f>
        <v>2022/23</v>
      </c>
      <c r="C671" t="str">
        <f>'Unformatted Trip Summary'!I669</f>
        <v>Local Train</v>
      </c>
      <c r="D671">
        <f>'Unformatted Trip Summary'!D669</f>
        <v>94</v>
      </c>
      <c r="E671">
        <f>'Unformatted Trip Summary'!E669</f>
        <v>228</v>
      </c>
      <c r="F671" s="1">
        <f>'Unformatted Trip Summary'!F669</f>
        <v>11.700891197000001</v>
      </c>
      <c r="G671" s="1">
        <f>'Unformatted Trip Summary'!G669</f>
        <v>287.57689847</v>
      </c>
      <c r="H671" s="1">
        <f>'Unformatted Trip Summary'!H669</f>
        <v>6.2906053629000001</v>
      </c>
    </row>
    <row r="672" spans="1:8" x14ac:dyDescent="0.2">
      <c r="A672" t="str">
        <f>'Unformatted Trip Summary'!A670</f>
        <v>09 WELLINGTON</v>
      </c>
      <c r="B672" t="str">
        <f>'Unformatted Trip Summary'!J670</f>
        <v>2027/28</v>
      </c>
      <c r="C672" t="str">
        <f>'Unformatted Trip Summary'!I670</f>
        <v>Local Train</v>
      </c>
      <c r="D672">
        <f>'Unformatted Trip Summary'!D670</f>
        <v>94</v>
      </c>
      <c r="E672">
        <f>'Unformatted Trip Summary'!E670</f>
        <v>228</v>
      </c>
      <c r="F672" s="1">
        <f>'Unformatted Trip Summary'!F670</f>
        <v>12.041057675999999</v>
      </c>
      <c r="G672" s="1">
        <f>'Unformatted Trip Summary'!G670</f>
        <v>299.35808040000001</v>
      </c>
      <c r="H672" s="1">
        <f>'Unformatted Trip Summary'!H670</f>
        <v>6.5361995627000002</v>
      </c>
    </row>
    <row r="673" spans="1:8" x14ac:dyDescent="0.2">
      <c r="A673" t="str">
        <f>'Unformatted Trip Summary'!A671</f>
        <v>09 WELLINGTON</v>
      </c>
      <c r="B673" t="str">
        <f>'Unformatted Trip Summary'!J671</f>
        <v>2032/33</v>
      </c>
      <c r="C673" t="str">
        <f>'Unformatted Trip Summary'!I671</f>
        <v>Local Train</v>
      </c>
      <c r="D673">
        <f>'Unformatted Trip Summary'!D671</f>
        <v>94</v>
      </c>
      <c r="E673">
        <f>'Unformatted Trip Summary'!E671</f>
        <v>228</v>
      </c>
      <c r="F673" s="1">
        <f>'Unformatted Trip Summary'!F671</f>
        <v>12.251059278</v>
      </c>
      <c r="G673" s="1">
        <f>'Unformatted Trip Summary'!G671</f>
        <v>304.57215048</v>
      </c>
      <c r="H673" s="1">
        <f>'Unformatted Trip Summary'!H671</f>
        <v>6.6633950145999998</v>
      </c>
    </row>
    <row r="674" spans="1:8" x14ac:dyDescent="0.2">
      <c r="A674" t="str">
        <f>'Unformatted Trip Summary'!A672</f>
        <v>09 WELLINGTON</v>
      </c>
      <c r="B674" t="str">
        <f>'Unformatted Trip Summary'!J672</f>
        <v>2037/38</v>
      </c>
      <c r="C674" t="str">
        <f>'Unformatted Trip Summary'!I672</f>
        <v>Local Train</v>
      </c>
      <c r="D674">
        <f>'Unformatted Trip Summary'!D672</f>
        <v>94</v>
      </c>
      <c r="E674">
        <f>'Unformatted Trip Summary'!E672</f>
        <v>228</v>
      </c>
      <c r="F674" s="1">
        <f>'Unformatted Trip Summary'!F672</f>
        <v>12.545954514</v>
      </c>
      <c r="G674" s="1">
        <f>'Unformatted Trip Summary'!G672</f>
        <v>311.21015441999998</v>
      </c>
      <c r="H674" s="1">
        <f>'Unformatted Trip Summary'!H672</f>
        <v>6.8175096367999997</v>
      </c>
    </row>
    <row r="675" spans="1:8" x14ac:dyDescent="0.2">
      <c r="A675" t="str">
        <f>'Unformatted Trip Summary'!A673</f>
        <v>09 WELLINGTON</v>
      </c>
      <c r="B675" t="str">
        <f>'Unformatted Trip Summary'!J673</f>
        <v>2042/43</v>
      </c>
      <c r="C675" t="str">
        <f>'Unformatted Trip Summary'!I673</f>
        <v>Local Train</v>
      </c>
      <c r="D675">
        <f>'Unformatted Trip Summary'!D673</f>
        <v>94</v>
      </c>
      <c r="E675">
        <f>'Unformatted Trip Summary'!E673</f>
        <v>228</v>
      </c>
      <c r="F675" s="1">
        <f>'Unformatted Trip Summary'!F673</f>
        <v>12.780011669</v>
      </c>
      <c r="G675" s="1">
        <f>'Unformatted Trip Summary'!G673</f>
        <v>315.94281543</v>
      </c>
      <c r="H675" s="1">
        <f>'Unformatted Trip Summary'!H673</f>
        <v>6.9350759681999996</v>
      </c>
    </row>
    <row r="676" spans="1:8" x14ac:dyDescent="0.2">
      <c r="A676" t="str">
        <f>'Unformatted Trip Summary'!A674</f>
        <v>09 WELLINGTON</v>
      </c>
      <c r="B676" t="str">
        <f>'Unformatted Trip Summary'!J674</f>
        <v>2012/13</v>
      </c>
      <c r="C676" t="str">
        <f>'Unformatted Trip Summary'!I674</f>
        <v>Local Bus</v>
      </c>
      <c r="D676">
        <f>'Unformatted Trip Summary'!D674</f>
        <v>211</v>
      </c>
      <c r="E676">
        <f>'Unformatted Trip Summary'!E674</f>
        <v>552</v>
      </c>
      <c r="F676" s="1">
        <f>'Unformatted Trip Summary'!F674</f>
        <v>24.821335829999999</v>
      </c>
      <c r="G676" s="1">
        <f>'Unformatted Trip Summary'!G674</f>
        <v>187.412398</v>
      </c>
      <c r="H676" s="1">
        <f>'Unformatted Trip Summary'!H674</f>
        <v>9.3956469076999998</v>
      </c>
    </row>
    <row r="677" spans="1:8" x14ac:dyDescent="0.2">
      <c r="A677" t="str">
        <f>'Unformatted Trip Summary'!A675</f>
        <v>09 WELLINGTON</v>
      </c>
      <c r="B677" t="str">
        <f>'Unformatted Trip Summary'!J675</f>
        <v>2017/18</v>
      </c>
      <c r="C677" t="str">
        <f>'Unformatted Trip Summary'!I675</f>
        <v>Local Bus</v>
      </c>
      <c r="D677">
        <f>'Unformatted Trip Summary'!D675</f>
        <v>211</v>
      </c>
      <c r="E677">
        <f>'Unformatted Trip Summary'!E675</f>
        <v>552</v>
      </c>
      <c r="F677" s="1">
        <f>'Unformatted Trip Summary'!F675</f>
        <v>26.179189936</v>
      </c>
      <c r="G677" s="1">
        <f>'Unformatted Trip Summary'!G675</f>
        <v>199.36998972000001</v>
      </c>
      <c r="H677" s="1">
        <f>'Unformatted Trip Summary'!H675</f>
        <v>9.9524310807000003</v>
      </c>
    </row>
    <row r="678" spans="1:8" x14ac:dyDescent="0.2">
      <c r="A678" t="str">
        <f>'Unformatted Trip Summary'!A676</f>
        <v>09 WELLINGTON</v>
      </c>
      <c r="B678" t="str">
        <f>'Unformatted Trip Summary'!J676</f>
        <v>2022/23</v>
      </c>
      <c r="C678" t="str">
        <f>'Unformatted Trip Summary'!I676</f>
        <v>Local Bus</v>
      </c>
      <c r="D678">
        <f>'Unformatted Trip Summary'!D676</f>
        <v>211</v>
      </c>
      <c r="E678">
        <f>'Unformatted Trip Summary'!E676</f>
        <v>552</v>
      </c>
      <c r="F678" s="1">
        <f>'Unformatted Trip Summary'!F676</f>
        <v>26.782264098999999</v>
      </c>
      <c r="G678" s="1">
        <f>'Unformatted Trip Summary'!G676</f>
        <v>204.78550231</v>
      </c>
      <c r="H678" s="1">
        <f>'Unformatted Trip Summary'!H676</f>
        <v>10.221614831</v>
      </c>
    </row>
    <row r="679" spans="1:8" x14ac:dyDescent="0.2">
      <c r="A679" t="str">
        <f>'Unformatted Trip Summary'!A677</f>
        <v>09 WELLINGTON</v>
      </c>
      <c r="B679" t="str">
        <f>'Unformatted Trip Summary'!J677</f>
        <v>2027/28</v>
      </c>
      <c r="C679" t="str">
        <f>'Unformatted Trip Summary'!I677</f>
        <v>Local Bus</v>
      </c>
      <c r="D679">
        <f>'Unformatted Trip Summary'!D677</f>
        <v>211</v>
      </c>
      <c r="E679">
        <f>'Unformatted Trip Summary'!E677</f>
        <v>552</v>
      </c>
      <c r="F679" s="1">
        <f>'Unformatted Trip Summary'!F677</f>
        <v>26.876840296000001</v>
      </c>
      <c r="G679" s="1">
        <f>'Unformatted Trip Summary'!G677</f>
        <v>208.60145833000001</v>
      </c>
      <c r="H679" s="1">
        <f>'Unformatted Trip Summary'!H677</f>
        <v>10.277843769</v>
      </c>
    </row>
    <row r="680" spans="1:8" x14ac:dyDescent="0.2">
      <c r="A680" t="str">
        <f>'Unformatted Trip Summary'!A678</f>
        <v>09 WELLINGTON</v>
      </c>
      <c r="B680" t="str">
        <f>'Unformatted Trip Summary'!J678</f>
        <v>2032/33</v>
      </c>
      <c r="C680" t="str">
        <f>'Unformatted Trip Summary'!I678</f>
        <v>Local Bus</v>
      </c>
      <c r="D680">
        <f>'Unformatted Trip Summary'!D678</f>
        <v>211</v>
      </c>
      <c r="E680">
        <f>'Unformatted Trip Summary'!E678</f>
        <v>552</v>
      </c>
      <c r="F680" s="1">
        <f>'Unformatted Trip Summary'!F678</f>
        <v>26.570308375</v>
      </c>
      <c r="G680" s="1">
        <f>'Unformatted Trip Summary'!G678</f>
        <v>210.43878918999999</v>
      </c>
      <c r="H680" s="1">
        <f>'Unformatted Trip Summary'!H678</f>
        <v>10.191776047999999</v>
      </c>
    </row>
    <row r="681" spans="1:8" x14ac:dyDescent="0.2">
      <c r="A681" t="str">
        <f>'Unformatted Trip Summary'!A679</f>
        <v>09 WELLINGTON</v>
      </c>
      <c r="B681" t="str">
        <f>'Unformatted Trip Summary'!J679</f>
        <v>2037/38</v>
      </c>
      <c r="C681" t="str">
        <f>'Unformatted Trip Summary'!I679</f>
        <v>Local Bus</v>
      </c>
      <c r="D681">
        <f>'Unformatted Trip Summary'!D679</f>
        <v>211</v>
      </c>
      <c r="E681">
        <f>'Unformatted Trip Summary'!E679</f>
        <v>552</v>
      </c>
      <c r="F681" s="1">
        <f>'Unformatted Trip Summary'!F679</f>
        <v>26.094585173999999</v>
      </c>
      <c r="G681" s="1">
        <f>'Unformatted Trip Summary'!G679</f>
        <v>211.45580906999999</v>
      </c>
      <c r="H681" s="1">
        <f>'Unformatted Trip Summary'!H679</f>
        <v>10.057332625000001</v>
      </c>
    </row>
    <row r="682" spans="1:8" x14ac:dyDescent="0.2">
      <c r="A682" t="str">
        <f>'Unformatted Trip Summary'!A680</f>
        <v>09 WELLINGTON</v>
      </c>
      <c r="B682" t="str">
        <f>'Unformatted Trip Summary'!J680</f>
        <v>2042/43</v>
      </c>
      <c r="C682" t="str">
        <f>'Unformatted Trip Summary'!I680</f>
        <v>Local Bus</v>
      </c>
      <c r="D682">
        <f>'Unformatted Trip Summary'!D680</f>
        <v>211</v>
      </c>
      <c r="E682">
        <f>'Unformatted Trip Summary'!E680</f>
        <v>552</v>
      </c>
      <c r="F682" s="1">
        <f>'Unformatted Trip Summary'!F680</f>
        <v>25.481608257000001</v>
      </c>
      <c r="G682" s="1">
        <f>'Unformatted Trip Summary'!G680</f>
        <v>211.28452615</v>
      </c>
      <c r="H682" s="1">
        <f>'Unformatted Trip Summary'!H680</f>
        <v>9.8641072621999992</v>
      </c>
    </row>
    <row r="683" spans="1:8" x14ac:dyDescent="0.2">
      <c r="A683" t="str">
        <f>'Unformatted Trip Summary'!A681</f>
        <v>09 WELLINGTON</v>
      </c>
      <c r="B683" t="str">
        <f>'Unformatted Trip Summary'!J681</f>
        <v>2012/13</v>
      </c>
      <c r="C683" t="str">
        <f>'Unformatted Trip Summary'!I681</f>
        <v>Local Ferry</v>
      </c>
      <c r="D683">
        <f>'Unformatted Trip Summary'!D681</f>
        <v>2</v>
      </c>
      <c r="E683">
        <f>'Unformatted Trip Summary'!E681</f>
        <v>4</v>
      </c>
      <c r="F683" s="1">
        <f>'Unformatted Trip Summary'!F681</f>
        <v>0.22615005399999999</v>
      </c>
      <c r="G683" s="1">
        <f>'Unformatted Trip Summary'!G681</f>
        <v>0</v>
      </c>
      <c r="H683" s="1">
        <f>'Unformatted Trip Summary'!H681</f>
        <v>5.6537513499999997E-2</v>
      </c>
    </row>
    <row r="684" spans="1:8" x14ac:dyDescent="0.2">
      <c r="A684" t="str">
        <f>'Unformatted Trip Summary'!A682</f>
        <v>09 WELLINGTON</v>
      </c>
      <c r="B684" t="str">
        <f>'Unformatted Trip Summary'!J682</f>
        <v>2017/18</v>
      </c>
      <c r="C684" t="str">
        <f>'Unformatted Trip Summary'!I682</f>
        <v>Local Ferry</v>
      </c>
      <c r="D684">
        <f>'Unformatted Trip Summary'!D682</f>
        <v>2</v>
      </c>
      <c r="E684">
        <f>'Unformatted Trip Summary'!E682</f>
        <v>4</v>
      </c>
      <c r="F684" s="1">
        <f>'Unformatted Trip Summary'!F682</f>
        <v>0.2693852887</v>
      </c>
      <c r="G684" s="1">
        <f>'Unformatted Trip Summary'!G682</f>
        <v>0</v>
      </c>
      <c r="H684" s="1">
        <f>'Unformatted Trip Summary'!H682</f>
        <v>6.7346322200000003E-2</v>
      </c>
    </row>
    <row r="685" spans="1:8" x14ac:dyDescent="0.2">
      <c r="A685" t="str">
        <f>'Unformatted Trip Summary'!A683</f>
        <v>09 WELLINGTON</v>
      </c>
      <c r="B685" t="str">
        <f>'Unformatted Trip Summary'!J683</f>
        <v>2022/23</v>
      </c>
      <c r="C685" t="str">
        <f>'Unformatted Trip Summary'!I683</f>
        <v>Local Ferry</v>
      </c>
      <c r="D685">
        <f>'Unformatted Trip Summary'!D683</f>
        <v>2</v>
      </c>
      <c r="E685">
        <f>'Unformatted Trip Summary'!E683</f>
        <v>4</v>
      </c>
      <c r="F685" s="1">
        <f>'Unformatted Trip Summary'!F683</f>
        <v>0.29641218809999997</v>
      </c>
      <c r="G685" s="1">
        <f>'Unformatted Trip Summary'!G683</f>
        <v>0</v>
      </c>
      <c r="H685" s="1">
        <f>'Unformatted Trip Summary'!H683</f>
        <v>7.4103047000000005E-2</v>
      </c>
    </row>
    <row r="686" spans="1:8" x14ac:dyDescent="0.2">
      <c r="A686" t="str">
        <f>'Unformatted Trip Summary'!A684</f>
        <v>09 WELLINGTON</v>
      </c>
      <c r="B686" t="str">
        <f>'Unformatted Trip Summary'!J684</f>
        <v>2027/28</v>
      </c>
      <c r="C686" t="str">
        <f>'Unformatted Trip Summary'!I684</f>
        <v>Local Ferry</v>
      </c>
      <c r="D686">
        <f>'Unformatted Trip Summary'!D684</f>
        <v>2</v>
      </c>
      <c r="E686">
        <f>'Unformatted Trip Summary'!E684</f>
        <v>4</v>
      </c>
      <c r="F686" s="1">
        <f>'Unformatted Trip Summary'!F684</f>
        <v>0.32699941999999999</v>
      </c>
      <c r="G686" s="1">
        <f>'Unformatted Trip Summary'!G684</f>
        <v>0</v>
      </c>
      <c r="H686" s="1">
        <f>'Unformatted Trip Summary'!H684</f>
        <v>8.1749854999999996E-2</v>
      </c>
    </row>
    <row r="687" spans="1:8" x14ac:dyDescent="0.2">
      <c r="A687" t="str">
        <f>'Unformatted Trip Summary'!A685</f>
        <v>09 WELLINGTON</v>
      </c>
      <c r="B687" t="str">
        <f>'Unformatted Trip Summary'!J685</f>
        <v>2032/33</v>
      </c>
      <c r="C687" t="str">
        <f>'Unformatted Trip Summary'!I685</f>
        <v>Local Ferry</v>
      </c>
      <c r="D687">
        <f>'Unformatted Trip Summary'!D685</f>
        <v>2</v>
      </c>
      <c r="E687">
        <f>'Unformatted Trip Summary'!E685</f>
        <v>4</v>
      </c>
      <c r="F687" s="1">
        <f>'Unformatted Trip Summary'!F685</f>
        <v>0.36098686619999998</v>
      </c>
      <c r="G687" s="1">
        <f>'Unformatted Trip Summary'!G685</f>
        <v>0</v>
      </c>
      <c r="H687" s="1">
        <f>'Unformatted Trip Summary'!H685</f>
        <v>9.0246716500000004E-2</v>
      </c>
    </row>
    <row r="688" spans="1:8" x14ac:dyDescent="0.2">
      <c r="A688" t="str">
        <f>'Unformatted Trip Summary'!A686</f>
        <v>09 WELLINGTON</v>
      </c>
      <c r="B688" t="str">
        <f>'Unformatted Trip Summary'!J686</f>
        <v>2037/38</v>
      </c>
      <c r="C688" t="str">
        <f>'Unformatted Trip Summary'!I686</f>
        <v>Local Ferry</v>
      </c>
      <c r="D688">
        <f>'Unformatted Trip Summary'!D686</f>
        <v>2</v>
      </c>
      <c r="E688">
        <f>'Unformatted Trip Summary'!E686</f>
        <v>4</v>
      </c>
      <c r="F688" s="1">
        <f>'Unformatted Trip Summary'!F686</f>
        <v>0.40539583470000001</v>
      </c>
      <c r="G688" s="1">
        <f>'Unformatted Trip Summary'!G686</f>
        <v>0</v>
      </c>
      <c r="H688" s="1">
        <f>'Unformatted Trip Summary'!H686</f>
        <v>0.10134895870000001</v>
      </c>
    </row>
    <row r="689" spans="1:8" x14ac:dyDescent="0.2">
      <c r="A689" t="str">
        <f>'Unformatted Trip Summary'!A687</f>
        <v>09 WELLINGTON</v>
      </c>
      <c r="B689" t="str">
        <f>'Unformatted Trip Summary'!J687</f>
        <v>2042/43</v>
      </c>
      <c r="C689" t="str">
        <f>'Unformatted Trip Summary'!I687</f>
        <v>Local Ferry</v>
      </c>
      <c r="D689">
        <f>'Unformatted Trip Summary'!D687</f>
        <v>2</v>
      </c>
      <c r="E689">
        <f>'Unformatted Trip Summary'!E687</f>
        <v>4</v>
      </c>
      <c r="F689" s="1">
        <f>'Unformatted Trip Summary'!F687</f>
        <v>0.45331101419999997</v>
      </c>
      <c r="G689" s="1">
        <f>'Unformatted Trip Summary'!G687</f>
        <v>0</v>
      </c>
      <c r="H689" s="1">
        <f>'Unformatted Trip Summary'!H687</f>
        <v>0.1133277536</v>
      </c>
    </row>
    <row r="690" spans="1:8" x14ac:dyDescent="0.2">
      <c r="A690" t="str">
        <f>'Unformatted Trip Summary'!A688</f>
        <v>09 WELLINGTON</v>
      </c>
      <c r="B690" t="str">
        <f>'Unformatted Trip Summary'!J688</f>
        <v>2012/13</v>
      </c>
      <c r="C690" t="str">
        <f>'Unformatted Trip Summary'!I688</f>
        <v>Other Household Travel</v>
      </c>
      <c r="D690">
        <f>'Unformatted Trip Summary'!D688</f>
        <v>7</v>
      </c>
      <c r="E690">
        <f>'Unformatted Trip Summary'!E688</f>
        <v>10</v>
      </c>
      <c r="F690" s="1">
        <f>'Unformatted Trip Summary'!F688</f>
        <v>0.33422365529999998</v>
      </c>
      <c r="G690" s="1">
        <f>'Unformatted Trip Summary'!G688</f>
        <v>0</v>
      </c>
      <c r="H690" s="1">
        <f>'Unformatted Trip Summary'!H688</f>
        <v>0.36538599710000003</v>
      </c>
    </row>
    <row r="691" spans="1:8" x14ac:dyDescent="0.2">
      <c r="A691" t="str">
        <f>'Unformatted Trip Summary'!A689</f>
        <v>09 WELLINGTON</v>
      </c>
      <c r="B691" t="str">
        <f>'Unformatted Trip Summary'!J689</f>
        <v>2017/18</v>
      </c>
      <c r="C691" t="str">
        <f>'Unformatted Trip Summary'!I689</f>
        <v>Other Household Travel</v>
      </c>
      <c r="D691">
        <f>'Unformatted Trip Summary'!D689</f>
        <v>7</v>
      </c>
      <c r="E691">
        <f>'Unformatted Trip Summary'!E689</f>
        <v>10</v>
      </c>
      <c r="F691" s="1">
        <f>'Unformatted Trip Summary'!F689</f>
        <v>0.34319833830000002</v>
      </c>
      <c r="G691" s="1">
        <f>'Unformatted Trip Summary'!G689</f>
        <v>0</v>
      </c>
      <c r="H691" s="1">
        <f>'Unformatted Trip Summary'!H689</f>
        <v>0.34710272650000001</v>
      </c>
    </row>
    <row r="692" spans="1:8" x14ac:dyDescent="0.2">
      <c r="A692" t="str">
        <f>'Unformatted Trip Summary'!A690</f>
        <v>09 WELLINGTON</v>
      </c>
      <c r="B692" t="str">
        <f>'Unformatted Trip Summary'!J690</f>
        <v>2022/23</v>
      </c>
      <c r="C692" t="str">
        <f>'Unformatted Trip Summary'!I690</f>
        <v>Other Household Travel</v>
      </c>
      <c r="D692">
        <f>'Unformatted Trip Summary'!D690</f>
        <v>7</v>
      </c>
      <c r="E692">
        <f>'Unformatted Trip Summary'!E690</f>
        <v>10</v>
      </c>
      <c r="F692" s="1">
        <f>'Unformatted Trip Summary'!F690</f>
        <v>0.35251805139999998</v>
      </c>
      <c r="G692" s="1">
        <f>'Unformatted Trip Summary'!G690</f>
        <v>0</v>
      </c>
      <c r="H692" s="1">
        <f>'Unformatted Trip Summary'!H690</f>
        <v>0.36285676319999999</v>
      </c>
    </row>
    <row r="693" spans="1:8" x14ac:dyDescent="0.2">
      <c r="A693" t="str">
        <f>'Unformatted Trip Summary'!A691</f>
        <v>09 WELLINGTON</v>
      </c>
      <c r="B693" t="str">
        <f>'Unformatted Trip Summary'!J691</f>
        <v>2027/28</v>
      </c>
      <c r="C693" t="str">
        <f>'Unformatted Trip Summary'!I691</f>
        <v>Other Household Travel</v>
      </c>
      <c r="D693">
        <f>'Unformatted Trip Summary'!D691</f>
        <v>7</v>
      </c>
      <c r="E693">
        <f>'Unformatted Trip Summary'!E691</f>
        <v>10</v>
      </c>
      <c r="F693" s="1">
        <f>'Unformatted Trip Summary'!F691</f>
        <v>0.3550117928</v>
      </c>
      <c r="G693" s="1">
        <f>'Unformatted Trip Summary'!G691</f>
        <v>0</v>
      </c>
      <c r="H693" s="1">
        <f>'Unformatted Trip Summary'!H691</f>
        <v>0.41333741400000001</v>
      </c>
    </row>
    <row r="694" spans="1:8" x14ac:dyDescent="0.2">
      <c r="A694" t="str">
        <f>'Unformatted Trip Summary'!A692</f>
        <v>09 WELLINGTON</v>
      </c>
      <c r="B694" t="str">
        <f>'Unformatted Trip Summary'!J692</f>
        <v>2032/33</v>
      </c>
      <c r="C694" t="str">
        <f>'Unformatted Trip Summary'!I692</f>
        <v>Other Household Travel</v>
      </c>
      <c r="D694">
        <f>'Unformatted Trip Summary'!D692</f>
        <v>7</v>
      </c>
      <c r="E694">
        <f>'Unformatted Trip Summary'!E692</f>
        <v>10</v>
      </c>
      <c r="F694" s="1">
        <f>'Unformatted Trip Summary'!F692</f>
        <v>0.34639727580000002</v>
      </c>
      <c r="G694" s="1">
        <f>'Unformatted Trip Summary'!G692</f>
        <v>0</v>
      </c>
      <c r="H694" s="1">
        <f>'Unformatted Trip Summary'!H692</f>
        <v>0.44816190700000003</v>
      </c>
    </row>
    <row r="695" spans="1:8" x14ac:dyDescent="0.2">
      <c r="A695" t="str">
        <f>'Unformatted Trip Summary'!A693</f>
        <v>09 WELLINGTON</v>
      </c>
      <c r="B695" t="str">
        <f>'Unformatted Trip Summary'!J693</f>
        <v>2037/38</v>
      </c>
      <c r="C695" t="str">
        <f>'Unformatted Trip Summary'!I693</f>
        <v>Other Household Travel</v>
      </c>
      <c r="D695">
        <f>'Unformatted Trip Summary'!D693</f>
        <v>7</v>
      </c>
      <c r="E695">
        <f>'Unformatted Trip Summary'!E693</f>
        <v>10</v>
      </c>
      <c r="F695" s="1">
        <f>'Unformatted Trip Summary'!F693</f>
        <v>0.34124100730000001</v>
      </c>
      <c r="G695" s="1">
        <f>'Unformatted Trip Summary'!G693</f>
        <v>0</v>
      </c>
      <c r="H695" s="1">
        <f>'Unformatted Trip Summary'!H693</f>
        <v>0.44614213380000001</v>
      </c>
    </row>
    <row r="696" spans="1:8" x14ac:dyDescent="0.2">
      <c r="A696" t="str">
        <f>'Unformatted Trip Summary'!A694</f>
        <v>09 WELLINGTON</v>
      </c>
      <c r="B696" t="str">
        <f>'Unformatted Trip Summary'!J694</f>
        <v>2042/43</v>
      </c>
      <c r="C696" t="str">
        <f>'Unformatted Trip Summary'!I694</f>
        <v>Other Household Travel</v>
      </c>
      <c r="D696">
        <f>'Unformatted Trip Summary'!D694</f>
        <v>7</v>
      </c>
      <c r="E696">
        <f>'Unformatted Trip Summary'!E694</f>
        <v>10</v>
      </c>
      <c r="F696" s="1">
        <f>'Unformatted Trip Summary'!F694</f>
        <v>0.332944721</v>
      </c>
      <c r="G696" s="1">
        <f>'Unformatted Trip Summary'!G694</f>
        <v>0</v>
      </c>
      <c r="H696" s="1">
        <f>'Unformatted Trip Summary'!H694</f>
        <v>0.43989059530000002</v>
      </c>
    </row>
    <row r="697" spans="1:8" x14ac:dyDescent="0.2">
      <c r="A697" t="str">
        <f>'Unformatted Trip Summary'!A695</f>
        <v>09 WELLINGTON</v>
      </c>
      <c r="B697" t="str">
        <f>'Unformatted Trip Summary'!J695</f>
        <v>2012/13</v>
      </c>
      <c r="C697" t="str">
        <f>'Unformatted Trip Summary'!I695</f>
        <v>Air/Non-Local PT</v>
      </c>
      <c r="D697">
        <f>'Unformatted Trip Summary'!D695</f>
        <v>44</v>
      </c>
      <c r="E697">
        <f>'Unformatted Trip Summary'!E695</f>
        <v>59</v>
      </c>
      <c r="F697" s="1">
        <f>'Unformatted Trip Summary'!F695</f>
        <v>2.6590020702000001</v>
      </c>
      <c r="G697" s="1">
        <f>'Unformatted Trip Summary'!G695</f>
        <v>67.715118274999995</v>
      </c>
      <c r="H697" s="1">
        <f>'Unformatted Trip Summary'!H695</f>
        <v>5.4178011538000002</v>
      </c>
    </row>
    <row r="698" spans="1:8" x14ac:dyDescent="0.2">
      <c r="A698" t="str">
        <f>'Unformatted Trip Summary'!A696</f>
        <v>09 WELLINGTON</v>
      </c>
      <c r="B698" t="str">
        <f>'Unformatted Trip Summary'!J696</f>
        <v>2017/18</v>
      </c>
      <c r="C698" t="str">
        <f>'Unformatted Trip Summary'!I696</f>
        <v>Air/Non-Local PT</v>
      </c>
      <c r="D698">
        <f>'Unformatted Trip Summary'!D696</f>
        <v>44</v>
      </c>
      <c r="E698">
        <f>'Unformatted Trip Summary'!E696</f>
        <v>59</v>
      </c>
      <c r="F698" s="1">
        <f>'Unformatted Trip Summary'!F696</f>
        <v>2.9542157586000002</v>
      </c>
      <c r="G698" s="1">
        <f>'Unformatted Trip Summary'!G696</f>
        <v>81.012447488999996</v>
      </c>
      <c r="H698" s="1">
        <f>'Unformatted Trip Summary'!H696</f>
        <v>6.1094846866000001</v>
      </c>
    </row>
    <row r="699" spans="1:8" x14ac:dyDescent="0.2">
      <c r="A699" t="str">
        <f>'Unformatted Trip Summary'!A697</f>
        <v>09 WELLINGTON</v>
      </c>
      <c r="B699" t="str">
        <f>'Unformatted Trip Summary'!J697</f>
        <v>2022/23</v>
      </c>
      <c r="C699" t="str">
        <f>'Unformatted Trip Summary'!I697</f>
        <v>Air/Non-Local PT</v>
      </c>
      <c r="D699">
        <f>'Unformatted Trip Summary'!D697</f>
        <v>44</v>
      </c>
      <c r="E699">
        <f>'Unformatted Trip Summary'!E697</f>
        <v>59</v>
      </c>
      <c r="F699" s="1">
        <f>'Unformatted Trip Summary'!F697</f>
        <v>3.2336290061000001</v>
      </c>
      <c r="G699" s="1">
        <f>'Unformatted Trip Summary'!G697</f>
        <v>91.400967867000006</v>
      </c>
      <c r="H699" s="1">
        <f>'Unformatted Trip Summary'!H697</f>
        <v>6.8239659501999999</v>
      </c>
    </row>
    <row r="700" spans="1:8" x14ac:dyDescent="0.2">
      <c r="A700" t="str">
        <f>'Unformatted Trip Summary'!A698</f>
        <v>09 WELLINGTON</v>
      </c>
      <c r="B700" t="str">
        <f>'Unformatted Trip Summary'!J698</f>
        <v>2027/28</v>
      </c>
      <c r="C700" t="str">
        <f>'Unformatted Trip Summary'!I698</f>
        <v>Air/Non-Local PT</v>
      </c>
      <c r="D700">
        <f>'Unformatted Trip Summary'!D698</f>
        <v>44</v>
      </c>
      <c r="E700">
        <f>'Unformatted Trip Summary'!E698</f>
        <v>59</v>
      </c>
      <c r="F700" s="1">
        <f>'Unformatted Trip Summary'!F698</f>
        <v>3.5417901458999999</v>
      </c>
      <c r="G700" s="1">
        <f>'Unformatted Trip Summary'!G698</f>
        <v>95.239913705999996</v>
      </c>
      <c r="H700" s="1">
        <f>'Unformatted Trip Summary'!H698</f>
        <v>7.6393548725000002</v>
      </c>
    </row>
    <row r="701" spans="1:8" x14ac:dyDescent="0.2">
      <c r="A701" t="str">
        <f>'Unformatted Trip Summary'!A699</f>
        <v>09 WELLINGTON</v>
      </c>
      <c r="B701" t="str">
        <f>'Unformatted Trip Summary'!J699</f>
        <v>2032/33</v>
      </c>
      <c r="C701" t="str">
        <f>'Unformatted Trip Summary'!I699</f>
        <v>Air/Non-Local PT</v>
      </c>
      <c r="D701">
        <f>'Unformatted Trip Summary'!D699</f>
        <v>44</v>
      </c>
      <c r="E701">
        <f>'Unformatted Trip Summary'!E699</f>
        <v>59</v>
      </c>
      <c r="F701" s="1">
        <f>'Unformatted Trip Summary'!F699</f>
        <v>3.7873565135999998</v>
      </c>
      <c r="G701" s="1">
        <f>'Unformatted Trip Summary'!G699</f>
        <v>96.132400657000005</v>
      </c>
      <c r="H701" s="1">
        <f>'Unformatted Trip Summary'!H699</f>
        <v>8.2685617483999998</v>
      </c>
    </row>
    <row r="702" spans="1:8" x14ac:dyDescent="0.2">
      <c r="A702" t="str">
        <f>'Unformatted Trip Summary'!A700</f>
        <v>09 WELLINGTON</v>
      </c>
      <c r="B702" t="str">
        <f>'Unformatted Trip Summary'!J700</f>
        <v>2037/38</v>
      </c>
      <c r="C702" t="str">
        <f>'Unformatted Trip Summary'!I700</f>
        <v>Air/Non-Local PT</v>
      </c>
      <c r="D702">
        <f>'Unformatted Trip Summary'!D700</f>
        <v>44</v>
      </c>
      <c r="E702">
        <f>'Unformatted Trip Summary'!E700</f>
        <v>59</v>
      </c>
      <c r="F702" s="1">
        <f>'Unformatted Trip Summary'!F700</f>
        <v>3.9519749783</v>
      </c>
      <c r="G702" s="1">
        <f>'Unformatted Trip Summary'!G700</f>
        <v>94.800884729000003</v>
      </c>
      <c r="H702" s="1">
        <f>'Unformatted Trip Summary'!H700</f>
        <v>8.6195131686999993</v>
      </c>
    </row>
    <row r="703" spans="1:8" x14ac:dyDescent="0.2">
      <c r="A703" t="str">
        <f>'Unformatted Trip Summary'!A701</f>
        <v>09 WELLINGTON</v>
      </c>
      <c r="B703" t="str">
        <f>'Unformatted Trip Summary'!J701</f>
        <v>2042/43</v>
      </c>
      <c r="C703" t="str">
        <f>'Unformatted Trip Summary'!I701</f>
        <v>Air/Non-Local PT</v>
      </c>
      <c r="D703">
        <f>'Unformatted Trip Summary'!D701</f>
        <v>44</v>
      </c>
      <c r="E703">
        <f>'Unformatted Trip Summary'!E701</f>
        <v>59</v>
      </c>
      <c r="F703" s="1">
        <f>'Unformatted Trip Summary'!F701</f>
        <v>4.0992399405000004</v>
      </c>
      <c r="G703" s="1">
        <f>'Unformatted Trip Summary'!G701</f>
        <v>92.569401909000007</v>
      </c>
      <c r="H703" s="1">
        <f>'Unformatted Trip Summary'!H701</f>
        <v>8.9167716327999997</v>
      </c>
    </row>
    <row r="704" spans="1:8" x14ac:dyDescent="0.2">
      <c r="A704" t="str">
        <f>'Unformatted Trip Summary'!A702</f>
        <v>09 WELLINGTON</v>
      </c>
      <c r="B704" t="str">
        <f>'Unformatted Trip Summary'!J702</f>
        <v>2012/13</v>
      </c>
      <c r="C704" t="str">
        <f>'Unformatted Trip Summary'!I702</f>
        <v>Non-Household Travel</v>
      </c>
      <c r="D704">
        <f>'Unformatted Trip Summary'!D702</f>
        <v>22</v>
      </c>
      <c r="E704">
        <f>'Unformatted Trip Summary'!E702</f>
        <v>115</v>
      </c>
      <c r="F704" s="1">
        <f>'Unformatted Trip Summary'!F702</f>
        <v>5.4599503292999998</v>
      </c>
      <c r="G704" s="1">
        <f>'Unformatted Trip Summary'!G702</f>
        <v>100.96436647</v>
      </c>
      <c r="H704" s="1">
        <f>'Unformatted Trip Summary'!H702</f>
        <v>1.9758448391000001</v>
      </c>
    </row>
    <row r="705" spans="1:8" x14ac:dyDescent="0.2">
      <c r="A705" t="str">
        <f>'Unformatted Trip Summary'!A703</f>
        <v>09 WELLINGTON</v>
      </c>
      <c r="B705" t="str">
        <f>'Unformatted Trip Summary'!J703</f>
        <v>2017/18</v>
      </c>
      <c r="C705" t="str">
        <f>'Unformatted Trip Summary'!I703</f>
        <v>Non-Household Travel</v>
      </c>
      <c r="D705">
        <f>'Unformatted Trip Summary'!D703</f>
        <v>22</v>
      </c>
      <c r="E705">
        <f>'Unformatted Trip Summary'!E703</f>
        <v>115</v>
      </c>
      <c r="F705" s="1">
        <f>'Unformatted Trip Summary'!F703</f>
        <v>5.7671372533999996</v>
      </c>
      <c r="G705" s="1">
        <f>'Unformatted Trip Summary'!G703</f>
        <v>116.78935635000001</v>
      </c>
      <c r="H705" s="1">
        <f>'Unformatted Trip Summary'!H703</f>
        <v>2.2332196406999998</v>
      </c>
    </row>
    <row r="706" spans="1:8" x14ac:dyDescent="0.2">
      <c r="A706" t="str">
        <f>'Unformatted Trip Summary'!A704</f>
        <v>09 WELLINGTON</v>
      </c>
      <c r="B706" t="str">
        <f>'Unformatted Trip Summary'!J704</f>
        <v>2022/23</v>
      </c>
      <c r="C706" t="str">
        <f>'Unformatted Trip Summary'!I704</f>
        <v>Non-Household Travel</v>
      </c>
      <c r="D706">
        <f>'Unformatted Trip Summary'!D704</f>
        <v>22</v>
      </c>
      <c r="E706">
        <f>'Unformatted Trip Summary'!E704</f>
        <v>115</v>
      </c>
      <c r="F706" s="1">
        <f>'Unformatted Trip Summary'!F704</f>
        <v>5.8879472259999996</v>
      </c>
      <c r="G706" s="1">
        <f>'Unformatted Trip Summary'!G704</f>
        <v>125.38822621</v>
      </c>
      <c r="H706" s="1">
        <f>'Unformatted Trip Summary'!H704</f>
        <v>2.3677402706000001</v>
      </c>
    </row>
    <row r="707" spans="1:8" x14ac:dyDescent="0.2">
      <c r="A707" t="str">
        <f>'Unformatted Trip Summary'!A705</f>
        <v>09 WELLINGTON</v>
      </c>
      <c r="B707" t="str">
        <f>'Unformatted Trip Summary'!J705</f>
        <v>2027/28</v>
      </c>
      <c r="C707" t="str">
        <f>'Unformatted Trip Summary'!I705</f>
        <v>Non-Household Travel</v>
      </c>
      <c r="D707">
        <f>'Unformatted Trip Summary'!D705</f>
        <v>22</v>
      </c>
      <c r="E707">
        <f>'Unformatted Trip Summary'!E705</f>
        <v>115</v>
      </c>
      <c r="F707" s="1">
        <f>'Unformatted Trip Summary'!F705</f>
        <v>6.0516291280000001</v>
      </c>
      <c r="G707" s="1">
        <f>'Unformatted Trip Summary'!G705</f>
        <v>128.13189874</v>
      </c>
      <c r="H707" s="1">
        <f>'Unformatted Trip Summary'!H705</f>
        <v>2.4166587253</v>
      </c>
    </row>
    <row r="708" spans="1:8" x14ac:dyDescent="0.2">
      <c r="A708" t="str">
        <f>'Unformatted Trip Summary'!A706</f>
        <v>09 WELLINGTON</v>
      </c>
      <c r="B708" t="str">
        <f>'Unformatted Trip Summary'!J706</f>
        <v>2032/33</v>
      </c>
      <c r="C708" t="str">
        <f>'Unformatted Trip Summary'!I706</f>
        <v>Non-Household Travel</v>
      </c>
      <c r="D708">
        <f>'Unformatted Trip Summary'!D706</f>
        <v>22</v>
      </c>
      <c r="E708">
        <f>'Unformatted Trip Summary'!E706</f>
        <v>115</v>
      </c>
      <c r="F708" s="1">
        <f>'Unformatted Trip Summary'!F706</f>
        <v>6.3326004248999999</v>
      </c>
      <c r="G708" s="1">
        <f>'Unformatted Trip Summary'!G706</f>
        <v>129.75856182000001</v>
      </c>
      <c r="H708" s="1">
        <f>'Unformatted Trip Summary'!H706</f>
        <v>2.4766415582999999</v>
      </c>
    </row>
    <row r="709" spans="1:8" x14ac:dyDescent="0.2">
      <c r="A709" t="str">
        <f>'Unformatted Trip Summary'!A707</f>
        <v>09 WELLINGTON</v>
      </c>
      <c r="B709" t="str">
        <f>'Unformatted Trip Summary'!J707</f>
        <v>2037/38</v>
      </c>
      <c r="C709" t="str">
        <f>'Unformatted Trip Summary'!I707</f>
        <v>Non-Household Travel</v>
      </c>
      <c r="D709">
        <f>'Unformatted Trip Summary'!D707</f>
        <v>22</v>
      </c>
      <c r="E709">
        <f>'Unformatted Trip Summary'!E707</f>
        <v>115</v>
      </c>
      <c r="F709" s="1">
        <f>'Unformatted Trip Summary'!F707</f>
        <v>6.7120895195000001</v>
      </c>
      <c r="G709" s="1">
        <f>'Unformatted Trip Summary'!G707</f>
        <v>133.43484276999999</v>
      </c>
      <c r="H709" s="1">
        <f>'Unformatted Trip Summary'!H707</f>
        <v>2.5925862259999999</v>
      </c>
    </row>
    <row r="710" spans="1:8" x14ac:dyDescent="0.2">
      <c r="A710" t="str">
        <f>'Unformatted Trip Summary'!A708</f>
        <v>09 WELLINGTON</v>
      </c>
      <c r="B710" t="str">
        <f>'Unformatted Trip Summary'!J708</f>
        <v>2042/43</v>
      </c>
      <c r="C710" t="str">
        <f>'Unformatted Trip Summary'!I708</f>
        <v>Non-Household Travel</v>
      </c>
      <c r="D710">
        <f>'Unformatted Trip Summary'!D708</f>
        <v>22</v>
      </c>
      <c r="E710">
        <f>'Unformatted Trip Summary'!E708</f>
        <v>115</v>
      </c>
      <c r="F710" s="1">
        <f>'Unformatted Trip Summary'!F708</f>
        <v>7.1170027859999996</v>
      </c>
      <c r="G710" s="1">
        <f>'Unformatted Trip Summary'!G708</f>
        <v>137.11260496</v>
      </c>
      <c r="H710" s="1">
        <f>'Unformatted Trip Summary'!H708</f>
        <v>2.7128830374000001</v>
      </c>
    </row>
    <row r="711" spans="1:8" x14ac:dyDescent="0.2">
      <c r="A711" t="str">
        <f>'Unformatted Trip Summary'!A709</f>
        <v>10 NELS-MARLB-TAS</v>
      </c>
      <c r="B711" t="str">
        <f>'Unformatted Trip Summary'!J709</f>
        <v>2012/13</v>
      </c>
      <c r="C711" t="str">
        <f>'Unformatted Trip Summary'!I709</f>
        <v>Pedestrian</v>
      </c>
      <c r="D711">
        <f>'Unformatted Trip Summary'!D709</f>
        <v>333</v>
      </c>
      <c r="E711">
        <f>'Unformatted Trip Summary'!E709</f>
        <v>1184</v>
      </c>
      <c r="F711" s="1">
        <f>'Unformatted Trip Summary'!F709</f>
        <v>34.609993433</v>
      </c>
      <c r="G711" s="1">
        <f>'Unformatted Trip Summary'!G709</f>
        <v>28.582749250999999</v>
      </c>
      <c r="H711" s="1">
        <f>'Unformatted Trip Summary'!H709</f>
        <v>7.2640217022</v>
      </c>
    </row>
    <row r="712" spans="1:8" x14ac:dyDescent="0.2">
      <c r="A712" t="str">
        <f>'Unformatted Trip Summary'!A710</f>
        <v>10 NELS-MARLB-TAS</v>
      </c>
      <c r="B712" t="str">
        <f>'Unformatted Trip Summary'!J710</f>
        <v>2017/18</v>
      </c>
      <c r="C712" t="str">
        <f>'Unformatted Trip Summary'!I710</f>
        <v>Pedestrian</v>
      </c>
      <c r="D712">
        <f>'Unformatted Trip Summary'!D710</f>
        <v>333</v>
      </c>
      <c r="E712">
        <f>'Unformatted Trip Summary'!E710</f>
        <v>1184</v>
      </c>
      <c r="F712" s="1">
        <f>'Unformatted Trip Summary'!F710</f>
        <v>35.417205852000002</v>
      </c>
      <c r="G712" s="1">
        <f>'Unformatted Trip Summary'!G710</f>
        <v>29.223003223999999</v>
      </c>
      <c r="H712" s="1">
        <f>'Unformatted Trip Summary'!H710</f>
        <v>7.4203677990000001</v>
      </c>
    </row>
    <row r="713" spans="1:8" x14ac:dyDescent="0.2">
      <c r="A713" t="str">
        <f>'Unformatted Trip Summary'!A711</f>
        <v>10 NELS-MARLB-TAS</v>
      </c>
      <c r="B713" t="str">
        <f>'Unformatted Trip Summary'!J711</f>
        <v>2022/23</v>
      </c>
      <c r="C713" t="str">
        <f>'Unformatted Trip Summary'!I711</f>
        <v>Pedestrian</v>
      </c>
      <c r="D713">
        <f>'Unformatted Trip Summary'!D711</f>
        <v>333</v>
      </c>
      <c r="E713">
        <f>'Unformatted Trip Summary'!E711</f>
        <v>1184</v>
      </c>
      <c r="F713" s="1">
        <f>'Unformatted Trip Summary'!F711</f>
        <v>36.125477848999999</v>
      </c>
      <c r="G713" s="1">
        <f>'Unformatted Trip Summary'!G711</f>
        <v>29.909322236000001</v>
      </c>
      <c r="H713" s="1">
        <f>'Unformatted Trip Summary'!H711</f>
        <v>7.5911260631999999</v>
      </c>
    </row>
    <row r="714" spans="1:8" x14ac:dyDescent="0.2">
      <c r="A714" t="str">
        <f>'Unformatted Trip Summary'!A712</f>
        <v>10 NELS-MARLB-TAS</v>
      </c>
      <c r="B714" t="str">
        <f>'Unformatted Trip Summary'!J712</f>
        <v>2027/28</v>
      </c>
      <c r="C714" t="str">
        <f>'Unformatted Trip Summary'!I712</f>
        <v>Pedestrian</v>
      </c>
      <c r="D714">
        <f>'Unformatted Trip Summary'!D712</f>
        <v>333</v>
      </c>
      <c r="E714">
        <f>'Unformatted Trip Summary'!E712</f>
        <v>1184</v>
      </c>
      <c r="F714" s="1">
        <f>'Unformatted Trip Summary'!F712</f>
        <v>36.938436973000002</v>
      </c>
      <c r="G714" s="1">
        <f>'Unformatted Trip Summary'!G712</f>
        <v>30.705946702999999</v>
      </c>
      <c r="H714" s="1">
        <f>'Unformatted Trip Summary'!H712</f>
        <v>7.8309812380999997</v>
      </c>
    </row>
    <row r="715" spans="1:8" x14ac:dyDescent="0.2">
      <c r="A715" t="str">
        <f>'Unformatted Trip Summary'!A713</f>
        <v>10 NELS-MARLB-TAS</v>
      </c>
      <c r="B715" t="str">
        <f>'Unformatted Trip Summary'!J713</f>
        <v>2032/33</v>
      </c>
      <c r="C715" t="str">
        <f>'Unformatted Trip Summary'!I713</f>
        <v>Pedestrian</v>
      </c>
      <c r="D715">
        <f>'Unformatted Trip Summary'!D713</f>
        <v>333</v>
      </c>
      <c r="E715">
        <f>'Unformatted Trip Summary'!E713</f>
        <v>1184</v>
      </c>
      <c r="F715" s="1">
        <f>'Unformatted Trip Summary'!F713</f>
        <v>36.855874675999999</v>
      </c>
      <c r="G715" s="1">
        <f>'Unformatted Trip Summary'!G713</f>
        <v>30.792554568</v>
      </c>
      <c r="H715" s="1">
        <f>'Unformatted Trip Summary'!H713</f>
        <v>7.8841497803999996</v>
      </c>
    </row>
    <row r="716" spans="1:8" x14ac:dyDescent="0.2">
      <c r="A716" t="str">
        <f>'Unformatted Trip Summary'!A714</f>
        <v>10 NELS-MARLB-TAS</v>
      </c>
      <c r="B716" t="str">
        <f>'Unformatted Trip Summary'!J714</f>
        <v>2037/38</v>
      </c>
      <c r="C716" t="str">
        <f>'Unformatted Trip Summary'!I714</f>
        <v>Pedestrian</v>
      </c>
      <c r="D716">
        <f>'Unformatted Trip Summary'!D714</f>
        <v>333</v>
      </c>
      <c r="E716">
        <f>'Unformatted Trip Summary'!E714</f>
        <v>1184</v>
      </c>
      <c r="F716" s="1">
        <f>'Unformatted Trip Summary'!F714</f>
        <v>36.301007390999999</v>
      </c>
      <c r="G716" s="1">
        <f>'Unformatted Trip Summary'!G714</f>
        <v>30.26086823</v>
      </c>
      <c r="H716" s="1">
        <f>'Unformatted Trip Summary'!H714</f>
        <v>7.7824751199</v>
      </c>
    </row>
    <row r="717" spans="1:8" x14ac:dyDescent="0.2">
      <c r="A717" t="str">
        <f>'Unformatted Trip Summary'!A715</f>
        <v>10 NELS-MARLB-TAS</v>
      </c>
      <c r="B717" t="str">
        <f>'Unformatted Trip Summary'!J715</f>
        <v>2042/43</v>
      </c>
      <c r="C717" t="str">
        <f>'Unformatted Trip Summary'!I715</f>
        <v>Pedestrian</v>
      </c>
      <c r="D717">
        <f>'Unformatted Trip Summary'!D715</f>
        <v>333</v>
      </c>
      <c r="E717">
        <f>'Unformatted Trip Summary'!E715</f>
        <v>1184</v>
      </c>
      <c r="F717" s="1">
        <f>'Unformatted Trip Summary'!F715</f>
        <v>35.566414233000003</v>
      </c>
      <c r="G717" s="1">
        <f>'Unformatted Trip Summary'!G715</f>
        <v>29.572586281</v>
      </c>
      <c r="H717" s="1">
        <f>'Unformatted Trip Summary'!H715</f>
        <v>7.6337694247999996</v>
      </c>
    </row>
    <row r="718" spans="1:8" x14ac:dyDescent="0.2">
      <c r="A718" t="str">
        <f>'Unformatted Trip Summary'!A716</f>
        <v>10 NELS-MARLB-TAS</v>
      </c>
      <c r="B718" t="str">
        <f>'Unformatted Trip Summary'!J716</f>
        <v>2012/13</v>
      </c>
      <c r="C718" t="str">
        <f>'Unformatted Trip Summary'!I716</f>
        <v>Cyclist</v>
      </c>
      <c r="D718">
        <f>'Unformatted Trip Summary'!D716</f>
        <v>42</v>
      </c>
      <c r="E718">
        <f>'Unformatted Trip Summary'!E716</f>
        <v>121</v>
      </c>
      <c r="F718" s="1">
        <f>'Unformatted Trip Summary'!F716</f>
        <v>2.9519642961999999</v>
      </c>
      <c r="G718" s="1">
        <f>'Unformatted Trip Summary'!G716</f>
        <v>10.809874027999999</v>
      </c>
      <c r="H718" s="1">
        <f>'Unformatted Trip Summary'!H716</f>
        <v>1.0417220854</v>
      </c>
    </row>
    <row r="719" spans="1:8" x14ac:dyDescent="0.2">
      <c r="A719" t="str">
        <f>'Unformatted Trip Summary'!A717</f>
        <v>10 NELS-MARLB-TAS</v>
      </c>
      <c r="B719" t="str">
        <f>'Unformatted Trip Summary'!J717</f>
        <v>2017/18</v>
      </c>
      <c r="C719" t="str">
        <f>'Unformatted Trip Summary'!I717</f>
        <v>Cyclist</v>
      </c>
      <c r="D719">
        <f>'Unformatted Trip Summary'!D717</f>
        <v>42</v>
      </c>
      <c r="E719">
        <f>'Unformatted Trip Summary'!E717</f>
        <v>121</v>
      </c>
      <c r="F719" s="1">
        <f>'Unformatted Trip Summary'!F717</f>
        <v>2.899887842</v>
      </c>
      <c r="G719" s="1">
        <f>'Unformatted Trip Summary'!G717</f>
        <v>10.927844695999999</v>
      </c>
      <c r="H719" s="1">
        <f>'Unformatted Trip Summary'!H717</f>
        <v>1.0422374471</v>
      </c>
    </row>
    <row r="720" spans="1:8" x14ac:dyDescent="0.2">
      <c r="A720" t="str">
        <f>'Unformatted Trip Summary'!A718</f>
        <v>10 NELS-MARLB-TAS</v>
      </c>
      <c r="B720" t="str">
        <f>'Unformatted Trip Summary'!J718</f>
        <v>2022/23</v>
      </c>
      <c r="C720" t="str">
        <f>'Unformatted Trip Summary'!I718</f>
        <v>Cyclist</v>
      </c>
      <c r="D720">
        <f>'Unformatted Trip Summary'!D718</f>
        <v>42</v>
      </c>
      <c r="E720">
        <f>'Unformatted Trip Summary'!E718</f>
        <v>121</v>
      </c>
      <c r="F720" s="1">
        <f>'Unformatted Trip Summary'!F718</f>
        <v>2.9017100856</v>
      </c>
      <c r="G720" s="1">
        <f>'Unformatted Trip Summary'!G718</f>
        <v>11.048346832</v>
      </c>
      <c r="H720" s="1">
        <f>'Unformatted Trip Summary'!H718</f>
        <v>1.0625443929</v>
      </c>
    </row>
    <row r="721" spans="1:8" x14ac:dyDescent="0.2">
      <c r="A721" t="str">
        <f>'Unformatted Trip Summary'!A719</f>
        <v>10 NELS-MARLB-TAS</v>
      </c>
      <c r="B721" t="str">
        <f>'Unformatted Trip Summary'!J719</f>
        <v>2027/28</v>
      </c>
      <c r="C721" t="str">
        <f>'Unformatted Trip Summary'!I719</f>
        <v>Cyclist</v>
      </c>
      <c r="D721">
        <f>'Unformatted Trip Summary'!D719</f>
        <v>42</v>
      </c>
      <c r="E721">
        <f>'Unformatted Trip Summary'!E719</f>
        <v>121</v>
      </c>
      <c r="F721" s="1">
        <f>'Unformatted Trip Summary'!F719</f>
        <v>2.9721542998000001</v>
      </c>
      <c r="G721" s="1">
        <f>'Unformatted Trip Summary'!G719</f>
        <v>11.202897709</v>
      </c>
      <c r="H721" s="1">
        <f>'Unformatted Trip Summary'!H719</f>
        <v>1.1027322356</v>
      </c>
    </row>
    <row r="722" spans="1:8" x14ac:dyDescent="0.2">
      <c r="A722" t="str">
        <f>'Unformatted Trip Summary'!A720</f>
        <v>10 NELS-MARLB-TAS</v>
      </c>
      <c r="B722" t="str">
        <f>'Unformatted Trip Summary'!J720</f>
        <v>2032/33</v>
      </c>
      <c r="C722" t="str">
        <f>'Unformatted Trip Summary'!I720</f>
        <v>Cyclist</v>
      </c>
      <c r="D722">
        <f>'Unformatted Trip Summary'!D720</f>
        <v>42</v>
      </c>
      <c r="E722">
        <f>'Unformatted Trip Summary'!E720</f>
        <v>121</v>
      </c>
      <c r="F722" s="1">
        <f>'Unformatted Trip Summary'!F720</f>
        <v>3.0230506895999998</v>
      </c>
      <c r="G722" s="1">
        <f>'Unformatted Trip Summary'!G720</f>
        <v>11.484674853</v>
      </c>
      <c r="H722" s="1">
        <f>'Unformatted Trip Summary'!H720</f>
        <v>1.1354628261999999</v>
      </c>
    </row>
    <row r="723" spans="1:8" x14ac:dyDescent="0.2">
      <c r="A723" t="str">
        <f>'Unformatted Trip Summary'!A721</f>
        <v>10 NELS-MARLB-TAS</v>
      </c>
      <c r="B723" t="str">
        <f>'Unformatted Trip Summary'!J721</f>
        <v>2037/38</v>
      </c>
      <c r="C723" t="str">
        <f>'Unformatted Trip Summary'!I721</f>
        <v>Cyclist</v>
      </c>
      <c r="D723">
        <f>'Unformatted Trip Summary'!D721</f>
        <v>42</v>
      </c>
      <c r="E723">
        <f>'Unformatted Trip Summary'!E721</f>
        <v>121</v>
      </c>
      <c r="F723" s="1">
        <f>'Unformatted Trip Summary'!F721</f>
        <v>3.0543656516</v>
      </c>
      <c r="G723" s="1">
        <f>'Unformatted Trip Summary'!G721</f>
        <v>11.990854323000001</v>
      </c>
      <c r="H723" s="1">
        <f>'Unformatted Trip Summary'!H721</f>
        <v>1.1735142264</v>
      </c>
    </row>
    <row r="724" spans="1:8" x14ac:dyDescent="0.2">
      <c r="A724" t="str">
        <f>'Unformatted Trip Summary'!A722</f>
        <v>10 NELS-MARLB-TAS</v>
      </c>
      <c r="B724" t="str">
        <f>'Unformatted Trip Summary'!J722</f>
        <v>2042/43</v>
      </c>
      <c r="C724" t="str">
        <f>'Unformatted Trip Summary'!I722</f>
        <v>Cyclist</v>
      </c>
      <c r="D724">
        <f>'Unformatted Trip Summary'!D722</f>
        <v>42</v>
      </c>
      <c r="E724">
        <f>'Unformatted Trip Summary'!E722</f>
        <v>121</v>
      </c>
      <c r="F724" s="1">
        <f>'Unformatted Trip Summary'!F722</f>
        <v>3.0687337319000001</v>
      </c>
      <c r="G724" s="1">
        <f>'Unformatted Trip Summary'!G722</f>
        <v>12.537835664999999</v>
      </c>
      <c r="H724" s="1">
        <f>'Unformatted Trip Summary'!H722</f>
        <v>1.2113408269999999</v>
      </c>
    </row>
    <row r="725" spans="1:8" x14ac:dyDescent="0.2">
      <c r="A725" t="str">
        <f>'Unformatted Trip Summary'!A723</f>
        <v>10 NELS-MARLB-TAS</v>
      </c>
      <c r="B725" t="str">
        <f>'Unformatted Trip Summary'!J723</f>
        <v>2012/13</v>
      </c>
      <c r="C725" t="str">
        <f>'Unformatted Trip Summary'!I723</f>
        <v>Light Vehicle Driver</v>
      </c>
      <c r="D725">
        <f>'Unformatted Trip Summary'!D723</f>
        <v>480</v>
      </c>
      <c r="E725">
        <f>'Unformatted Trip Summary'!E723</f>
        <v>3377</v>
      </c>
      <c r="F725" s="1">
        <f>'Unformatted Trip Summary'!F723</f>
        <v>98.206986838999995</v>
      </c>
      <c r="G725" s="1">
        <f>'Unformatted Trip Summary'!G723</f>
        <v>1012.1329009999999</v>
      </c>
      <c r="H725" s="1">
        <f>'Unformatted Trip Summary'!H723</f>
        <v>23.635435057999999</v>
      </c>
    </row>
    <row r="726" spans="1:8" x14ac:dyDescent="0.2">
      <c r="A726" t="str">
        <f>'Unformatted Trip Summary'!A724</f>
        <v>10 NELS-MARLB-TAS</v>
      </c>
      <c r="B726" t="str">
        <f>'Unformatted Trip Summary'!J724</f>
        <v>2017/18</v>
      </c>
      <c r="C726" t="str">
        <f>'Unformatted Trip Summary'!I724</f>
        <v>Light Vehicle Driver</v>
      </c>
      <c r="D726">
        <f>'Unformatted Trip Summary'!D724</f>
        <v>480</v>
      </c>
      <c r="E726">
        <f>'Unformatted Trip Summary'!E724</f>
        <v>3377</v>
      </c>
      <c r="F726" s="1">
        <f>'Unformatted Trip Summary'!F724</f>
        <v>100.85199734</v>
      </c>
      <c r="G726" s="1">
        <f>'Unformatted Trip Summary'!G724</f>
        <v>1028.5948108</v>
      </c>
      <c r="H726" s="1">
        <f>'Unformatted Trip Summary'!H724</f>
        <v>24.185570049999999</v>
      </c>
    </row>
    <row r="727" spans="1:8" x14ac:dyDescent="0.2">
      <c r="A727" t="str">
        <f>'Unformatted Trip Summary'!A725</f>
        <v>10 NELS-MARLB-TAS</v>
      </c>
      <c r="B727" t="str">
        <f>'Unformatted Trip Summary'!J725</f>
        <v>2022/23</v>
      </c>
      <c r="C727" t="str">
        <f>'Unformatted Trip Summary'!I725</f>
        <v>Light Vehicle Driver</v>
      </c>
      <c r="D727">
        <f>'Unformatted Trip Summary'!D725</f>
        <v>480</v>
      </c>
      <c r="E727">
        <f>'Unformatted Trip Summary'!E725</f>
        <v>3377</v>
      </c>
      <c r="F727" s="1">
        <f>'Unformatted Trip Summary'!F725</f>
        <v>101.80137316</v>
      </c>
      <c r="G727" s="1">
        <f>'Unformatted Trip Summary'!G725</f>
        <v>1024.2315793</v>
      </c>
      <c r="H727" s="1">
        <f>'Unformatted Trip Summary'!H725</f>
        <v>24.275456824999999</v>
      </c>
    </row>
    <row r="728" spans="1:8" x14ac:dyDescent="0.2">
      <c r="A728" t="str">
        <f>'Unformatted Trip Summary'!A726</f>
        <v>10 NELS-MARLB-TAS</v>
      </c>
      <c r="B728" t="str">
        <f>'Unformatted Trip Summary'!J726</f>
        <v>2027/28</v>
      </c>
      <c r="C728" t="str">
        <f>'Unformatted Trip Summary'!I726</f>
        <v>Light Vehicle Driver</v>
      </c>
      <c r="D728">
        <f>'Unformatted Trip Summary'!D726</f>
        <v>480</v>
      </c>
      <c r="E728">
        <f>'Unformatted Trip Summary'!E726</f>
        <v>3377</v>
      </c>
      <c r="F728" s="1">
        <f>'Unformatted Trip Summary'!F726</f>
        <v>103.15834776</v>
      </c>
      <c r="G728" s="1">
        <f>'Unformatted Trip Summary'!G726</f>
        <v>1019.5234944</v>
      </c>
      <c r="H728" s="1">
        <f>'Unformatted Trip Summary'!H726</f>
        <v>24.398394851999999</v>
      </c>
    </row>
    <row r="729" spans="1:8" x14ac:dyDescent="0.2">
      <c r="A729" t="str">
        <f>'Unformatted Trip Summary'!A727</f>
        <v>10 NELS-MARLB-TAS</v>
      </c>
      <c r="B729" t="str">
        <f>'Unformatted Trip Summary'!J727</f>
        <v>2032/33</v>
      </c>
      <c r="C729" t="str">
        <f>'Unformatted Trip Summary'!I727</f>
        <v>Light Vehicle Driver</v>
      </c>
      <c r="D729">
        <f>'Unformatted Trip Summary'!D727</f>
        <v>480</v>
      </c>
      <c r="E729">
        <f>'Unformatted Trip Summary'!E727</f>
        <v>3377</v>
      </c>
      <c r="F729" s="1">
        <f>'Unformatted Trip Summary'!F727</f>
        <v>104.20023347</v>
      </c>
      <c r="G729" s="1">
        <f>'Unformatted Trip Summary'!G727</f>
        <v>1012.1796174999999</v>
      </c>
      <c r="H729" s="1">
        <f>'Unformatted Trip Summary'!H727</f>
        <v>24.418411513999999</v>
      </c>
    </row>
    <row r="730" spans="1:8" x14ac:dyDescent="0.2">
      <c r="A730" t="str">
        <f>'Unformatted Trip Summary'!A728</f>
        <v>10 NELS-MARLB-TAS</v>
      </c>
      <c r="B730" t="str">
        <f>'Unformatted Trip Summary'!J728</f>
        <v>2037/38</v>
      </c>
      <c r="C730" t="str">
        <f>'Unformatted Trip Summary'!I728</f>
        <v>Light Vehicle Driver</v>
      </c>
      <c r="D730">
        <f>'Unformatted Trip Summary'!D728</f>
        <v>480</v>
      </c>
      <c r="E730">
        <f>'Unformatted Trip Summary'!E728</f>
        <v>3377</v>
      </c>
      <c r="F730" s="1">
        <f>'Unformatted Trip Summary'!F728</f>
        <v>104.06778276999999</v>
      </c>
      <c r="G730" s="1">
        <f>'Unformatted Trip Summary'!G728</f>
        <v>995.71386820999999</v>
      </c>
      <c r="H730" s="1">
        <f>'Unformatted Trip Summary'!H728</f>
        <v>24.205204542000001</v>
      </c>
    </row>
    <row r="731" spans="1:8" x14ac:dyDescent="0.2">
      <c r="A731" t="str">
        <f>'Unformatted Trip Summary'!A729</f>
        <v>10 NELS-MARLB-TAS</v>
      </c>
      <c r="B731" t="str">
        <f>'Unformatted Trip Summary'!J729</f>
        <v>2042/43</v>
      </c>
      <c r="C731" t="str">
        <f>'Unformatted Trip Summary'!I729</f>
        <v>Light Vehicle Driver</v>
      </c>
      <c r="D731">
        <f>'Unformatted Trip Summary'!D729</f>
        <v>480</v>
      </c>
      <c r="E731">
        <f>'Unformatted Trip Summary'!E729</f>
        <v>3377</v>
      </c>
      <c r="F731" s="1">
        <f>'Unformatted Trip Summary'!F729</f>
        <v>103.56117506</v>
      </c>
      <c r="G731" s="1">
        <f>'Unformatted Trip Summary'!G729</f>
        <v>976.86665338</v>
      </c>
      <c r="H731" s="1">
        <f>'Unformatted Trip Summary'!H729</f>
        <v>23.914254222</v>
      </c>
    </row>
    <row r="732" spans="1:8" x14ac:dyDescent="0.2">
      <c r="A732" t="str">
        <f>'Unformatted Trip Summary'!A730</f>
        <v>10 NELS-MARLB-TAS</v>
      </c>
      <c r="B732" t="str">
        <f>'Unformatted Trip Summary'!J730</f>
        <v>2012/13</v>
      </c>
      <c r="C732" t="str">
        <f>'Unformatted Trip Summary'!I730</f>
        <v>Light Vehicle Passenger</v>
      </c>
      <c r="D732">
        <f>'Unformatted Trip Summary'!D730</f>
        <v>346</v>
      </c>
      <c r="E732">
        <f>'Unformatted Trip Summary'!E730</f>
        <v>1569</v>
      </c>
      <c r="F732" s="1">
        <f>'Unformatted Trip Summary'!F730</f>
        <v>45.895773310999999</v>
      </c>
      <c r="G732" s="1">
        <f>'Unformatted Trip Summary'!G730</f>
        <v>528.66856442999995</v>
      </c>
      <c r="H732" s="1">
        <f>'Unformatted Trip Summary'!H730</f>
        <v>11.910351560000001</v>
      </c>
    </row>
    <row r="733" spans="1:8" x14ac:dyDescent="0.2">
      <c r="A733" t="str">
        <f>'Unformatted Trip Summary'!A731</f>
        <v>10 NELS-MARLB-TAS</v>
      </c>
      <c r="B733" t="str">
        <f>'Unformatted Trip Summary'!J731</f>
        <v>2017/18</v>
      </c>
      <c r="C733" t="str">
        <f>'Unformatted Trip Summary'!I731</f>
        <v>Light Vehicle Passenger</v>
      </c>
      <c r="D733">
        <f>'Unformatted Trip Summary'!D731</f>
        <v>346</v>
      </c>
      <c r="E733">
        <f>'Unformatted Trip Summary'!E731</f>
        <v>1569</v>
      </c>
      <c r="F733" s="1">
        <f>'Unformatted Trip Summary'!F731</f>
        <v>44.975609468999998</v>
      </c>
      <c r="G733" s="1">
        <f>'Unformatted Trip Summary'!G731</f>
        <v>518.69765365000001</v>
      </c>
      <c r="H733" s="1">
        <f>'Unformatted Trip Summary'!H731</f>
        <v>11.755151273999999</v>
      </c>
    </row>
    <row r="734" spans="1:8" x14ac:dyDescent="0.2">
      <c r="A734" t="str">
        <f>'Unformatted Trip Summary'!A732</f>
        <v>10 NELS-MARLB-TAS</v>
      </c>
      <c r="B734" t="str">
        <f>'Unformatted Trip Summary'!J732</f>
        <v>2022/23</v>
      </c>
      <c r="C734" t="str">
        <f>'Unformatted Trip Summary'!I732</f>
        <v>Light Vehicle Passenger</v>
      </c>
      <c r="D734">
        <f>'Unformatted Trip Summary'!D732</f>
        <v>346</v>
      </c>
      <c r="E734">
        <f>'Unformatted Trip Summary'!E732</f>
        <v>1569</v>
      </c>
      <c r="F734" s="1">
        <f>'Unformatted Trip Summary'!F732</f>
        <v>43.924492178000001</v>
      </c>
      <c r="G734" s="1">
        <f>'Unformatted Trip Summary'!G732</f>
        <v>505.09320416000003</v>
      </c>
      <c r="H734" s="1">
        <f>'Unformatted Trip Summary'!H732</f>
        <v>11.54083144</v>
      </c>
    </row>
    <row r="735" spans="1:8" x14ac:dyDescent="0.2">
      <c r="A735" t="str">
        <f>'Unformatted Trip Summary'!A733</f>
        <v>10 NELS-MARLB-TAS</v>
      </c>
      <c r="B735" t="str">
        <f>'Unformatted Trip Summary'!J733</f>
        <v>2027/28</v>
      </c>
      <c r="C735" t="str">
        <f>'Unformatted Trip Summary'!I733</f>
        <v>Light Vehicle Passenger</v>
      </c>
      <c r="D735">
        <f>'Unformatted Trip Summary'!D733</f>
        <v>346</v>
      </c>
      <c r="E735">
        <f>'Unformatted Trip Summary'!E733</f>
        <v>1569</v>
      </c>
      <c r="F735" s="1">
        <f>'Unformatted Trip Summary'!F733</f>
        <v>43.217137411000003</v>
      </c>
      <c r="G735" s="1">
        <f>'Unformatted Trip Summary'!G733</f>
        <v>496.04773997000001</v>
      </c>
      <c r="H735" s="1">
        <f>'Unformatted Trip Summary'!H733</f>
        <v>11.405155666000001</v>
      </c>
    </row>
    <row r="736" spans="1:8" x14ac:dyDescent="0.2">
      <c r="A736" t="str">
        <f>'Unformatted Trip Summary'!A734</f>
        <v>10 NELS-MARLB-TAS</v>
      </c>
      <c r="B736" t="str">
        <f>'Unformatted Trip Summary'!J734</f>
        <v>2032/33</v>
      </c>
      <c r="C736" t="str">
        <f>'Unformatted Trip Summary'!I734</f>
        <v>Light Vehicle Passenger</v>
      </c>
      <c r="D736">
        <f>'Unformatted Trip Summary'!D734</f>
        <v>346</v>
      </c>
      <c r="E736">
        <f>'Unformatted Trip Summary'!E734</f>
        <v>1569</v>
      </c>
      <c r="F736" s="1">
        <f>'Unformatted Trip Summary'!F734</f>
        <v>41.986550393000002</v>
      </c>
      <c r="G736" s="1">
        <f>'Unformatted Trip Summary'!G734</f>
        <v>482.45954670999998</v>
      </c>
      <c r="H736" s="1">
        <f>'Unformatted Trip Summary'!H734</f>
        <v>11.111590585</v>
      </c>
    </row>
    <row r="737" spans="1:8" x14ac:dyDescent="0.2">
      <c r="A737" t="str">
        <f>'Unformatted Trip Summary'!A735</f>
        <v>10 NELS-MARLB-TAS</v>
      </c>
      <c r="B737" t="str">
        <f>'Unformatted Trip Summary'!J735</f>
        <v>2037/38</v>
      </c>
      <c r="C737" t="str">
        <f>'Unformatted Trip Summary'!I735</f>
        <v>Light Vehicle Passenger</v>
      </c>
      <c r="D737">
        <f>'Unformatted Trip Summary'!D735</f>
        <v>346</v>
      </c>
      <c r="E737">
        <f>'Unformatted Trip Summary'!E735</f>
        <v>1569</v>
      </c>
      <c r="F737" s="1">
        <f>'Unformatted Trip Summary'!F735</f>
        <v>40.622687116000002</v>
      </c>
      <c r="G737" s="1">
        <f>'Unformatted Trip Summary'!G735</f>
        <v>462.00135805999997</v>
      </c>
      <c r="H737" s="1">
        <f>'Unformatted Trip Summary'!H735</f>
        <v>10.704591055</v>
      </c>
    </row>
    <row r="738" spans="1:8" x14ac:dyDescent="0.2">
      <c r="A738" t="str">
        <f>'Unformatted Trip Summary'!A736</f>
        <v>10 NELS-MARLB-TAS</v>
      </c>
      <c r="B738" t="str">
        <f>'Unformatted Trip Summary'!J736</f>
        <v>2042/43</v>
      </c>
      <c r="C738" t="str">
        <f>'Unformatted Trip Summary'!I736</f>
        <v>Light Vehicle Passenger</v>
      </c>
      <c r="D738">
        <f>'Unformatted Trip Summary'!D736</f>
        <v>346</v>
      </c>
      <c r="E738">
        <f>'Unformatted Trip Summary'!E736</f>
        <v>1569</v>
      </c>
      <c r="F738" s="1">
        <f>'Unformatted Trip Summary'!F736</f>
        <v>39.164240757000002</v>
      </c>
      <c r="G738" s="1">
        <f>'Unformatted Trip Summary'!G736</f>
        <v>441.12408691000002</v>
      </c>
      <c r="H738" s="1">
        <f>'Unformatted Trip Summary'!H736</f>
        <v>10.280822411999999</v>
      </c>
    </row>
    <row r="739" spans="1:8" x14ac:dyDescent="0.2">
      <c r="A739" t="str">
        <f>'Unformatted Trip Summary'!A737</f>
        <v>10 NELS-MARLB-TAS</v>
      </c>
      <c r="B739" t="str">
        <f>'Unformatted Trip Summary'!J737</f>
        <v>2012/13</v>
      </c>
      <c r="C739" t="str">
        <f>'Unformatted Trip Summary'!I737</f>
        <v>Taxi/Vehicle Share</v>
      </c>
      <c r="D739">
        <f>'Unformatted Trip Summary'!D737</f>
        <v>9</v>
      </c>
      <c r="E739">
        <f>'Unformatted Trip Summary'!E737</f>
        <v>16</v>
      </c>
      <c r="F739" s="1">
        <f>'Unformatted Trip Summary'!F737</f>
        <v>0.40359339709999997</v>
      </c>
      <c r="G739" s="1">
        <f>'Unformatted Trip Summary'!G737</f>
        <v>2.5483198348</v>
      </c>
      <c r="H739" s="1">
        <f>'Unformatted Trip Summary'!H737</f>
        <v>8.1526233300000001E-2</v>
      </c>
    </row>
    <row r="740" spans="1:8" x14ac:dyDescent="0.2">
      <c r="A740" t="str">
        <f>'Unformatted Trip Summary'!A738</f>
        <v>10 NELS-MARLB-TAS</v>
      </c>
      <c r="B740" t="str">
        <f>'Unformatted Trip Summary'!J738</f>
        <v>2017/18</v>
      </c>
      <c r="C740" t="str">
        <f>'Unformatted Trip Summary'!I738</f>
        <v>Taxi/Vehicle Share</v>
      </c>
      <c r="D740">
        <f>'Unformatted Trip Summary'!D738</f>
        <v>9</v>
      </c>
      <c r="E740">
        <f>'Unformatted Trip Summary'!E738</f>
        <v>16</v>
      </c>
      <c r="F740" s="1">
        <f>'Unformatted Trip Summary'!F738</f>
        <v>0.47948403890000002</v>
      </c>
      <c r="G740" s="1">
        <f>'Unformatted Trip Summary'!G738</f>
        <v>2.8940678991</v>
      </c>
      <c r="H740" s="1">
        <f>'Unformatted Trip Summary'!H738</f>
        <v>9.4966874699999995E-2</v>
      </c>
    </row>
    <row r="741" spans="1:8" x14ac:dyDescent="0.2">
      <c r="A741" t="str">
        <f>'Unformatted Trip Summary'!A739</f>
        <v>10 NELS-MARLB-TAS</v>
      </c>
      <c r="B741" t="str">
        <f>'Unformatted Trip Summary'!J739</f>
        <v>2022/23</v>
      </c>
      <c r="C741" t="str">
        <f>'Unformatted Trip Summary'!I739</f>
        <v>Taxi/Vehicle Share</v>
      </c>
      <c r="D741">
        <f>'Unformatted Trip Summary'!D739</f>
        <v>9</v>
      </c>
      <c r="E741">
        <f>'Unformatted Trip Summary'!E739</f>
        <v>16</v>
      </c>
      <c r="F741" s="1">
        <f>'Unformatted Trip Summary'!F739</f>
        <v>0.55006913390000001</v>
      </c>
      <c r="G741" s="1">
        <f>'Unformatted Trip Summary'!G739</f>
        <v>3.1140356643999998</v>
      </c>
      <c r="H741" s="1">
        <f>'Unformatted Trip Summary'!H739</f>
        <v>0.10677678559999999</v>
      </c>
    </row>
    <row r="742" spans="1:8" x14ac:dyDescent="0.2">
      <c r="A742" t="str">
        <f>'Unformatted Trip Summary'!A740</f>
        <v>10 NELS-MARLB-TAS</v>
      </c>
      <c r="B742" t="str">
        <f>'Unformatted Trip Summary'!J740</f>
        <v>2027/28</v>
      </c>
      <c r="C742" t="str">
        <f>'Unformatted Trip Summary'!I740</f>
        <v>Taxi/Vehicle Share</v>
      </c>
      <c r="D742">
        <f>'Unformatted Trip Summary'!D740</f>
        <v>9</v>
      </c>
      <c r="E742">
        <f>'Unformatted Trip Summary'!E740</f>
        <v>16</v>
      </c>
      <c r="F742" s="1">
        <f>'Unformatted Trip Summary'!F740</f>
        <v>0.58926759319999999</v>
      </c>
      <c r="G742" s="1">
        <f>'Unformatted Trip Summary'!G740</f>
        <v>3.2140099964000002</v>
      </c>
      <c r="H742" s="1">
        <f>'Unformatted Trip Summary'!H740</f>
        <v>0.11304045779999999</v>
      </c>
    </row>
    <row r="743" spans="1:8" x14ac:dyDescent="0.2">
      <c r="A743" t="str">
        <f>'Unformatted Trip Summary'!A741</f>
        <v>10 NELS-MARLB-TAS</v>
      </c>
      <c r="B743" t="str">
        <f>'Unformatted Trip Summary'!J741</f>
        <v>2032/33</v>
      </c>
      <c r="C743" t="str">
        <f>'Unformatted Trip Summary'!I741</f>
        <v>Taxi/Vehicle Share</v>
      </c>
      <c r="D743">
        <f>'Unformatted Trip Summary'!D741</f>
        <v>9</v>
      </c>
      <c r="E743">
        <f>'Unformatted Trip Summary'!E741</f>
        <v>16</v>
      </c>
      <c r="F743" s="1">
        <f>'Unformatted Trip Summary'!F741</f>
        <v>0.60919546950000003</v>
      </c>
      <c r="G743" s="1">
        <f>'Unformatted Trip Summary'!G741</f>
        <v>3.2916756289000002</v>
      </c>
      <c r="H743" s="1">
        <f>'Unformatted Trip Summary'!H741</f>
        <v>0.1164694267</v>
      </c>
    </row>
    <row r="744" spans="1:8" x14ac:dyDescent="0.2">
      <c r="A744" t="str">
        <f>'Unformatted Trip Summary'!A742</f>
        <v>10 NELS-MARLB-TAS</v>
      </c>
      <c r="B744" t="str">
        <f>'Unformatted Trip Summary'!J742</f>
        <v>2037/38</v>
      </c>
      <c r="C744" t="str">
        <f>'Unformatted Trip Summary'!I742</f>
        <v>Taxi/Vehicle Share</v>
      </c>
      <c r="D744">
        <f>'Unformatted Trip Summary'!D742</f>
        <v>9</v>
      </c>
      <c r="E744">
        <f>'Unformatted Trip Summary'!E742</f>
        <v>16</v>
      </c>
      <c r="F744" s="1">
        <f>'Unformatted Trip Summary'!F742</f>
        <v>0.60860721439999999</v>
      </c>
      <c r="G744" s="1">
        <f>'Unformatted Trip Summary'!G742</f>
        <v>3.2651894737</v>
      </c>
      <c r="H744" s="1">
        <f>'Unformatted Trip Summary'!H742</f>
        <v>0.1157701194</v>
      </c>
    </row>
    <row r="745" spans="1:8" x14ac:dyDescent="0.2">
      <c r="A745" t="str">
        <f>'Unformatted Trip Summary'!A743</f>
        <v>10 NELS-MARLB-TAS</v>
      </c>
      <c r="B745" t="str">
        <f>'Unformatted Trip Summary'!J743</f>
        <v>2042/43</v>
      </c>
      <c r="C745" t="str">
        <f>'Unformatted Trip Summary'!I743</f>
        <v>Taxi/Vehicle Share</v>
      </c>
      <c r="D745">
        <f>'Unformatted Trip Summary'!D743</f>
        <v>9</v>
      </c>
      <c r="E745">
        <f>'Unformatted Trip Summary'!E743</f>
        <v>16</v>
      </c>
      <c r="F745" s="1">
        <f>'Unformatted Trip Summary'!F743</f>
        <v>0.60587248680000005</v>
      </c>
      <c r="G745" s="1">
        <f>'Unformatted Trip Summary'!G743</f>
        <v>3.2335409019000001</v>
      </c>
      <c r="H745" s="1">
        <f>'Unformatted Trip Summary'!H743</f>
        <v>0.1146960569</v>
      </c>
    </row>
    <row r="746" spans="1:8" x14ac:dyDescent="0.2">
      <c r="A746" t="str">
        <f>'Unformatted Trip Summary'!A744</f>
        <v>10 NELS-MARLB-TAS</v>
      </c>
      <c r="B746" t="str">
        <f>'Unformatted Trip Summary'!J744</f>
        <v>2012/13</v>
      </c>
      <c r="C746" t="str">
        <f>'Unformatted Trip Summary'!I744</f>
        <v>Motorcyclist</v>
      </c>
      <c r="D746">
        <f>'Unformatted Trip Summary'!D744</f>
        <v>14</v>
      </c>
      <c r="E746">
        <f>'Unformatted Trip Summary'!E744</f>
        <v>52</v>
      </c>
      <c r="F746" s="1">
        <f>'Unformatted Trip Summary'!F744</f>
        <v>1.5095151791999999</v>
      </c>
      <c r="G746" s="1">
        <f>'Unformatted Trip Summary'!G744</f>
        <v>34.127286998000002</v>
      </c>
      <c r="H746" s="1">
        <f>'Unformatted Trip Summary'!H744</f>
        <v>0.60769230029999999</v>
      </c>
    </row>
    <row r="747" spans="1:8" x14ac:dyDescent="0.2">
      <c r="A747" t="str">
        <f>'Unformatted Trip Summary'!A745</f>
        <v>10 NELS-MARLB-TAS</v>
      </c>
      <c r="B747" t="str">
        <f>'Unformatted Trip Summary'!J745</f>
        <v>2017/18</v>
      </c>
      <c r="C747" t="str">
        <f>'Unformatted Trip Summary'!I745</f>
        <v>Motorcyclist</v>
      </c>
      <c r="D747">
        <f>'Unformatted Trip Summary'!D745</f>
        <v>14</v>
      </c>
      <c r="E747">
        <f>'Unformatted Trip Summary'!E745</f>
        <v>52</v>
      </c>
      <c r="F747" s="1">
        <f>'Unformatted Trip Summary'!F745</f>
        <v>1.5308880861</v>
      </c>
      <c r="G747" s="1">
        <f>'Unformatted Trip Summary'!G745</f>
        <v>34.721545933000002</v>
      </c>
      <c r="H747" s="1">
        <f>'Unformatted Trip Summary'!H745</f>
        <v>0.61390887589999998</v>
      </c>
    </row>
    <row r="748" spans="1:8" x14ac:dyDescent="0.2">
      <c r="A748" t="str">
        <f>'Unformatted Trip Summary'!A746</f>
        <v>10 NELS-MARLB-TAS</v>
      </c>
      <c r="B748" t="str">
        <f>'Unformatted Trip Summary'!J746</f>
        <v>2022/23</v>
      </c>
      <c r="C748" t="str">
        <f>'Unformatted Trip Summary'!I746</f>
        <v>Motorcyclist</v>
      </c>
      <c r="D748">
        <f>'Unformatted Trip Summary'!D746</f>
        <v>14</v>
      </c>
      <c r="E748">
        <f>'Unformatted Trip Summary'!E746</f>
        <v>52</v>
      </c>
      <c r="F748" s="1">
        <f>'Unformatted Trip Summary'!F746</f>
        <v>1.5529730632000001</v>
      </c>
      <c r="G748" s="1">
        <f>'Unformatted Trip Summary'!G746</f>
        <v>35.043246846999999</v>
      </c>
      <c r="H748" s="1">
        <f>'Unformatted Trip Summary'!H746</f>
        <v>0.61683895769999997</v>
      </c>
    </row>
    <row r="749" spans="1:8" x14ac:dyDescent="0.2">
      <c r="A749" t="str">
        <f>'Unformatted Trip Summary'!A747</f>
        <v>10 NELS-MARLB-TAS</v>
      </c>
      <c r="B749" t="str">
        <f>'Unformatted Trip Summary'!J747</f>
        <v>2027/28</v>
      </c>
      <c r="C749" t="str">
        <f>'Unformatted Trip Summary'!I747</f>
        <v>Motorcyclist</v>
      </c>
      <c r="D749">
        <f>'Unformatted Trip Summary'!D747</f>
        <v>14</v>
      </c>
      <c r="E749">
        <f>'Unformatted Trip Summary'!E747</f>
        <v>52</v>
      </c>
      <c r="F749" s="1">
        <f>'Unformatted Trip Summary'!F747</f>
        <v>1.5774128507</v>
      </c>
      <c r="G749" s="1">
        <f>'Unformatted Trip Summary'!G747</f>
        <v>34.757693033999999</v>
      </c>
      <c r="H749" s="1">
        <f>'Unformatted Trip Summary'!H747</f>
        <v>0.61154569329999997</v>
      </c>
    </row>
    <row r="750" spans="1:8" x14ac:dyDescent="0.2">
      <c r="A750" t="str">
        <f>'Unformatted Trip Summary'!A748</f>
        <v>10 NELS-MARLB-TAS</v>
      </c>
      <c r="B750" t="str">
        <f>'Unformatted Trip Summary'!J748</f>
        <v>2032/33</v>
      </c>
      <c r="C750" t="str">
        <f>'Unformatted Trip Summary'!I748</f>
        <v>Motorcyclist</v>
      </c>
      <c r="D750">
        <f>'Unformatted Trip Summary'!D748</f>
        <v>14</v>
      </c>
      <c r="E750">
        <f>'Unformatted Trip Summary'!E748</f>
        <v>52</v>
      </c>
      <c r="F750" s="1">
        <f>'Unformatted Trip Summary'!F748</f>
        <v>1.5802688671</v>
      </c>
      <c r="G750" s="1">
        <f>'Unformatted Trip Summary'!G748</f>
        <v>34.948549298000003</v>
      </c>
      <c r="H750" s="1">
        <f>'Unformatted Trip Summary'!H748</f>
        <v>0.61341930300000003</v>
      </c>
    </row>
    <row r="751" spans="1:8" x14ac:dyDescent="0.2">
      <c r="A751" t="str">
        <f>'Unformatted Trip Summary'!A749</f>
        <v>10 NELS-MARLB-TAS</v>
      </c>
      <c r="B751" t="str">
        <f>'Unformatted Trip Summary'!J749</f>
        <v>2037/38</v>
      </c>
      <c r="C751" t="str">
        <f>'Unformatted Trip Summary'!I749</f>
        <v>Motorcyclist</v>
      </c>
      <c r="D751">
        <f>'Unformatted Trip Summary'!D749</f>
        <v>14</v>
      </c>
      <c r="E751">
        <f>'Unformatted Trip Summary'!E749</f>
        <v>52</v>
      </c>
      <c r="F751" s="1">
        <f>'Unformatted Trip Summary'!F749</f>
        <v>1.5438310108</v>
      </c>
      <c r="G751" s="1">
        <f>'Unformatted Trip Summary'!G749</f>
        <v>34.895553888999999</v>
      </c>
      <c r="H751" s="1">
        <f>'Unformatted Trip Summary'!H749</f>
        <v>0.61090498000000004</v>
      </c>
    </row>
    <row r="752" spans="1:8" x14ac:dyDescent="0.2">
      <c r="A752" t="str">
        <f>'Unformatted Trip Summary'!A750</f>
        <v>10 NELS-MARLB-TAS</v>
      </c>
      <c r="B752" t="str">
        <f>'Unformatted Trip Summary'!J750</f>
        <v>2042/43</v>
      </c>
      <c r="C752" t="str">
        <f>'Unformatted Trip Summary'!I750</f>
        <v>Motorcyclist</v>
      </c>
      <c r="D752">
        <f>'Unformatted Trip Summary'!D750</f>
        <v>14</v>
      </c>
      <c r="E752">
        <f>'Unformatted Trip Summary'!E750</f>
        <v>52</v>
      </c>
      <c r="F752" s="1">
        <f>'Unformatted Trip Summary'!F750</f>
        <v>1.5019508497</v>
      </c>
      <c r="G752" s="1">
        <f>'Unformatted Trip Summary'!G750</f>
        <v>34.684591892</v>
      </c>
      <c r="H752" s="1">
        <f>'Unformatted Trip Summary'!H750</f>
        <v>0.60564025020000001</v>
      </c>
    </row>
    <row r="753" spans="1:8" x14ac:dyDescent="0.2">
      <c r="A753" t="str">
        <f>'Unformatted Trip Summary'!A751</f>
        <v>10 NELS-MARLB-TAS</v>
      </c>
      <c r="B753" t="str">
        <f>'Unformatted Trip Summary'!J751</f>
        <v>2012/13</v>
      </c>
      <c r="C753" t="str">
        <f>'Unformatted Trip Summary'!I751</f>
        <v>Local Train</v>
      </c>
      <c r="D753">
        <f>'Unformatted Trip Summary'!D751</f>
        <v>1</v>
      </c>
      <c r="E753">
        <f>'Unformatted Trip Summary'!E751</f>
        <v>4</v>
      </c>
      <c r="F753" s="1">
        <f>'Unformatted Trip Summary'!F751</f>
        <v>0.1284956481</v>
      </c>
      <c r="G753" s="1">
        <f>'Unformatted Trip Summary'!G751</f>
        <v>5.3733082988999996</v>
      </c>
      <c r="H753" s="1">
        <f>'Unformatted Trip Summary'!H751</f>
        <v>9.9048728700000005E-2</v>
      </c>
    </row>
    <row r="754" spans="1:8" x14ac:dyDescent="0.2">
      <c r="A754" t="str">
        <f>'Unformatted Trip Summary'!A752</f>
        <v>10 NELS-MARLB-TAS</v>
      </c>
      <c r="B754" t="str">
        <f>'Unformatted Trip Summary'!J752</f>
        <v>2017/18</v>
      </c>
      <c r="C754" t="str">
        <f>'Unformatted Trip Summary'!I752</f>
        <v>Local Train</v>
      </c>
      <c r="D754">
        <f>'Unformatted Trip Summary'!D752</f>
        <v>1</v>
      </c>
      <c r="E754">
        <f>'Unformatted Trip Summary'!E752</f>
        <v>4</v>
      </c>
      <c r="F754" s="1">
        <f>'Unformatted Trip Summary'!F752</f>
        <v>0.1133521098</v>
      </c>
      <c r="G754" s="1">
        <f>'Unformatted Trip Summary'!G752</f>
        <v>4.7452869850999999</v>
      </c>
      <c r="H754" s="1">
        <f>'Unformatted Trip Summary'!H752</f>
        <v>8.7472436099999995E-2</v>
      </c>
    </row>
    <row r="755" spans="1:8" x14ac:dyDescent="0.2">
      <c r="A755" t="str">
        <f>'Unformatted Trip Summary'!A753</f>
        <v>10 NELS-MARLB-TAS</v>
      </c>
      <c r="B755" t="str">
        <f>'Unformatted Trip Summary'!J753</f>
        <v>2022/23</v>
      </c>
      <c r="C755" t="str">
        <f>'Unformatted Trip Summary'!I753</f>
        <v>Local Train</v>
      </c>
      <c r="D755">
        <f>'Unformatted Trip Summary'!D753</f>
        <v>1</v>
      </c>
      <c r="E755">
        <f>'Unformatted Trip Summary'!E753</f>
        <v>4</v>
      </c>
      <c r="F755" s="1">
        <f>'Unformatted Trip Summary'!F753</f>
        <v>9.4041816E-2</v>
      </c>
      <c r="G755" s="1">
        <f>'Unformatted Trip Summary'!G753</f>
        <v>3.9403736078999998</v>
      </c>
      <c r="H755" s="1">
        <f>'Unformatted Trip Summary'!H753</f>
        <v>7.2635246200000003E-2</v>
      </c>
    </row>
    <row r="756" spans="1:8" x14ac:dyDescent="0.2">
      <c r="A756" t="str">
        <f>'Unformatted Trip Summary'!A754</f>
        <v>10 NELS-MARLB-TAS</v>
      </c>
      <c r="B756" t="str">
        <f>'Unformatted Trip Summary'!J754</f>
        <v>2027/28</v>
      </c>
      <c r="C756" t="str">
        <f>'Unformatted Trip Summary'!I754</f>
        <v>Local Train</v>
      </c>
      <c r="D756">
        <f>'Unformatted Trip Summary'!D754</f>
        <v>1</v>
      </c>
      <c r="E756">
        <f>'Unformatted Trip Summary'!E754</f>
        <v>4</v>
      </c>
      <c r="F756" s="1">
        <f>'Unformatted Trip Summary'!F754</f>
        <v>7.0618227500000005E-2</v>
      </c>
      <c r="G756" s="1">
        <f>'Unformatted Trip Summary'!G754</f>
        <v>2.9623433819999998</v>
      </c>
      <c r="H756" s="1">
        <f>'Unformatted Trip Summary'!H754</f>
        <v>5.4606843699999998E-2</v>
      </c>
    </row>
    <row r="757" spans="1:8" x14ac:dyDescent="0.2">
      <c r="A757" t="str">
        <f>'Unformatted Trip Summary'!A755</f>
        <v>10 NELS-MARLB-TAS</v>
      </c>
      <c r="B757" t="str">
        <f>'Unformatted Trip Summary'!J755</f>
        <v>2032/33</v>
      </c>
      <c r="C757" t="str">
        <f>'Unformatted Trip Summary'!I755</f>
        <v>Local Train</v>
      </c>
      <c r="D757">
        <f>'Unformatted Trip Summary'!D755</f>
        <v>1</v>
      </c>
      <c r="E757">
        <f>'Unformatted Trip Summary'!E755</f>
        <v>4</v>
      </c>
      <c r="F757" s="1">
        <f>'Unformatted Trip Summary'!F755</f>
        <v>5.7641887699999998E-2</v>
      </c>
      <c r="G757" s="1">
        <f>'Unformatted Trip Summary'!G755</f>
        <v>2.4208706455</v>
      </c>
      <c r="H757" s="1">
        <f>'Unformatted Trip Summary'!H755</f>
        <v>4.4625692100000003E-2</v>
      </c>
    </row>
    <row r="758" spans="1:8" x14ac:dyDescent="0.2">
      <c r="A758" t="str">
        <f>'Unformatted Trip Summary'!A756</f>
        <v>10 NELS-MARLB-TAS</v>
      </c>
      <c r="B758" t="str">
        <f>'Unformatted Trip Summary'!J756</f>
        <v>2037/38</v>
      </c>
      <c r="C758" t="str">
        <f>'Unformatted Trip Summary'!I756</f>
        <v>Local Train</v>
      </c>
      <c r="D758">
        <f>'Unformatted Trip Summary'!D756</f>
        <v>1</v>
      </c>
      <c r="E758">
        <f>'Unformatted Trip Summary'!E756</f>
        <v>4</v>
      </c>
      <c r="F758" s="1">
        <f>'Unformatted Trip Summary'!F756</f>
        <v>5.1077075100000001E-2</v>
      </c>
      <c r="G758" s="1">
        <f>'Unformatted Trip Summary'!G756</f>
        <v>2.1472153604000002</v>
      </c>
      <c r="H758" s="1">
        <f>'Unformatted Trip Summary'!H756</f>
        <v>3.95813281E-2</v>
      </c>
    </row>
    <row r="759" spans="1:8" x14ac:dyDescent="0.2">
      <c r="A759" t="str">
        <f>'Unformatted Trip Summary'!A757</f>
        <v>10 NELS-MARLB-TAS</v>
      </c>
      <c r="B759" t="str">
        <f>'Unformatted Trip Summary'!J757</f>
        <v>2042/43</v>
      </c>
      <c r="C759" t="str">
        <f>'Unformatted Trip Summary'!I757</f>
        <v>Local Train</v>
      </c>
      <c r="D759">
        <f>'Unformatted Trip Summary'!D757</f>
        <v>1</v>
      </c>
      <c r="E759">
        <f>'Unformatted Trip Summary'!E757</f>
        <v>4</v>
      </c>
      <c r="F759" s="1">
        <f>'Unformatted Trip Summary'!F757</f>
        <v>4.2661587799999998E-2</v>
      </c>
      <c r="G759" s="1">
        <f>'Unformatted Trip Summary'!G757</f>
        <v>1.7956708403999999</v>
      </c>
      <c r="H759" s="1">
        <f>'Unformatted Trip Summary'!H757</f>
        <v>3.3101164400000001E-2</v>
      </c>
    </row>
    <row r="760" spans="1:8" x14ac:dyDescent="0.2">
      <c r="A760" t="str">
        <f>'Unformatted Trip Summary'!A758</f>
        <v>10 NELS-MARLB-TAS</v>
      </c>
      <c r="B760" t="str">
        <f>'Unformatted Trip Summary'!J758</f>
        <v>2012/13</v>
      </c>
      <c r="C760" t="str">
        <f>'Unformatted Trip Summary'!I758</f>
        <v>Local Bus</v>
      </c>
      <c r="D760">
        <f>'Unformatted Trip Summary'!D758</f>
        <v>38</v>
      </c>
      <c r="E760">
        <f>'Unformatted Trip Summary'!E758</f>
        <v>79</v>
      </c>
      <c r="F760" s="1">
        <f>'Unformatted Trip Summary'!F758</f>
        <v>2.0764681202999999</v>
      </c>
      <c r="G760" s="1">
        <f>'Unformatted Trip Summary'!G758</f>
        <v>19.807462209000001</v>
      </c>
      <c r="H760" s="1">
        <f>'Unformatted Trip Summary'!H758</f>
        <v>0.94491203199999996</v>
      </c>
    </row>
    <row r="761" spans="1:8" x14ac:dyDescent="0.2">
      <c r="A761" t="str">
        <f>'Unformatted Trip Summary'!A759</f>
        <v>10 NELS-MARLB-TAS</v>
      </c>
      <c r="B761" t="str">
        <f>'Unformatted Trip Summary'!J759</f>
        <v>2017/18</v>
      </c>
      <c r="C761" t="str">
        <f>'Unformatted Trip Summary'!I759</f>
        <v>Local Bus</v>
      </c>
      <c r="D761">
        <f>'Unformatted Trip Summary'!D759</f>
        <v>38</v>
      </c>
      <c r="E761">
        <f>'Unformatted Trip Summary'!E759</f>
        <v>79</v>
      </c>
      <c r="F761" s="1">
        <f>'Unformatted Trip Summary'!F759</f>
        <v>1.9491512949000001</v>
      </c>
      <c r="G761" s="1">
        <f>'Unformatted Trip Summary'!G759</f>
        <v>17.975237409999998</v>
      </c>
      <c r="H761" s="1">
        <f>'Unformatted Trip Summary'!H759</f>
        <v>0.85855094480000005</v>
      </c>
    </row>
    <row r="762" spans="1:8" x14ac:dyDescent="0.2">
      <c r="A762" t="str">
        <f>'Unformatted Trip Summary'!A760</f>
        <v>10 NELS-MARLB-TAS</v>
      </c>
      <c r="B762" t="str">
        <f>'Unformatted Trip Summary'!J760</f>
        <v>2022/23</v>
      </c>
      <c r="C762" t="str">
        <f>'Unformatted Trip Summary'!I760</f>
        <v>Local Bus</v>
      </c>
      <c r="D762">
        <f>'Unformatted Trip Summary'!D760</f>
        <v>38</v>
      </c>
      <c r="E762">
        <f>'Unformatted Trip Summary'!E760</f>
        <v>79</v>
      </c>
      <c r="F762" s="1">
        <f>'Unformatted Trip Summary'!F760</f>
        <v>1.8651711896000001</v>
      </c>
      <c r="G762" s="1">
        <f>'Unformatted Trip Summary'!G760</f>
        <v>16.629701012000002</v>
      </c>
      <c r="H762" s="1">
        <f>'Unformatted Trip Summary'!H760</f>
        <v>0.79654666959999998</v>
      </c>
    </row>
    <row r="763" spans="1:8" x14ac:dyDescent="0.2">
      <c r="A763" t="str">
        <f>'Unformatted Trip Summary'!A761</f>
        <v>10 NELS-MARLB-TAS</v>
      </c>
      <c r="B763" t="str">
        <f>'Unformatted Trip Summary'!J761</f>
        <v>2027/28</v>
      </c>
      <c r="C763" t="str">
        <f>'Unformatted Trip Summary'!I761</f>
        <v>Local Bus</v>
      </c>
      <c r="D763">
        <f>'Unformatted Trip Summary'!D761</f>
        <v>38</v>
      </c>
      <c r="E763">
        <f>'Unformatted Trip Summary'!E761</f>
        <v>79</v>
      </c>
      <c r="F763" s="1">
        <f>'Unformatted Trip Summary'!F761</f>
        <v>1.8692177774000001</v>
      </c>
      <c r="G763" s="1">
        <f>'Unformatted Trip Summary'!G761</f>
        <v>16.103004420000001</v>
      </c>
      <c r="H763" s="1">
        <f>'Unformatted Trip Summary'!H761</f>
        <v>0.77429403799999996</v>
      </c>
    </row>
    <row r="764" spans="1:8" x14ac:dyDescent="0.2">
      <c r="A764" t="str">
        <f>'Unformatted Trip Summary'!A762</f>
        <v>10 NELS-MARLB-TAS</v>
      </c>
      <c r="B764" t="str">
        <f>'Unformatted Trip Summary'!J762</f>
        <v>2032/33</v>
      </c>
      <c r="C764" t="str">
        <f>'Unformatted Trip Summary'!I762</f>
        <v>Local Bus</v>
      </c>
      <c r="D764">
        <f>'Unformatted Trip Summary'!D762</f>
        <v>38</v>
      </c>
      <c r="E764">
        <f>'Unformatted Trip Summary'!E762</f>
        <v>79</v>
      </c>
      <c r="F764" s="1">
        <f>'Unformatted Trip Summary'!F762</f>
        <v>1.7683856563</v>
      </c>
      <c r="G764" s="1">
        <f>'Unformatted Trip Summary'!G762</f>
        <v>14.933646592000001</v>
      </c>
      <c r="H764" s="1">
        <f>'Unformatted Trip Summary'!H762</f>
        <v>0.72124026679999997</v>
      </c>
    </row>
    <row r="765" spans="1:8" x14ac:dyDescent="0.2">
      <c r="A765" t="str">
        <f>'Unformatted Trip Summary'!A763</f>
        <v>10 NELS-MARLB-TAS</v>
      </c>
      <c r="B765" t="str">
        <f>'Unformatted Trip Summary'!J763</f>
        <v>2037/38</v>
      </c>
      <c r="C765" t="str">
        <f>'Unformatted Trip Summary'!I763</f>
        <v>Local Bus</v>
      </c>
      <c r="D765">
        <f>'Unformatted Trip Summary'!D763</f>
        <v>38</v>
      </c>
      <c r="E765">
        <f>'Unformatted Trip Summary'!E763</f>
        <v>79</v>
      </c>
      <c r="F765" s="1">
        <f>'Unformatted Trip Summary'!F763</f>
        <v>1.7784687819</v>
      </c>
      <c r="G765" s="1">
        <f>'Unformatted Trip Summary'!G763</f>
        <v>14.647993722000001</v>
      </c>
      <c r="H765" s="1">
        <f>'Unformatted Trip Summary'!H763</f>
        <v>0.70792295329999999</v>
      </c>
    </row>
    <row r="766" spans="1:8" x14ac:dyDescent="0.2">
      <c r="A766" t="str">
        <f>'Unformatted Trip Summary'!A764</f>
        <v>10 NELS-MARLB-TAS</v>
      </c>
      <c r="B766" t="str">
        <f>'Unformatted Trip Summary'!J764</f>
        <v>2042/43</v>
      </c>
      <c r="C766" t="str">
        <f>'Unformatted Trip Summary'!I764</f>
        <v>Local Bus</v>
      </c>
      <c r="D766">
        <f>'Unformatted Trip Summary'!D764</f>
        <v>38</v>
      </c>
      <c r="E766">
        <f>'Unformatted Trip Summary'!E764</f>
        <v>79</v>
      </c>
      <c r="F766" s="1">
        <f>'Unformatted Trip Summary'!F764</f>
        <v>1.7853130344000001</v>
      </c>
      <c r="G766" s="1">
        <f>'Unformatted Trip Summary'!G764</f>
        <v>14.391691438000001</v>
      </c>
      <c r="H766" s="1">
        <f>'Unformatted Trip Summary'!H764</f>
        <v>0.69595938960000003</v>
      </c>
    </row>
    <row r="767" spans="1:8" x14ac:dyDescent="0.2">
      <c r="A767" t="str">
        <f>'Unformatted Trip Summary'!A765</f>
        <v>10 NELS-MARLB-TAS</v>
      </c>
      <c r="B767" t="str">
        <f>'Unformatted Trip Summary'!J765</f>
        <v>2012/13</v>
      </c>
      <c r="C767" t="str">
        <f>'Unformatted Trip Summary'!I765</f>
        <v>Other Household Travel</v>
      </c>
      <c r="D767">
        <f>'Unformatted Trip Summary'!D765</f>
        <v>24</v>
      </c>
      <c r="E767">
        <f>'Unformatted Trip Summary'!E765</f>
        <v>56</v>
      </c>
      <c r="F767" s="1">
        <f>'Unformatted Trip Summary'!F765</f>
        <v>1.495105957</v>
      </c>
      <c r="G767" s="1">
        <f>'Unformatted Trip Summary'!G765</f>
        <v>0</v>
      </c>
      <c r="H767" s="1">
        <f>'Unformatted Trip Summary'!H765</f>
        <v>0.51346004550000002</v>
      </c>
    </row>
    <row r="768" spans="1:8" x14ac:dyDescent="0.2">
      <c r="A768" t="str">
        <f>'Unformatted Trip Summary'!A766</f>
        <v>10 NELS-MARLB-TAS</v>
      </c>
      <c r="B768" t="str">
        <f>'Unformatted Trip Summary'!J766</f>
        <v>2017/18</v>
      </c>
      <c r="C768" t="str">
        <f>'Unformatted Trip Summary'!I766</f>
        <v>Other Household Travel</v>
      </c>
      <c r="D768">
        <f>'Unformatted Trip Summary'!D766</f>
        <v>24</v>
      </c>
      <c r="E768">
        <f>'Unformatted Trip Summary'!E766</f>
        <v>56</v>
      </c>
      <c r="F768" s="1">
        <f>'Unformatted Trip Summary'!F766</f>
        <v>1.4836446249999999</v>
      </c>
      <c r="G768" s="1">
        <f>'Unformatted Trip Summary'!G766</f>
        <v>0</v>
      </c>
      <c r="H768" s="1">
        <f>'Unformatted Trip Summary'!H766</f>
        <v>0.50518299099999997</v>
      </c>
    </row>
    <row r="769" spans="1:8" x14ac:dyDescent="0.2">
      <c r="A769" t="str">
        <f>'Unformatted Trip Summary'!A767</f>
        <v>10 NELS-MARLB-TAS</v>
      </c>
      <c r="B769" t="str">
        <f>'Unformatted Trip Summary'!J767</f>
        <v>2022/23</v>
      </c>
      <c r="C769" t="str">
        <f>'Unformatted Trip Summary'!I767</f>
        <v>Other Household Travel</v>
      </c>
      <c r="D769">
        <f>'Unformatted Trip Summary'!D767</f>
        <v>24</v>
      </c>
      <c r="E769">
        <f>'Unformatted Trip Summary'!E767</f>
        <v>56</v>
      </c>
      <c r="F769" s="1">
        <f>'Unformatted Trip Summary'!F767</f>
        <v>1.4762339579999999</v>
      </c>
      <c r="G769" s="1">
        <f>'Unformatted Trip Summary'!G767</f>
        <v>0</v>
      </c>
      <c r="H769" s="1">
        <f>'Unformatted Trip Summary'!H767</f>
        <v>0.50159192180000001</v>
      </c>
    </row>
    <row r="770" spans="1:8" x14ac:dyDescent="0.2">
      <c r="A770" t="str">
        <f>'Unformatted Trip Summary'!A768</f>
        <v>10 NELS-MARLB-TAS</v>
      </c>
      <c r="B770" t="str">
        <f>'Unformatted Trip Summary'!J768</f>
        <v>2027/28</v>
      </c>
      <c r="C770" t="str">
        <f>'Unformatted Trip Summary'!I768</f>
        <v>Other Household Travel</v>
      </c>
      <c r="D770">
        <f>'Unformatted Trip Summary'!D768</f>
        <v>24</v>
      </c>
      <c r="E770">
        <f>'Unformatted Trip Summary'!E768</f>
        <v>56</v>
      </c>
      <c r="F770" s="1">
        <f>'Unformatted Trip Summary'!F768</f>
        <v>1.5116137337</v>
      </c>
      <c r="G770" s="1">
        <f>'Unformatted Trip Summary'!G768</f>
        <v>0</v>
      </c>
      <c r="H770" s="1">
        <f>'Unformatted Trip Summary'!H768</f>
        <v>0.51554068799999997</v>
      </c>
    </row>
    <row r="771" spans="1:8" x14ac:dyDescent="0.2">
      <c r="A771" t="str">
        <f>'Unformatted Trip Summary'!A769</f>
        <v>10 NELS-MARLB-TAS</v>
      </c>
      <c r="B771" t="str">
        <f>'Unformatted Trip Summary'!J769</f>
        <v>2032/33</v>
      </c>
      <c r="C771" t="str">
        <f>'Unformatted Trip Summary'!I769</f>
        <v>Other Household Travel</v>
      </c>
      <c r="D771">
        <f>'Unformatted Trip Summary'!D769</f>
        <v>24</v>
      </c>
      <c r="E771">
        <f>'Unformatted Trip Summary'!E769</f>
        <v>56</v>
      </c>
      <c r="F771" s="1">
        <f>'Unformatted Trip Summary'!F769</f>
        <v>1.5292284249999999</v>
      </c>
      <c r="G771" s="1">
        <f>'Unformatted Trip Summary'!G769</f>
        <v>0</v>
      </c>
      <c r="H771" s="1">
        <f>'Unformatted Trip Summary'!H769</f>
        <v>0.51946512869999995</v>
      </c>
    </row>
    <row r="772" spans="1:8" x14ac:dyDescent="0.2">
      <c r="A772" t="str">
        <f>'Unformatted Trip Summary'!A770</f>
        <v>10 NELS-MARLB-TAS</v>
      </c>
      <c r="B772" t="str">
        <f>'Unformatted Trip Summary'!J770</f>
        <v>2037/38</v>
      </c>
      <c r="C772" t="str">
        <f>'Unformatted Trip Summary'!I770</f>
        <v>Other Household Travel</v>
      </c>
      <c r="D772">
        <f>'Unformatted Trip Summary'!D770</f>
        <v>24</v>
      </c>
      <c r="E772">
        <f>'Unformatted Trip Summary'!E770</f>
        <v>56</v>
      </c>
      <c r="F772" s="1">
        <f>'Unformatted Trip Summary'!F770</f>
        <v>1.5746490319999999</v>
      </c>
      <c r="G772" s="1">
        <f>'Unformatted Trip Summary'!G770</f>
        <v>0</v>
      </c>
      <c r="H772" s="1">
        <f>'Unformatted Trip Summary'!H770</f>
        <v>0.53577025359999997</v>
      </c>
    </row>
    <row r="773" spans="1:8" x14ac:dyDescent="0.2">
      <c r="A773" t="str">
        <f>'Unformatted Trip Summary'!A771</f>
        <v>10 NELS-MARLB-TAS</v>
      </c>
      <c r="B773" t="str">
        <f>'Unformatted Trip Summary'!J771</f>
        <v>2042/43</v>
      </c>
      <c r="C773" t="str">
        <f>'Unformatted Trip Summary'!I771</f>
        <v>Other Household Travel</v>
      </c>
      <c r="D773">
        <f>'Unformatted Trip Summary'!D771</f>
        <v>24</v>
      </c>
      <c r="E773">
        <f>'Unformatted Trip Summary'!E771</f>
        <v>56</v>
      </c>
      <c r="F773" s="1">
        <f>'Unformatted Trip Summary'!F771</f>
        <v>1.6025694894</v>
      </c>
      <c r="G773" s="1">
        <f>'Unformatted Trip Summary'!G771</f>
        <v>0</v>
      </c>
      <c r="H773" s="1">
        <f>'Unformatted Trip Summary'!H771</f>
        <v>0.54667661580000004</v>
      </c>
    </row>
    <row r="774" spans="1:8" x14ac:dyDescent="0.2">
      <c r="A774" t="str">
        <f>'Unformatted Trip Summary'!A772</f>
        <v>10 NELS-MARLB-TAS</v>
      </c>
      <c r="B774" t="str">
        <f>'Unformatted Trip Summary'!J772</f>
        <v>2012/13</v>
      </c>
      <c r="C774" t="str">
        <f>'Unformatted Trip Summary'!I772</f>
        <v>Air/Non-Local PT</v>
      </c>
      <c r="D774">
        <f>'Unformatted Trip Summary'!D772</f>
        <v>11</v>
      </c>
      <c r="E774">
        <f>'Unformatted Trip Summary'!E772</f>
        <v>13</v>
      </c>
      <c r="F774" s="1">
        <f>'Unformatted Trip Summary'!F772</f>
        <v>0.38277994659999998</v>
      </c>
      <c r="G774" s="1">
        <f>'Unformatted Trip Summary'!G772</f>
        <v>0</v>
      </c>
      <c r="H774" s="1">
        <f>'Unformatted Trip Summary'!H772</f>
        <v>0.45211944030000001</v>
      </c>
    </row>
    <row r="775" spans="1:8" x14ac:dyDescent="0.2">
      <c r="A775" t="str">
        <f>'Unformatted Trip Summary'!A773</f>
        <v>10 NELS-MARLB-TAS</v>
      </c>
      <c r="B775" t="str">
        <f>'Unformatted Trip Summary'!J773</f>
        <v>2017/18</v>
      </c>
      <c r="C775" t="str">
        <f>'Unformatted Trip Summary'!I773</f>
        <v>Air/Non-Local PT</v>
      </c>
      <c r="D775">
        <f>'Unformatted Trip Summary'!D773</f>
        <v>11</v>
      </c>
      <c r="E775">
        <f>'Unformatted Trip Summary'!E773</f>
        <v>13</v>
      </c>
      <c r="F775" s="1">
        <f>'Unformatted Trip Summary'!F773</f>
        <v>0.40267428820000001</v>
      </c>
      <c r="G775" s="1">
        <f>'Unformatted Trip Summary'!G773</f>
        <v>0</v>
      </c>
      <c r="H775" s="1">
        <f>'Unformatted Trip Summary'!H773</f>
        <v>0.46606347139999998</v>
      </c>
    </row>
    <row r="776" spans="1:8" x14ac:dyDescent="0.2">
      <c r="A776" t="str">
        <f>'Unformatted Trip Summary'!A774</f>
        <v>10 NELS-MARLB-TAS</v>
      </c>
      <c r="B776" t="str">
        <f>'Unformatted Trip Summary'!J774</f>
        <v>2022/23</v>
      </c>
      <c r="C776" t="str">
        <f>'Unformatted Trip Summary'!I774</f>
        <v>Air/Non-Local PT</v>
      </c>
      <c r="D776">
        <f>'Unformatted Trip Summary'!D774</f>
        <v>11</v>
      </c>
      <c r="E776">
        <f>'Unformatted Trip Summary'!E774</f>
        <v>13</v>
      </c>
      <c r="F776" s="1">
        <f>'Unformatted Trip Summary'!F774</f>
        <v>0.41191487389999998</v>
      </c>
      <c r="G776" s="1">
        <f>'Unformatted Trip Summary'!G774</f>
        <v>0</v>
      </c>
      <c r="H776" s="1">
        <f>'Unformatted Trip Summary'!H774</f>
        <v>0.47214288110000002</v>
      </c>
    </row>
    <row r="777" spans="1:8" x14ac:dyDescent="0.2">
      <c r="A777" t="str">
        <f>'Unformatted Trip Summary'!A775</f>
        <v>10 NELS-MARLB-TAS</v>
      </c>
      <c r="B777" t="str">
        <f>'Unformatted Trip Summary'!J775</f>
        <v>2027/28</v>
      </c>
      <c r="C777" t="str">
        <f>'Unformatted Trip Summary'!I775</f>
        <v>Air/Non-Local PT</v>
      </c>
      <c r="D777">
        <f>'Unformatted Trip Summary'!D775</f>
        <v>11</v>
      </c>
      <c r="E777">
        <f>'Unformatted Trip Summary'!E775</f>
        <v>13</v>
      </c>
      <c r="F777" s="1">
        <f>'Unformatted Trip Summary'!F775</f>
        <v>0.42000629049999999</v>
      </c>
      <c r="G777" s="1">
        <f>'Unformatted Trip Summary'!G775</f>
        <v>0</v>
      </c>
      <c r="H777" s="1">
        <f>'Unformatted Trip Summary'!H775</f>
        <v>0.46921731919999998</v>
      </c>
    </row>
    <row r="778" spans="1:8" x14ac:dyDescent="0.2">
      <c r="A778" t="str">
        <f>'Unformatted Trip Summary'!A776</f>
        <v>10 NELS-MARLB-TAS</v>
      </c>
      <c r="B778" t="str">
        <f>'Unformatted Trip Summary'!J776</f>
        <v>2032/33</v>
      </c>
      <c r="C778" t="str">
        <f>'Unformatted Trip Summary'!I776</f>
        <v>Air/Non-Local PT</v>
      </c>
      <c r="D778">
        <f>'Unformatted Trip Summary'!D776</f>
        <v>11</v>
      </c>
      <c r="E778">
        <f>'Unformatted Trip Summary'!E776</f>
        <v>13</v>
      </c>
      <c r="F778" s="1">
        <f>'Unformatted Trip Summary'!F776</f>
        <v>0.42649973889999998</v>
      </c>
      <c r="G778" s="1">
        <f>'Unformatted Trip Summary'!G776</f>
        <v>0</v>
      </c>
      <c r="H778" s="1">
        <f>'Unformatted Trip Summary'!H776</f>
        <v>0.44792385359999998</v>
      </c>
    </row>
    <row r="779" spans="1:8" x14ac:dyDescent="0.2">
      <c r="A779" t="str">
        <f>'Unformatted Trip Summary'!A777</f>
        <v>10 NELS-MARLB-TAS</v>
      </c>
      <c r="B779" t="str">
        <f>'Unformatted Trip Summary'!J777</f>
        <v>2037/38</v>
      </c>
      <c r="C779" t="str">
        <f>'Unformatted Trip Summary'!I777</f>
        <v>Air/Non-Local PT</v>
      </c>
      <c r="D779">
        <f>'Unformatted Trip Summary'!D777</f>
        <v>11</v>
      </c>
      <c r="E779">
        <f>'Unformatted Trip Summary'!E777</f>
        <v>13</v>
      </c>
      <c r="F779" s="1">
        <f>'Unformatted Trip Summary'!F777</f>
        <v>0.42664747409999998</v>
      </c>
      <c r="G779" s="1">
        <f>'Unformatted Trip Summary'!G777</f>
        <v>0</v>
      </c>
      <c r="H779" s="1">
        <f>'Unformatted Trip Summary'!H777</f>
        <v>0.41280261460000001</v>
      </c>
    </row>
    <row r="780" spans="1:8" x14ac:dyDescent="0.2">
      <c r="A780" t="str">
        <f>'Unformatted Trip Summary'!A778</f>
        <v>10 NELS-MARLB-TAS</v>
      </c>
      <c r="B780" t="str">
        <f>'Unformatted Trip Summary'!J778</f>
        <v>2042/43</v>
      </c>
      <c r="C780" t="str">
        <f>'Unformatted Trip Summary'!I778</f>
        <v>Air/Non-Local PT</v>
      </c>
      <c r="D780">
        <f>'Unformatted Trip Summary'!D778</f>
        <v>11</v>
      </c>
      <c r="E780">
        <f>'Unformatted Trip Summary'!E778</f>
        <v>13</v>
      </c>
      <c r="F780" s="1">
        <f>'Unformatted Trip Summary'!F778</f>
        <v>0.42567269860000001</v>
      </c>
      <c r="G780" s="1">
        <f>'Unformatted Trip Summary'!G778</f>
        <v>0</v>
      </c>
      <c r="H780" s="1">
        <f>'Unformatted Trip Summary'!H778</f>
        <v>0.38088453620000001</v>
      </c>
    </row>
    <row r="781" spans="1:8" x14ac:dyDescent="0.2">
      <c r="A781" t="str">
        <f>'Unformatted Trip Summary'!A779</f>
        <v>10 NELS-MARLB-TAS</v>
      </c>
      <c r="B781" t="str">
        <f>'Unformatted Trip Summary'!J779</f>
        <v>2012/13</v>
      </c>
      <c r="C781" t="str">
        <f>'Unformatted Trip Summary'!I779</f>
        <v>Non-Household Travel</v>
      </c>
      <c r="D781">
        <f>'Unformatted Trip Summary'!D779</f>
        <v>10</v>
      </c>
      <c r="E781">
        <f>'Unformatted Trip Summary'!E779</f>
        <v>59</v>
      </c>
      <c r="F781" s="1">
        <f>'Unformatted Trip Summary'!F779</f>
        <v>1.9294573958000001</v>
      </c>
      <c r="G781" s="1">
        <f>'Unformatted Trip Summary'!G779</f>
        <v>30.128221894999999</v>
      </c>
      <c r="H781" s="1">
        <f>'Unformatted Trip Summary'!H779</f>
        <v>0.79809006319999998</v>
      </c>
    </row>
    <row r="782" spans="1:8" x14ac:dyDescent="0.2">
      <c r="A782" t="str">
        <f>'Unformatted Trip Summary'!A780</f>
        <v>10 NELS-MARLB-TAS</v>
      </c>
      <c r="B782" t="str">
        <f>'Unformatted Trip Summary'!J780</f>
        <v>2017/18</v>
      </c>
      <c r="C782" t="str">
        <f>'Unformatted Trip Summary'!I780</f>
        <v>Non-Household Travel</v>
      </c>
      <c r="D782">
        <f>'Unformatted Trip Summary'!D780</f>
        <v>10</v>
      </c>
      <c r="E782">
        <f>'Unformatted Trip Summary'!E780</f>
        <v>59</v>
      </c>
      <c r="F782" s="1">
        <f>'Unformatted Trip Summary'!F780</f>
        <v>1.7937393205000001</v>
      </c>
      <c r="G782" s="1">
        <f>'Unformatted Trip Summary'!G780</f>
        <v>30.78516655</v>
      </c>
      <c r="H782" s="1">
        <f>'Unformatted Trip Summary'!H780</f>
        <v>0.80569768630000005</v>
      </c>
    </row>
    <row r="783" spans="1:8" x14ac:dyDescent="0.2">
      <c r="A783" t="str">
        <f>'Unformatted Trip Summary'!A781</f>
        <v>10 NELS-MARLB-TAS</v>
      </c>
      <c r="B783" t="str">
        <f>'Unformatted Trip Summary'!J781</f>
        <v>2022/23</v>
      </c>
      <c r="C783" t="str">
        <f>'Unformatted Trip Summary'!I781</f>
        <v>Non-Household Travel</v>
      </c>
      <c r="D783">
        <f>'Unformatted Trip Summary'!D781</f>
        <v>10</v>
      </c>
      <c r="E783">
        <f>'Unformatted Trip Summary'!E781</f>
        <v>59</v>
      </c>
      <c r="F783" s="1">
        <f>'Unformatted Trip Summary'!F781</f>
        <v>1.6243691592</v>
      </c>
      <c r="G783" s="1">
        <f>'Unformatted Trip Summary'!G781</f>
        <v>30.207176677</v>
      </c>
      <c r="H783" s="1">
        <f>'Unformatted Trip Summary'!H781</f>
        <v>0.77748711059999998</v>
      </c>
    </row>
    <row r="784" spans="1:8" x14ac:dyDescent="0.2">
      <c r="A784" t="str">
        <f>'Unformatted Trip Summary'!A782</f>
        <v>10 NELS-MARLB-TAS</v>
      </c>
      <c r="B784" t="str">
        <f>'Unformatted Trip Summary'!J782</f>
        <v>2027/28</v>
      </c>
      <c r="C784" t="str">
        <f>'Unformatted Trip Summary'!I782</f>
        <v>Non-Household Travel</v>
      </c>
      <c r="D784">
        <f>'Unformatted Trip Summary'!D782</f>
        <v>10</v>
      </c>
      <c r="E784">
        <f>'Unformatted Trip Summary'!E782</f>
        <v>59</v>
      </c>
      <c r="F784" s="1">
        <f>'Unformatted Trip Summary'!F782</f>
        <v>1.5100580486999999</v>
      </c>
      <c r="G784" s="1">
        <f>'Unformatted Trip Summary'!G782</f>
        <v>28.424166261</v>
      </c>
      <c r="H784" s="1">
        <f>'Unformatted Trip Summary'!H782</f>
        <v>0.72630142310000001</v>
      </c>
    </row>
    <row r="785" spans="1:8" x14ac:dyDescent="0.2">
      <c r="A785" t="str">
        <f>'Unformatted Trip Summary'!A783</f>
        <v>10 NELS-MARLB-TAS</v>
      </c>
      <c r="B785" t="str">
        <f>'Unformatted Trip Summary'!J783</f>
        <v>2032/33</v>
      </c>
      <c r="C785" t="str">
        <f>'Unformatted Trip Summary'!I783</f>
        <v>Non-Household Travel</v>
      </c>
      <c r="D785">
        <f>'Unformatted Trip Summary'!D783</f>
        <v>10</v>
      </c>
      <c r="E785">
        <f>'Unformatted Trip Summary'!E783</f>
        <v>59</v>
      </c>
      <c r="F785" s="1">
        <f>'Unformatted Trip Summary'!F783</f>
        <v>1.4700325165999999</v>
      </c>
      <c r="G785" s="1">
        <f>'Unformatted Trip Summary'!G783</f>
        <v>26.124422117999998</v>
      </c>
      <c r="H785" s="1">
        <f>'Unformatted Trip Summary'!H783</f>
        <v>0.6727983702</v>
      </c>
    </row>
    <row r="786" spans="1:8" x14ac:dyDescent="0.2">
      <c r="A786" t="str">
        <f>'Unformatted Trip Summary'!A784</f>
        <v>10 NELS-MARLB-TAS</v>
      </c>
      <c r="B786" t="str">
        <f>'Unformatted Trip Summary'!J784</f>
        <v>2037/38</v>
      </c>
      <c r="C786" t="str">
        <f>'Unformatted Trip Summary'!I784</f>
        <v>Non-Household Travel</v>
      </c>
      <c r="D786">
        <f>'Unformatted Trip Summary'!D784</f>
        <v>10</v>
      </c>
      <c r="E786">
        <f>'Unformatted Trip Summary'!E784</f>
        <v>59</v>
      </c>
      <c r="F786" s="1">
        <f>'Unformatted Trip Summary'!F784</f>
        <v>1.5190953300000001</v>
      </c>
      <c r="G786" s="1">
        <f>'Unformatted Trip Summary'!G784</f>
        <v>23.802217628000001</v>
      </c>
      <c r="H786" s="1">
        <f>'Unformatted Trip Summary'!H784</f>
        <v>0.62748714370000003</v>
      </c>
    </row>
    <row r="787" spans="1:8" x14ac:dyDescent="0.2">
      <c r="A787" t="str">
        <f>'Unformatted Trip Summary'!A785</f>
        <v>10 NELS-MARLB-TAS</v>
      </c>
      <c r="B787" t="str">
        <f>'Unformatted Trip Summary'!J785</f>
        <v>2042/43</v>
      </c>
      <c r="C787" t="str">
        <f>'Unformatted Trip Summary'!I785</f>
        <v>Non-Household Travel</v>
      </c>
      <c r="D787">
        <f>'Unformatted Trip Summary'!D785</f>
        <v>10</v>
      </c>
      <c r="E787">
        <f>'Unformatted Trip Summary'!E785</f>
        <v>59</v>
      </c>
      <c r="F787" s="1">
        <f>'Unformatted Trip Summary'!F785</f>
        <v>1.5469687185000001</v>
      </c>
      <c r="G787" s="1">
        <f>'Unformatted Trip Summary'!G785</f>
        <v>21.552747553</v>
      </c>
      <c r="H787" s="1">
        <f>'Unformatted Trip Summary'!H785</f>
        <v>0.58119890529999996</v>
      </c>
    </row>
    <row r="788" spans="1:8" x14ac:dyDescent="0.2">
      <c r="A788" t="str">
        <f>'Unformatted Trip Summary'!A786</f>
        <v>12 WEST COAST</v>
      </c>
      <c r="B788" t="str">
        <f>'Unformatted Trip Summary'!J786</f>
        <v>2012/13</v>
      </c>
      <c r="C788" t="str">
        <f>'Unformatted Trip Summary'!I786</f>
        <v>Pedestrian</v>
      </c>
      <c r="D788">
        <f>'Unformatted Trip Summary'!D786</f>
        <v>145</v>
      </c>
      <c r="E788">
        <f>'Unformatted Trip Summary'!E786</f>
        <v>451</v>
      </c>
      <c r="F788" s="1">
        <f>'Unformatted Trip Summary'!F786</f>
        <v>5.2699511529</v>
      </c>
      <c r="G788" s="1">
        <f>'Unformatted Trip Summary'!G786</f>
        <v>4.6474841125999999</v>
      </c>
      <c r="H788" s="1">
        <f>'Unformatted Trip Summary'!H786</f>
        <v>1.1518220776999999</v>
      </c>
    </row>
    <row r="789" spans="1:8" x14ac:dyDescent="0.2">
      <c r="A789" t="str">
        <f>'Unformatted Trip Summary'!A787</f>
        <v>12 WEST COAST</v>
      </c>
      <c r="B789" t="str">
        <f>'Unformatted Trip Summary'!J787</f>
        <v>2017/18</v>
      </c>
      <c r="C789" t="str">
        <f>'Unformatted Trip Summary'!I787</f>
        <v>Pedestrian</v>
      </c>
      <c r="D789">
        <f>'Unformatted Trip Summary'!D787</f>
        <v>145</v>
      </c>
      <c r="E789">
        <f>'Unformatted Trip Summary'!E787</f>
        <v>451</v>
      </c>
      <c r="F789" s="1">
        <f>'Unformatted Trip Summary'!F787</f>
        <v>4.8943282333000004</v>
      </c>
      <c r="G789" s="1">
        <f>'Unformatted Trip Summary'!G787</f>
        <v>4.4011420036000004</v>
      </c>
      <c r="H789" s="1">
        <f>'Unformatted Trip Summary'!H787</f>
        <v>1.1039570892999999</v>
      </c>
    </row>
    <row r="790" spans="1:8" x14ac:dyDescent="0.2">
      <c r="A790" t="str">
        <f>'Unformatted Trip Summary'!A788</f>
        <v>12 WEST COAST</v>
      </c>
      <c r="B790" t="str">
        <f>'Unformatted Trip Summary'!J788</f>
        <v>2022/23</v>
      </c>
      <c r="C790" t="str">
        <f>'Unformatted Trip Summary'!I788</f>
        <v>Pedestrian</v>
      </c>
      <c r="D790">
        <f>'Unformatted Trip Summary'!D788</f>
        <v>145</v>
      </c>
      <c r="E790">
        <f>'Unformatted Trip Summary'!E788</f>
        <v>451</v>
      </c>
      <c r="F790" s="1">
        <f>'Unformatted Trip Summary'!F788</f>
        <v>4.4216647938999998</v>
      </c>
      <c r="G790" s="1">
        <f>'Unformatted Trip Summary'!G788</f>
        <v>4.0093442920999998</v>
      </c>
      <c r="H790" s="1">
        <f>'Unformatted Trip Summary'!H788</f>
        <v>1.0201521409000001</v>
      </c>
    </row>
    <row r="791" spans="1:8" x14ac:dyDescent="0.2">
      <c r="A791" t="str">
        <f>'Unformatted Trip Summary'!A789</f>
        <v>12 WEST COAST</v>
      </c>
      <c r="B791" t="str">
        <f>'Unformatted Trip Summary'!J789</f>
        <v>2027/28</v>
      </c>
      <c r="C791" t="str">
        <f>'Unformatted Trip Summary'!I789</f>
        <v>Pedestrian</v>
      </c>
      <c r="D791">
        <f>'Unformatted Trip Summary'!D789</f>
        <v>145</v>
      </c>
      <c r="E791">
        <f>'Unformatted Trip Summary'!E789</f>
        <v>451</v>
      </c>
      <c r="F791" s="1">
        <f>'Unformatted Trip Summary'!F789</f>
        <v>4.0859453572</v>
      </c>
      <c r="G791" s="1">
        <f>'Unformatted Trip Summary'!G789</f>
        <v>3.7960263176</v>
      </c>
      <c r="H791" s="1">
        <f>'Unformatted Trip Summary'!H789</f>
        <v>0.9720715902</v>
      </c>
    </row>
    <row r="792" spans="1:8" x14ac:dyDescent="0.2">
      <c r="A792" t="str">
        <f>'Unformatted Trip Summary'!A790</f>
        <v>12 WEST COAST</v>
      </c>
      <c r="B792" t="str">
        <f>'Unformatted Trip Summary'!J790</f>
        <v>2032/33</v>
      </c>
      <c r="C792" t="str">
        <f>'Unformatted Trip Summary'!I790</f>
        <v>Pedestrian</v>
      </c>
      <c r="D792">
        <f>'Unformatted Trip Summary'!D790</f>
        <v>145</v>
      </c>
      <c r="E792">
        <f>'Unformatted Trip Summary'!E790</f>
        <v>451</v>
      </c>
      <c r="F792" s="1">
        <f>'Unformatted Trip Summary'!F790</f>
        <v>3.7473082486</v>
      </c>
      <c r="G792" s="1">
        <f>'Unformatted Trip Summary'!G790</f>
        <v>3.5662759305999998</v>
      </c>
      <c r="H792" s="1">
        <f>'Unformatted Trip Summary'!H790</f>
        <v>0.91541507089999996</v>
      </c>
    </row>
    <row r="793" spans="1:8" x14ac:dyDescent="0.2">
      <c r="A793" t="str">
        <f>'Unformatted Trip Summary'!A791</f>
        <v>12 WEST COAST</v>
      </c>
      <c r="B793" t="str">
        <f>'Unformatted Trip Summary'!J791</f>
        <v>2037/38</v>
      </c>
      <c r="C793" t="str">
        <f>'Unformatted Trip Summary'!I791</f>
        <v>Pedestrian</v>
      </c>
      <c r="D793">
        <f>'Unformatted Trip Summary'!D791</f>
        <v>145</v>
      </c>
      <c r="E793">
        <f>'Unformatted Trip Summary'!E791</f>
        <v>451</v>
      </c>
      <c r="F793" s="1">
        <f>'Unformatted Trip Summary'!F791</f>
        <v>3.4235998214999999</v>
      </c>
      <c r="G793" s="1">
        <f>'Unformatted Trip Summary'!G791</f>
        <v>3.3439557676999998</v>
      </c>
      <c r="H793" s="1">
        <f>'Unformatted Trip Summary'!H791</f>
        <v>0.85874898850000003</v>
      </c>
    </row>
    <row r="794" spans="1:8" x14ac:dyDescent="0.2">
      <c r="A794" t="str">
        <f>'Unformatted Trip Summary'!A792</f>
        <v>12 WEST COAST</v>
      </c>
      <c r="B794" t="str">
        <f>'Unformatted Trip Summary'!J792</f>
        <v>2042/43</v>
      </c>
      <c r="C794" t="str">
        <f>'Unformatted Trip Summary'!I792</f>
        <v>Pedestrian</v>
      </c>
      <c r="D794">
        <f>'Unformatted Trip Summary'!D792</f>
        <v>145</v>
      </c>
      <c r="E794">
        <f>'Unformatted Trip Summary'!E792</f>
        <v>451</v>
      </c>
      <c r="F794" s="1">
        <f>'Unformatted Trip Summary'!F792</f>
        <v>3.1523518716000001</v>
      </c>
      <c r="G794" s="1">
        <f>'Unformatted Trip Summary'!G792</f>
        <v>3.1616946862000002</v>
      </c>
      <c r="H794" s="1">
        <f>'Unformatted Trip Summary'!H792</f>
        <v>0.81023995469999999</v>
      </c>
    </row>
    <row r="795" spans="1:8" x14ac:dyDescent="0.2">
      <c r="A795" t="str">
        <f>'Unformatted Trip Summary'!A793</f>
        <v>12 WEST COAST</v>
      </c>
      <c r="B795" t="str">
        <f>'Unformatted Trip Summary'!J793</f>
        <v>2012/13</v>
      </c>
      <c r="C795" t="str">
        <f>'Unformatted Trip Summary'!I793</f>
        <v>Cyclist</v>
      </c>
      <c r="D795">
        <f>'Unformatted Trip Summary'!D793</f>
        <v>23</v>
      </c>
      <c r="E795">
        <f>'Unformatted Trip Summary'!E793</f>
        <v>75</v>
      </c>
      <c r="F795" s="1">
        <f>'Unformatted Trip Summary'!F793</f>
        <v>0.73381292249999996</v>
      </c>
      <c r="G795" s="1">
        <f>'Unformatted Trip Summary'!G793</f>
        <v>1.9571055828999999</v>
      </c>
      <c r="H795" s="1">
        <f>'Unformatted Trip Summary'!H793</f>
        <v>0.17528853950000001</v>
      </c>
    </row>
    <row r="796" spans="1:8" x14ac:dyDescent="0.2">
      <c r="A796" t="str">
        <f>'Unformatted Trip Summary'!A794</f>
        <v>12 WEST COAST</v>
      </c>
      <c r="B796" t="str">
        <f>'Unformatted Trip Summary'!J794</f>
        <v>2017/18</v>
      </c>
      <c r="C796" t="str">
        <f>'Unformatted Trip Summary'!I794</f>
        <v>Cyclist</v>
      </c>
      <c r="D796">
        <f>'Unformatted Trip Summary'!D794</f>
        <v>23</v>
      </c>
      <c r="E796">
        <f>'Unformatted Trip Summary'!E794</f>
        <v>75</v>
      </c>
      <c r="F796" s="1">
        <f>'Unformatted Trip Summary'!F794</f>
        <v>0.70428411810000002</v>
      </c>
      <c r="G796" s="1">
        <f>'Unformatted Trip Summary'!G794</f>
        <v>1.9612478901999999</v>
      </c>
      <c r="H796" s="1">
        <f>'Unformatted Trip Summary'!H794</f>
        <v>0.16907279280000001</v>
      </c>
    </row>
    <row r="797" spans="1:8" x14ac:dyDescent="0.2">
      <c r="A797" t="str">
        <f>'Unformatted Trip Summary'!A795</f>
        <v>12 WEST COAST</v>
      </c>
      <c r="B797" t="str">
        <f>'Unformatted Trip Summary'!J795</f>
        <v>2022/23</v>
      </c>
      <c r="C797" t="str">
        <f>'Unformatted Trip Summary'!I795</f>
        <v>Cyclist</v>
      </c>
      <c r="D797">
        <f>'Unformatted Trip Summary'!D795</f>
        <v>23</v>
      </c>
      <c r="E797">
        <f>'Unformatted Trip Summary'!E795</f>
        <v>75</v>
      </c>
      <c r="F797" s="1">
        <f>'Unformatted Trip Summary'!F795</f>
        <v>0.65566444040000005</v>
      </c>
      <c r="G797" s="1">
        <f>'Unformatted Trip Summary'!G795</f>
        <v>1.8979731067000001</v>
      </c>
      <c r="H797" s="1">
        <f>'Unformatted Trip Summary'!H795</f>
        <v>0.15867816030000001</v>
      </c>
    </row>
    <row r="798" spans="1:8" x14ac:dyDescent="0.2">
      <c r="A798" t="str">
        <f>'Unformatted Trip Summary'!A796</f>
        <v>12 WEST COAST</v>
      </c>
      <c r="B798" t="str">
        <f>'Unformatted Trip Summary'!J796</f>
        <v>2027/28</v>
      </c>
      <c r="C798" t="str">
        <f>'Unformatted Trip Summary'!I796</f>
        <v>Cyclist</v>
      </c>
      <c r="D798">
        <f>'Unformatted Trip Summary'!D796</f>
        <v>23</v>
      </c>
      <c r="E798">
        <f>'Unformatted Trip Summary'!E796</f>
        <v>75</v>
      </c>
      <c r="F798" s="1">
        <f>'Unformatted Trip Summary'!F796</f>
        <v>0.63023049590000002</v>
      </c>
      <c r="G798" s="1">
        <f>'Unformatted Trip Summary'!G796</f>
        <v>1.8095446798999999</v>
      </c>
      <c r="H798" s="1">
        <f>'Unformatted Trip Summary'!H796</f>
        <v>0.14987295019999999</v>
      </c>
    </row>
    <row r="799" spans="1:8" x14ac:dyDescent="0.2">
      <c r="A799" t="str">
        <f>'Unformatted Trip Summary'!A797</f>
        <v>12 WEST COAST</v>
      </c>
      <c r="B799" t="str">
        <f>'Unformatted Trip Summary'!J797</f>
        <v>2032/33</v>
      </c>
      <c r="C799" t="str">
        <f>'Unformatted Trip Summary'!I797</f>
        <v>Cyclist</v>
      </c>
      <c r="D799">
        <f>'Unformatted Trip Summary'!D797</f>
        <v>23</v>
      </c>
      <c r="E799">
        <f>'Unformatted Trip Summary'!E797</f>
        <v>75</v>
      </c>
      <c r="F799" s="1">
        <f>'Unformatted Trip Summary'!F797</f>
        <v>0.58165887869999999</v>
      </c>
      <c r="G799" s="1">
        <f>'Unformatted Trip Summary'!G797</f>
        <v>1.7306281213000001</v>
      </c>
      <c r="H799" s="1">
        <f>'Unformatted Trip Summary'!H797</f>
        <v>0.13898351989999999</v>
      </c>
    </row>
    <row r="800" spans="1:8" x14ac:dyDescent="0.2">
      <c r="A800" t="str">
        <f>'Unformatted Trip Summary'!A798</f>
        <v>12 WEST COAST</v>
      </c>
      <c r="B800" t="str">
        <f>'Unformatted Trip Summary'!J798</f>
        <v>2037/38</v>
      </c>
      <c r="C800" t="str">
        <f>'Unformatted Trip Summary'!I798</f>
        <v>Cyclist</v>
      </c>
      <c r="D800">
        <f>'Unformatted Trip Summary'!D798</f>
        <v>23</v>
      </c>
      <c r="E800">
        <f>'Unformatted Trip Summary'!E798</f>
        <v>75</v>
      </c>
      <c r="F800" s="1">
        <f>'Unformatted Trip Summary'!F798</f>
        <v>0.54209310730000004</v>
      </c>
      <c r="G800" s="1">
        <f>'Unformatted Trip Summary'!G798</f>
        <v>1.7590798623999999</v>
      </c>
      <c r="H800" s="1">
        <f>'Unformatted Trip Summary'!H798</f>
        <v>0.1324409091</v>
      </c>
    </row>
    <row r="801" spans="1:8" x14ac:dyDescent="0.2">
      <c r="A801" t="str">
        <f>'Unformatted Trip Summary'!A799</f>
        <v>12 WEST COAST</v>
      </c>
      <c r="B801" t="str">
        <f>'Unformatted Trip Summary'!J799</f>
        <v>2042/43</v>
      </c>
      <c r="C801" t="str">
        <f>'Unformatted Trip Summary'!I799</f>
        <v>Cyclist</v>
      </c>
      <c r="D801">
        <f>'Unformatted Trip Summary'!D799</f>
        <v>23</v>
      </c>
      <c r="E801">
        <f>'Unformatted Trip Summary'!E799</f>
        <v>75</v>
      </c>
      <c r="F801" s="1">
        <f>'Unformatted Trip Summary'!F799</f>
        <v>0.50161144749999997</v>
      </c>
      <c r="G801" s="1">
        <f>'Unformatted Trip Summary'!G799</f>
        <v>1.7746995055000001</v>
      </c>
      <c r="H801" s="1">
        <f>'Unformatted Trip Summary'!H799</f>
        <v>0.12559657269999999</v>
      </c>
    </row>
    <row r="802" spans="1:8" x14ac:dyDescent="0.2">
      <c r="A802" t="str">
        <f>'Unformatted Trip Summary'!A800</f>
        <v>12 WEST COAST</v>
      </c>
      <c r="B802" t="str">
        <f>'Unformatted Trip Summary'!J800</f>
        <v>2012/13</v>
      </c>
      <c r="C802" t="str">
        <f>'Unformatted Trip Summary'!I800</f>
        <v>Light Vehicle Driver</v>
      </c>
      <c r="D802">
        <f>'Unformatted Trip Summary'!D800</f>
        <v>269</v>
      </c>
      <c r="E802">
        <f>'Unformatted Trip Summary'!E800</f>
        <v>1828</v>
      </c>
      <c r="F802" s="1">
        <f>'Unformatted Trip Summary'!F800</f>
        <v>21.329902885999999</v>
      </c>
      <c r="G802" s="1">
        <f>'Unformatted Trip Summary'!G800</f>
        <v>226.22434741999999</v>
      </c>
      <c r="H802" s="1">
        <f>'Unformatted Trip Summary'!H800</f>
        <v>5.0852916584000001</v>
      </c>
    </row>
    <row r="803" spans="1:8" x14ac:dyDescent="0.2">
      <c r="A803" t="str">
        <f>'Unformatted Trip Summary'!A801</f>
        <v>12 WEST COAST</v>
      </c>
      <c r="B803" t="str">
        <f>'Unformatted Trip Summary'!J801</f>
        <v>2017/18</v>
      </c>
      <c r="C803" t="str">
        <f>'Unformatted Trip Summary'!I801</f>
        <v>Light Vehicle Driver</v>
      </c>
      <c r="D803">
        <f>'Unformatted Trip Summary'!D801</f>
        <v>269</v>
      </c>
      <c r="E803">
        <f>'Unformatted Trip Summary'!E801</f>
        <v>1828</v>
      </c>
      <c r="F803" s="1">
        <f>'Unformatted Trip Summary'!F801</f>
        <v>20.954539773</v>
      </c>
      <c r="G803" s="1">
        <f>'Unformatted Trip Summary'!G801</f>
        <v>226.80550656</v>
      </c>
      <c r="H803" s="1">
        <f>'Unformatted Trip Summary'!H801</f>
        <v>5.0612460423999996</v>
      </c>
    </row>
    <row r="804" spans="1:8" x14ac:dyDescent="0.2">
      <c r="A804" t="str">
        <f>'Unformatted Trip Summary'!A802</f>
        <v>12 WEST COAST</v>
      </c>
      <c r="B804" t="str">
        <f>'Unformatted Trip Summary'!J802</f>
        <v>2022/23</v>
      </c>
      <c r="C804" t="str">
        <f>'Unformatted Trip Summary'!I802</f>
        <v>Light Vehicle Driver</v>
      </c>
      <c r="D804">
        <f>'Unformatted Trip Summary'!D802</f>
        <v>269</v>
      </c>
      <c r="E804">
        <f>'Unformatted Trip Summary'!E802</f>
        <v>1828</v>
      </c>
      <c r="F804" s="1">
        <f>'Unformatted Trip Summary'!F802</f>
        <v>19.753033838</v>
      </c>
      <c r="G804" s="1">
        <f>'Unformatted Trip Summary'!G802</f>
        <v>218.44282138</v>
      </c>
      <c r="H804" s="1">
        <f>'Unformatted Trip Summary'!H802</f>
        <v>4.8311436793000002</v>
      </c>
    </row>
    <row r="805" spans="1:8" x14ac:dyDescent="0.2">
      <c r="A805" t="str">
        <f>'Unformatted Trip Summary'!A803</f>
        <v>12 WEST COAST</v>
      </c>
      <c r="B805" t="str">
        <f>'Unformatted Trip Summary'!J803</f>
        <v>2027/28</v>
      </c>
      <c r="C805" t="str">
        <f>'Unformatted Trip Summary'!I803</f>
        <v>Light Vehicle Driver</v>
      </c>
      <c r="D805">
        <f>'Unformatted Trip Summary'!D803</f>
        <v>269</v>
      </c>
      <c r="E805">
        <f>'Unformatted Trip Summary'!E803</f>
        <v>1828</v>
      </c>
      <c r="F805" s="1">
        <f>'Unformatted Trip Summary'!F803</f>
        <v>19.188888132999999</v>
      </c>
      <c r="G805" s="1">
        <f>'Unformatted Trip Summary'!G803</f>
        <v>214.78774594000001</v>
      </c>
      <c r="H805" s="1">
        <f>'Unformatted Trip Summary'!H803</f>
        <v>4.7287739841</v>
      </c>
    </row>
    <row r="806" spans="1:8" x14ac:dyDescent="0.2">
      <c r="A806" t="str">
        <f>'Unformatted Trip Summary'!A804</f>
        <v>12 WEST COAST</v>
      </c>
      <c r="B806" t="str">
        <f>'Unformatted Trip Summary'!J804</f>
        <v>2032/33</v>
      </c>
      <c r="C806" t="str">
        <f>'Unformatted Trip Summary'!I804</f>
        <v>Light Vehicle Driver</v>
      </c>
      <c r="D806">
        <f>'Unformatted Trip Summary'!D804</f>
        <v>269</v>
      </c>
      <c r="E806">
        <f>'Unformatted Trip Summary'!E804</f>
        <v>1828</v>
      </c>
      <c r="F806" s="1">
        <f>'Unformatted Trip Summary'!F804</f>
        <v>18.304312616000001</v>
      </c>
      <c r="G806" s="1">
        <f>'Unformatted Trip Summary'!G804</f>
        <v>206.90828934000001</v>
      </c>
      <c r="H806" s="1">
        <f>'Unformatted Trip Summary'!H804</f>
        <v>4.5357021113</v>
      </c>
    </row>
    <row r="807" spans="1:8" x14ac:dyDescent="0.2">
      <c r="A807" t="str">
        <f>'Unformatted Trip Summary'!A805</f>
        <v>12 WEST COAST</v>
      </c>
      <c r="B807" t="str">
        <f>'Unformatted Trip Summary'!J805</f>
        <v>2037/38</v>
      </c>
      <c r="C807" t="str">
        <f>'Unformatted Trip Summary'!I805</f>
        <v>Light Vehicle Driver</v>
      </c>
      <c r="D807">
        <f>'Unformatted Trip Summary'!D805</f>
        <v>269</v>
      </c>
      <c r="E807">
        <f>'Unformatted Trip Summary'!E805</f>
        <v>1828</v>
      </c>
      <c r="F807" s="1">
        <f>'Unformatted Trip Summary'!F805</f>
        <v>17.691445587</v>
      </c>
      <c r="G807" s="1">
        <f>'Unformatted Trip Summary'!G805</f>
        <v>202.88422671999999</v>
      </c>
      <c r="H807" s="1">
        <f>'Unformatted Trip Summary'!H805</f>
        <v>4.4188655537999999</v>
      </c>
    </row>
    <row r="808" spans="1:8" x14ac:dyDescent="0.2">
      <c r="A808" t="str">
        <f>'Unformatted Trip Summary'!A806</f>
        <v>12 WEST COAST</v>
      </c>
      <c r="B808" t="str">
        <f>'Unformatted Trip Summary'!J806</f>
        <v>2042/43</v>
      </c>
      <c r="C808" t="str">
        <f>'Unformatted Trip Summary'!I806</f>
        <v>Light Vehicle Driver</v>
      </c>
      <c r="D808">
        <f>'Unformatted Trip Summary'!D806</f>
        <v>269</v>
      </c>
      <c r="E808">
        <f>'Unformatted Trip Summary'!E806</f>
        <v>1828</v>
      </c>
      <c r="F808" s="1">
        <f>'Unformatted Trip Summary'!F806</f>
        <v>17.055347537999999</v>
      </c>
      <c r="G808" s="1">
        <f>'Unformatted Trip Summary'!G806</f>
        <v>198.90086525999999</v>
      </c>
      <c r="H808" s="1">
        <f>'Unformatted Trip Summary'!H806</f>
        <v>4.2981937872999998</v>
      </c>
    </row>
    <row r="809" spans="1:8" x14ac:dyDescent="0.2">
      <c r="A809" t="str">
        <f>'Unformatted Trip Summary'!A807</f>
        <v>12 WEST COAST</v>
      </c>
      <c r="B809" t="str">
        <f>'Unformatted Trip Summary'!J807</f>
        <v>2012/13</v>
      </c>
      <c r="C809" t="str">
        <f>'Unformatted Trip Summary'!I807</f>
        <v>Light Vehicle Passenger</v>
      </c>
      <c r="D809">
        <f>'Unformatted Trip Summary'!D807</f>
        <v>210</v>
      </c>
      <c r="E809">
        <f>'Unformatted Trip Summary'!E807</f>
        <v>1017</v>
      </c>
      <c r="F809" s="1">
        <f>'Unformatted Trip Summary'!F807</f>
        <v>11.090105214999999</v>
      </c>
      <c r="G809" s="1">
        <f>'Unformatted Trip Summary'!G807</f>
        <v>160.37072223999999</v>
      </c>
      <c r="H809" s="1">
        <f>'Unformatted Trip Summary'!H807</f>
        <v>3.4140139011000001</v>
      </c>
    </row>
    <row r="810" spans="1:8" x14ac:dyDescent="0.2">
      <c r="A810" t="str">
        <f>'Unformatted Trip Summary'!A808</f>
        <v>12 WEST COAST</v>
      </c>
      <c r="B810" t="str">
        <f>'Unformatted Trip Summary'!J808</f>
        <v>2017/18</v>
      </c>
      <c r="C810" t="str">
        <f>'Unformatted Trip Summary'!I808</f>
        <v>Light Vehicle Passenger</v>
      </c>
      <c r="D810">
        <f>'Unformatted Trip Summary'!D808</f>
        <v>210</v>
      </c>
      <c r="E810">
        <f>'Unformatted Trip Summary'!E808</f>
        <v>1017</v>
      </c>
      <c r="F810" s="1">
        <f>'Unformatted Trip Summary'!F808</f>
        <v>10.30028517</v>
      </c>
      <c r="G810" s="1">
        <f>'Unformatted Trip Summary'!G808</f>
        <v>157.27947259000001</v>
      </c>
      <c r="H810" s="1">
        <f>'Unformatted Trip Summary'!H808</f>
        <v>3.3357592394000002</v>
      </c>
    </row>
    <row r="811" spans="1:8" x14ac:dyDescent="0.2">
      <c r="A811" t="str">
        <f>'Unformatted Trip Summary'!A809</f>
        <v>12 WEST COAST</v>
      </c>
      <c r="B811" t="str">
        <f>'Unformatted Trip Summary'!J809</f>
        <v>2022/23</v>
      </c>
      <c r="C811" t="str">
        <f>'Unformatted Trip Summary'!I809</f>
        <v>Light Vehicle Passenger</v>
      </c>
      <c r="D811">
        <f>'Unformatted Trip Summary'!D809</f>
        <v>210</v>
      </c>
      <c r="E811">
        <f>'Unformatted Trip Summary'!E809</f>
        <v>1017</v>
      </c>
      <c r="F811" s="1">
        <f>'Unformatted Trip Summary'!F809</f>
        <v>9.3821023617999995</v>
      </c>
      <c r="G811" s="1">
        <f>'Unformatted Trip Summary'!G809</f>
        <v>147.75142457999999</v>
      </c>
      <c r="H811" s="1">
        <f>'Unformatted Trip Summary'!H809</f>
        <v>3.1402743810999998</v>
      </c>
    </row>
    <row r="812" spans="1:8" x14ac:dyDescent="0.2">
      <c r="A812" t="str">
        <f>'Unformatted Trip Summary'!A810</f>
        <v>12 WEST COAST</v>
      </c>
      <c r="B812" t="str">
        <f>'Unformatted Trip Summary'!J810</f>
        <v>2027/28</v>
      </c>
      <c r="C812" t="str">
        <f>'Unformatted Trip Summary'!I810</f>
        <v>Light Vehicle Passenger</v>
      </c>
      <c r="D812">
        <f>'Unformatted Trip Summary'!D810</f>
        <v>210</v>
      </c>
      <c r="E812">
        <f>'Unformatted Trip Summary'!E810</f>
        <v>1017</v>
      </c>
      <c r="F812" s="1">
        <f>'Unformatted Trip Summary'!F810</f>
        <v>8.8940935052000007</v>
      </c>
      <c r="G812" s="1">
        <f>'Unformatted Trip Summary'!G810</f>
        <v>144.16348667</v>
      </c>
      <c r="H812" s="1">
        <f>'Unformatted Trip Summary'!H810</f>
        <v>3.0699292257000002</v>
      </c>
    </row>
    <row r="813" spans="1:8" x14ac:dyDescent="0.2">
      <c r="A813" t="str">
        <f>'Unformatted Trip Summary'!A811</f>
        <v>12 WEST COAST</v>
      </c>
      <c r="B813" t="str">
        <f>'Unformatted Trip Summary'!J811</f>
        <v>2032/33</v>
      </c>
      <c r="C813" t="str">
        <f>'Unformatted Trip Summary'!I811</f>
        <v>Light Vehicle Passenger</v>
      </c>
      <c r="D813">
        <f>'Unformatted Trip Summary'!D811</f>
        <v>210</v>
      </c>
      <c r="E813">
        <f>'Unformatted Trip Summary'!E811</f>
        <v>1017</v>
      </c>
      <c r="F813" s="1">
        <f>'Unformatted Trip Summary'!F811</f>
        <v>8.2298862636999992</v>
      </c>
      <c r="G813" s="1">
        <f>'Unformatted Trip Summary'!G811</f>
        <v>134.63932546999999</v>
      </c>
      <c r="H813" s="1">
        <f>'Unformatted Trip Summary'!H811</f>
        <v>2.8924650328000001</v>
      </c>
    </row>
    <row r="814" spans="1:8" x14ac:dyDescent="0.2">
      <c r="A814" t="str">
        <f>'Unformatted Trip Summary'!A812</f>
        <v>12 WEST COAST</v>
      </c>
      <c r="B814" t="str">
        <f>'Unformatted Trip Summary'!J812</f>
        <v>2037/38</v>
      </c>
      <c r="C814" t="str">
        <f>'Unformatted Trip Summary'!I812</f>
        <v>Light Vehicle Passenger</v>
      </c>
      <c r="D814">
        <f>'Unformatted Trip Summary'!D812</f>
        <v>210</v>
      </c>
      <c r="E814">
        <f>'Unformatted Trip Summary'!E812</f>
        <v>1017</v>
      </c>
      <c r="F814" s="1">
        <f>'Unformatted Trip Summary'!F812</f>
        <v>7.5298716420999998</v>
      </c>
      <c r="G814" s="1">
        <f>'Unformatted Trip Summary'!G812</f>
        <v>125.26873831</v>
      </c>
      <c r="H814" s="1">
        <f>'Unformatted Trip Summary'!H812</f>
        <v>2.6921252952999999</v>
      </c>
    </row>
    <row r="815" spans="1:8" x14ac:dyDescent="0.2">
      <c r="A815" t="str">
        <f>'Unformatted Trip Summary'!A813</f>
        <v>12 WEST COAST</v>
      </c>
      <c r="B815" t="str">
        <f>'Unformatted Trip Summary'!J813</f>
        <v>2042/43</v>
      </c>
      <c r="C815" t="str">
        <f>'Unformatted Trip Summary'!I813</f>
        <v>Light Vehicle Passenger</v>
      </c>
      <c r="D815">
        <f>'Unformatted Trip Summary'!D813</f>
        <v>210</v>
      </c>
      <c r="E815">
        <f>'Unformatted Trip Summary'!E813</f>
        <v>1017</v>
      </c>
      <c r="F815" s="1">
        <f>'Unformatted Trip Summary'!F813</f>
        <v>6.8519483857000001</v>
      </c>
      <c r="G815" s="1">
        <f>'Unformatted Trip Summary'!G813</f>
        <v>116.29315083</v>
      </c>
      <c r="H815" s="1">
        <f>'Unformatted Trip Summary'!H813</f>
        <v>2.4941173132999999</v>
      </c>
    </row>
    <row r="816" spans="1:8" x14ac:dyDescent="0.2">
      <c r="A816" t="str">
        <f>'Unformatted Trip Summary'!A814</f>
        <v>12 WEST COAST</v>
      </c>
      <c r="B816" t="str">
        <f>'Unformatted Trip Summary'!J814</f>
        <v>2012/13</v>
      </c>
      <c r="C816" t="str">
        <f>'Unformatted Trip Summary'!I814</f>
        <v>Taxi/Vehicle Share</v>
      </c>
      <c r="D816">
        <f>'Unformatted Trip Summary'!D814</f>
        <v>12</v>
      </c>
      <c r="E816">
        <f>'Unformatted Trip Summary'!E814</f>
        <v>23</v>
      </c>
      <c r="F816" s="1">
        <f>'Unformatted Trip Summary'!F814</f>
        <v>0.29973375209999997</v>
      </c>
      <c r="G816" s="1">
        <f>'Unformatted Trip Summary'!G814</f>
        <v>1.6916956777000001</v>
      </c>
      <c r="H816" s="1">
        <f>'Unformatted Trip Summary'!H814</f>
        <v>6.5507808299999998E-2</v>
      </c>
    </row>
    <row r="817" spans="1:8" x14ac:dyDescent="0.2">
      <c r="A817" t="str">
        <f>'Unformatted Trip Summary'!A815</f>
        <v>12 WEST COAST</v>
      </c>
      <c r="B817" t="str">
        <f>'Unformatted Trip Summary'!J815</f>
        <v>2017/18</v>
      </c>
      <c r="C817" t="str">
        <f>'Unformatted Trip Summary'!I815</f>
        <v>Taxi/Vehicle Share</v>
      </c>
      <c r="D817">
        <f>'Unformatted Trip Summary'!D815</f>
        <v>12</v>
      </c>
      <c r="E817">
        <f>'Unformatted Trip Summary'!E815</f>
        <v>23</v>
      </c>
      <c r="F817" s="1">
        <f>'Unformatted Trip Summary'!F815</f>
        <v>0.34711674619999999</v>
      </c>
      <c r="G817" s="1">
        <f>'Unformatted Trip Summary'!G815</f>
        <v>1.9138726968999999</v>
      </c>
      <c r="H817" s="1">
        <f>'Unformatted Trip Summary'!H815</f>
        <v>7.6339456700000002E-2</v>
      </c>
    </row>
    <row r="818" spans="1:8" x14ac:dyDescent="0.2">
      <c r="A818" t="str">
        <f>'Unformatted Trip Summary'!A816</f>
        <v>12 WEST COAST</v>
      </c>
      <c r="B818" t="str">
        <f>'Unformatted Trip Summary'!J816</f>
        <v>2022/23</v>
      </c>
      <c r="C818" t="str">
        <f>'Unformatted Trip Summary'!I816</f>
        <v>Taxi/Vehicle Share</v>
      </c>
      <c r="D818">
        <f>'Unformatted Trip Summary'!D816</f>
        <v>12</v>
      </c>
      <c r="E818">
        <f>'Unformatted Trip Summary'!E816</f>
        <v>23</v>
      </c>
      <c r="F818" s="1">
        <f>'Unformatted Trip Summary'!F816</f>
        <v>0.37331669249999999</v>
      </c>
      <c r="G818" s="1">
        <f>'Unformatted Trip Summary'!G816</f>
        <v>2.0093999887999998</v>
      </c>
      <c r="H818" s="1">
        <f>'Unformatted Trip Summary'!H816</f>
        <v>8.2401686000000002E-2</v>
      </c>
    </row>
    <row r="819" spans="1:8" x14ac:dyDescent="0.2">
      <c r="A819" t="str">
        <f>'Unformatted Trip Summary'!A817</f>
        <v>12 WEST COAST</v>
      </c>
      <c r="B819" t="str">
        <f>'Unformatted Trip Summary'!J817</f>
        <v>2027/28</v>
      </c>
      <c r="C819" t="str">
        <f>'Unformatted Trip Summary'!I817</f>
        <v>Taxi/Vehicle Share</v>
      </c>
      <c r="D819">
        <f>'Unformatted Trip Summary'!D817</f>
        <v>12</v>
      </c>
      <c r="E819">
        <f>'Unformatted Trip Summary'!E817</f>
        <v>23</v>
      </c>
      <c r="F819" s="1">
        <f>'Unformatted Trip Summary'!F817</f>
        <v>0.37153244060000001</v>
      </c>
      <c r="G819" s="1">
        <f>'Unformatted Trip Summary'!G817</f>
        <v>2.1362118827000001</v>
      </c>
      <c r="H819" s="1">
        <f>'Unformatted Trip Summary'!H817</f>
        <v>8.3915792200000006E-2</v>
      </c>
    </row>
    <row r="820" spans="1:8" x14ac:dyDescent="0.2">
      <c r="A820" t="str">
        <f>'Unformatted Trip Summary'!A818</f>
        <v>12 WEST COAST</v>
      </c>
      <c r="B820" t="str">
        <f>'Unformatted Trip Summary'!J818</f>
        <v>2032/33</v>
      </c>
      <c r="C820" t="str">
        <f>'Unformatted Trip Summary'!I818</f>
        <v>Taxi/Vehicle Share</v>
      </c>
      <c r="D820">
        <f>'Unformatted Trip Summary'!D818</f>
        <v>12</v>
      </c>
      <c r="E820">
        <f>'Unformatted Trip Summary'!E818</f>
        <v>23</v>
      </c>
      <c r="F820" s="1">
        <f>'Unformatted Trip Summary'!F818</f>
        <v>0.35125138389999999</v>
      </c>
      <c r="G820" s="1">
        <f>'Unformatted Trip Summary'!G818</f>
        <v>2.0418595145</v>
      </c>
      <c r="H820" s="1">
        <f>'Unformatted Trip Summary'!H818</f>
        <v>7.9828835200000003E-2</v>
      </c>
    </row>
    <row r="821" spans="1:8" x14ac:dyDescent="0.2">
      <c r="A821" t="str">
        <f>'Unformatted Trip Summary'!A819</f>
        <v>12 WEST COAST</v>
      </c>
      <c r="B821" t="str">
        <f>'Unformatted Trip Summary'!J819</f>
        <v>2037/38</v>
      </c>
      <c r="C821" t="str">
        <f>'Unformatted Trip Summary'!I819</f>
        <v>Taxi/Vehicle Share</v>
      </c>
      <c r="D821">
        <f>'Unformatted Trip Summary'!D819</f>
        <v>12</v>
      </c>
      <c r="E821">
        <f>'Unformatted Trip Summary'!E819</f>
        <v>23</v>
      </c>
      <c r="F821" s="1">
        <f>'Unformatted Trip Summary'!F819</f>
        <v>0.33502515919999998</v>
      </c>
      <c r="G821" s="1">
        <f>'Unformatted Trip Summary'!G819</f>
        <v>1.9973186486000001</v>
      </c>
      <c r="H821" s="1">
        <f>'Unformatted Trip Summary'!H819</f>
        <v>7.6983086399999998E-2</v>
      </c>
    </row>
    <row r="822" spans="1:8" x14ac:dyDescent="0.2">
      <c r="A822" t="str">
        <f>'Unformatted Trip Summary'!A820</f>
        <v>12 WEST COAST</v>
      </c>
      <c r="B822" t="str">
        <f>'Unformatted Trip Summary'!J820</f>
        <v>2042/43</v>
      </c>
      <c r="C822" t="str">
        <f>'Unformatted Trip Summary'!I820</f>
        <v>Taxi/Vehicle Share</v>
      </c>
      <c r="D822">
        <f>'Unformatted Trip Summary'!D820</f>
        <v>12</v>
      </c>
      <c r="E822">
        <f>'Unformatted Trip Summary'!E820</f>
        <v>23</v>
      </c>
      <c r="F822" s="1">
        <f>'Unformatted Trip Summary'!F820</f>
        <v>0.31557281549999999</v>
      </c>
      <c r="G822" s="1">
        <f>'Unformatted Trip Summary'!G820</f>
        <v>1.9177899965</v>
      </c>
      <c r="H822" s="1">
        <f>'Unformatted Trip Summary'!H820</f>
        <v>7.3321582299999993E-2</v>
      </c>
    </row>
    <row r="823" spans="1:8" x14ac:dyDescent="0.2">
      <c r="A823" t="str">
        <f>'Unformatted Trip Summary'!A821</f>
        <v>12 WEST COAST</v>
      </c>
      <c r="B823" t="str">
        <f>'Unformatted Trip Summary'!J821</f>
        <v>2012/13</v>
      </c>
      <c r="C823" t="str">
        <f>'Unformatted Trip Summary'!I821</f>
        <v>Motorcyclist</v>
      </c>
      <c r="D823">
        <f>'Unformatted Trip Summary'!D821</f>
        <v>2</v>
      </c>
      <c r="E823">
        <f>'Unformatted Trip Summary'!E821</f>
        <v>5</v>
      </c>
      <c r="F823" s="1">
        <f>'Unformatted Trip Summary'!F821</f>
        <v>6.1723256599999998E-2</v>
      </c>
      <c r="G823" s="1">
        <f>'Unformatted Trip Summary'!G821</f>
        <v>0.29466348679999999</v>
      </c>
      <c r="H823" s="1">
        <f>'Unformatted Trip Summary'!H821</f>
        <v>9.7989774000000005E-3</v>
      </c>
    </row>
    <row r="824" spans="1:8" x14ac:dyDescent="0.2">
      <c r="A824" t="str">
        <f>'Unformatted Trip Summary'!A822</f>
        <v>12 WEST COAST</v>
      </c>
      <c r="B824" t="str">
        <f>'Unformatted Trip Summary'!J822</f>
        <v>2017/18</v>
      </c>
      <c r="C824" t="str">
        <f>'Unformatted Trip Summary'!I822</f>
        <v>Motorcyclist</v>
      </c>
      <c r="D824">
        <f>'Unformatted Trip Summary'!D822</f>
        <v>2</v>
      </c>
      <c r="E824">
        <f>'Unformatted Trip Summary'!E822</f>
        <v>5</v>
      </c>
      <c r="F824" s="1">
        <f>'Unformatted Trip Summary'!F822</f>
        <v>6.9642489899999993E-2</v>
      </c>
      <c r="G824" s="1">
        <f>'Unformatted Trip Summary'!G822</f>
        <v>0.33465396139999998</v>
      </c>
      <c r="H824" s="1">
        <f>'Unformatted Trip Summary'!H822</f>
        <v>1.11115825E-2</v>
      </c>
    </row>
    <row r="825" spans="1:8" x14ac:dyDescent="0.2">
      <c r="A825" t="str">
        <f>'Unformatted Trip Summary'!A823</f>
        <v>12 WEST COAST</v>
      </c>
      <c r="B825" t="str">
        <f>'Unformatted Trip Summary'!J823</f>
        <v>2022/23</v>
      </c>
      <c r="C825" t="str">
        <f>'Unformatted Trip Summary'!I823</f>
        <v>Motorcyclist</v>
      </c>
      <c r="D825">
        <f>'Unformatted Trip Summary'!D823</f>
        <v>2</v>
      </c>
      <c r="E825">
        <f>'Unformatted Trip Summary'!E823</f>
        <v>5</v>
      </c>
      <c r="F825" s="1">
        <f>'Unformatted Trip Summary'!F823</f>
        <v>7.3814775900000004E-2</v>
      </c>
      <c r="G825" s="1">
        <f>'Unformatted Trip Summary'!G823</f>
        <v>0.33398905550000002</v>
      </c>
      <c r="H825" s="1">
        <f>'Unformatted Trip Summary'!H823</f>
        <v>1.1252200400000001E-2</v>
      </c>
    </row>
    <row r="826" spans="1:8" x14ac:dyDescent="0.2">
      <c r="A826" t="str">
        <f>'Unformatted Trip Summary'!A824</f>
        <v>12 WEST COAST</v>
      </c>
      <c r="B826" t="str">
        <f>'Unformatted Trip Summary'!J824</f>
        <v>2027/28</v>
      </c>
      <c r="C826" t="str">
        <f>'Unformatted Trip Summary'!I824</f>
        <v>Motorcyclist</v>
      </c>
      <c r="D826">
        <f>'Unformatted Trip Summary'!D824</f>
        <v>2</v>
      </c>
      <c r="E826">
        <f>'Unformatted Trip Summary'!E824</f>
        <v>5</v>
      </c>
      <c r="F826" s="1">
        <f>'Unformatted Trip Summary'!F824</f>
        <v>8.0300450699999998E-2</v>
      </c>
      <c r="G826" s="1">
        <f>'Unformatted Trip Summary'!G824</f>
        <v>0.35008394459999997</v>
      </c>
      <c r="H826" s="1">
        <f>'Unformatted Trip Summary'!H824</f>
        <v>1.19049733E-2</v>
      </c>
    </row>
    <row r="827" spans="1:8" x14ac:dyDescent="0.2">
      <c r="A827" t="str">
        <f>'Unformatted Trip Summary'!A825</f>
        <v>12 WEST COAST</v>
      </c>
      <c r="B827" t="str">
        <f>'Unformatted Trip Summary'!J825</f>
        <v>2032/33</v>
      </c>
      <c r="C827" t="str">
        <f>'Unformatted Trip Summary'!I825</f>
        <v>Motorcyclist</v>
      </c>
      <c r="D827">
        <f>'Unformatted Trip Summary'!D825</f>
        <v>2</v>
      </c>
      <c r="E827">
        <f>'Unformatted Trip Summary'!E825</f>
        <v>5</v>
      </c>
      <c r="F827" s="1">
        <f>'Unformatted Trip Summary'!F825</f>
        <v>8.6940249499999997E-2</v>
      </c>
      <c r="G827" s="1">
        <f>'Unformatted Trip Summary'!G825</f>
        <v>0.3796002819</v>
      </c>
      <c r="H827" s="1">
        <f>'Unformatted Trip Summary'!H825</f>
        <v>1.29037818E-2</v>
      </c>
    </row>
    <row r="828" spans="1:8" x14ac:dyDescent="0.2">
      <c r="A828" t="str">
        <f>'Unformatted Trip Summary'!A826</f>
        <v>12 WEST COAST</v>
      </c>
      <c r="B828" t="str">
        <f>'Unformatted Trip Summary'!J826</f>
        <v>2037/38</v>
      </c>
      <c r="C828" t="str">
        <f>'Unformatted Trip Summary'!I826</f>
        <v>Motorcyclist</v>
      </c>
      <c r="D828">
        <f>'Unformatted Trip Summary'!D826</f>
        <v>2</v>
      </c>
      <c r="E828">
        <f>'Unformatted Trip Summary'!E826</f>
        <v>5</v>
      </c>
      <c r="F828" s="1">
        <f>'Unformatted Trip Summary'!F826</f>
        <v>9.6622111799999993E-2</v>
      </c>
      <c r="G828" s="1">
        <f>'Unformatted Trip Summary'!G826</f>
        <v>0.41878084110000002</v>
      </c>
      <c r="H828" s="1">
        <f>'Unformatted Trip Summary'!H826</f>
        <v>1.42623825E-2</v>
      </c>
    </row>
    <row r="829" spans="1:8" x14ac:dyDescent="0.2">
      <c r="A829" t="str">
        <f>'Unformatted Trip Summary'!A827</f>
        <v>12 WEST COAST</v>
      </c>
      <c r="B829" t="str">
        <f>'Unformatted Trip Summary'!J827</f>
        <v>2042/43</v>
      </c>
      <c r="C829" t="str">
        <f>'Unformatted Trip Summary'!I827</f>
        <v>Motorcyclist</v>
      </c>
      <c r="D829">
        <f>'Unformatted Trip Summary'!D827</f>
        <v>2</v>
      </c>
      <c r="E829">
        <f>'Unformatted Trip Summary'!E827</f>
        <v>5</v>
      </c>
      <c r="F829" s="1">
        <f>'Unformatted Trip Summary'!F827</f>
        <v>0.1033869503</v>
      </c>
      <c r="G829" s="1">
        <f>'Unformatted Trip Summary'!G827</f>
        <v>0.44453855530000003</v>
      </c>
      <c r="H829" s="1">
        <f>'Unformatted Trip Summary'!H827</f>
        <v>1.5170633399999999E-2</v>
      </c>
    </row>
    <row r="830" spans="1:8" x14ac:dyDescent="0.2">
      <c r="A830" t="str">
        <f>'Unformatted Trip Summary'!A828</f>
        <v>12 WEST COAST</v>
      </c>
      <c r="B830" t="str">
        <f>'Unformatted Trip Summary'!J828</f>
        <v>2012/13</v>
      </c>
      <c r="C830" t="str">
        <f>'Unformatted Trip Summary'!I828</f>
        <v>Local Bus</v>
      </c>
      <c r="D830">
        <f>'Unformatted Trip Summary'!D828</f>
        <v>15</v>
      </c>
      <c r="E830">
        <f>'Unformatted Trip Summary'!E828</f>
        <v>42</v>
      </c>
      <c r="F830" s="1">
        <f>'Unformatted Trip Summary'!F828</f>
        <v>0.50805546800000001</v>
      </c>
      <c r="G830" s="1">
        <f>'Unformatted Trip Summary'!G828</f>
        <v>6.0600083682000001</v>
      </c>
      <c r="H830" s="1">
        <f>'Unformatted Trip Summary'!H828</f>
        <v>0.18249519829999999</v>
      </c>
    </row>
    <row r="831" spans="1:8" x14ac:dyDescent="0.2">
      <c r="A831" t="str">
        <f>'Unformatted Trip Summary'!A829</f>
        <v>12 WEST COAST</v>
      </c>
      <c r="B831" t="str">
        <f>'Unformatted Trip Summary'!J829</f>
        <v>2017/18</v>
      </c>
      <c r="C831" t="str">
        <f>'Unformatted Trip Summary'!I829</f>
        <v>Local Bus</v>
      </c>
      <c r="D831">
        <f>'Unformatted Trip Summary'!D829</f>
        <v>15</v>
      </c>
      <c r="E831">
        <f>'Unformatted Trip Summary'!E829</f>
        <v>42</v>
      </c>
      <c r="F831" s="1">
        <f>'Unformatted Trip Summary'!F829</f>
        <v>0.47778818760000002</v>
      </c>
      <c r="G831" s="1">
        <f>'Unformatted Trip Summary'!G829</f>
        <v>5.7047923351999996</v>
      </c>
      <c r="H831" s="1">
        <f>'Unformatted Trip Summary'!H829</f>
        <v>0.17071645969999999</v>
      </c>
    </row>
    <row r="832" spans="1:8" x14ac:dyDescent="0.2">
      <c r="A832" t="str">
        <f>'Unformatted Trip Summary'!A830</f>
        <v>12 WEST COAST</v>
      </c>
      <c r="B832" t="str">
        <f>'Unformatted Trip Summary'!J830</f>
        <v>2022/23</v>
      </c>
      <c r="C832" t="str">
        <f>'Unformatted Trip Summary'!I830</f>
        <v>Local Bus</v>
      </c>
      <c r="D832">
        <f>'Unformatted Trip Summary'!D830</f>
        <v>15</v>
      </c>
      <c r="E832">
        <f>'Unformatted Trip Summary'!E830</f>
        <v>42</v>
      </c>
      <c r="F832" s="1">
        <f>'Unformatted Trip Summary'!F830</f>
        <v>0.42989875929999999</v>
      </c>
      <c r="G832" s="1">
        <f>'Unformatted Trip Summary'!G830</f>
        <v>5.1650288985000001</v>
      </c>
      <c r="H832" s="1">
        <f>'Unformatted Trip Summary'!H830</f>
        <v>0.15335922020000001</v>
      </c>
    </row>
    <row r="833" spans="1:8" x14ac:dyDescent="0.2">
      <c r="A833" t="str">
        <f>'Unformatted Trip Summary'!A831</f>
        <v>12 WEST COAST</v>
      </c>
      <c r="B833" t="str">
        <f>'Unformatted Trip Summary'!J831</f>
        <v>2027/28</v>
      </c>
      <c r="C833" t="str">
        <f>'Unformatted Trip Summary'!I831</f>
        <v>Local Bus</v>
      </c>
      <c r="D833">
        <f>'Unformatted Trip Summary'!D831</f>
        <v>15</v>
      </c>
      <c r="E833">
        <f>'Unformatted Trip Summary'!E831</f>
        <v>42</v>
      </c>
      <c r="F833" s="1">
        <f>'Unformatted Trip Summary'!F831</f>
        <v>0.40915025300000002</v>
      </c>
      <c r="G833" s="1">
        <f>'Unformatted Trip Summary'!G831</f>
        <v>4.8200254951000003</v>
      </c>
      <c r="H833" s="1">
        <f>'Unformatted Trip Summary'!H831</f>
        <v>0.1448215226</v>
      </c>
    </row>
    <row r="834" spans="1:8" x14ac:dyDescent="0.2">
      <c r="A834" t="str">
        <f>'Unformatted Trip Summary'!A832</f>
        <v>12 WEST COAST</v>
      </c>
      <c r="B834" t="str">
        <f>'Unformatted Trip Summary'!J832</f>
        <v>2032/33</v>
      </c>
      <c r="C834" t="str">
        <f>'Unformatted Trip Summary'!I832</f>
        <v>Local Bus</v>
      </c>
      <c r="D834">
        <f>'Unformatted Trip Summary'!D832</f>
        <v>15</v>
      </c>
      <c r="E834">
        <f>'Unformatted Trip Summary'!E832</f>
        <v>42</v>
      </c>
      <c r="F834" s="1">
        <f>'Unformatted Trip Summary'!F832</f>
        <v>0.3786649554</v>
      </c>
      <c r="G834" s="1">
        <f>'Unformatted Trip Summary'!G832</f>
        <v>4.4843690324000001</v>
      </c>
      <c r="H834" s="1">
        <f>'Unformatted Trip Summary'!H832</f>
        <v>0.1344510008</v>
      </c>
    </row>
    <row r="835" spans="1:8" x14ac:dyDescent="0.2">
      <c r="A835" t="str">
        <f>'Unformatted Trip Summary'!A833</f>
        <v>12 WEST COAST</v>
      </c>
      <c r="B835" t="str">
        <f>'Unformatted Trip Summary'!J833</f>
        <v>2037/38</v>
      </c>
      <c r="C835" t="str">
        <f>'Unformatted Trip Summary'!I833</f>
        <v>Local Bus</v>
      </c>
      <c r="D835">
        <f>'Unformatted Trip Summary'!D833</f>
        <v>15</v>
      </c>
      <c r="E835">
        <f>'Unformatted Trip Summary'!E833</f>
        <v>42</v>
      </c>
      <c r="F835" s="1">
        <f>'Unformatted Trip Summary'!F833</f>
        <v>0.34366325809999998</v>
      </c>
      <c r="G835" s="1">
        <f>'Unformatted Trip Summary'!G833</f>
        <v>4.1869241964999997</v>
      </c>
      <c r="H835" s="1">
        <f>'Unformatted Trip Summary'!H833</f>
        <v>0.1235322546</v>
      </c>
    </row>
    <row r="836" spans="1:8" x14ac:dyDescent="0.2">
      <c r="A836" t="str">
        <f>'Unformatted Trip Summary'!A834</f>
        <v>12 WEST COAST</v>
      </c>
      <c r="B836" t="str">
        <f>'Unformatted Trip Summary'!J834</f>
        <v>2042/43</v>
      </c>
      <c r="C836" t="str">
        <f>'Unformatted Trip Summary'!I834</f>
        <v>Local Bus</v>
      </c>
      <c r="D836">
        <f>'Unformatted Trip Summary'!D834</f>
        <v>15</v>
      </c>
      <c r="E836">
        <f>'Unformatted Trip Summary'!E834</f>
        <v>42</v>
      </c>
      <c r="F836" s="1">
        <f>'Unformatted Trip Summary'!F834</f>
        <v>0.31009693379999997</v>
      </c>
      <c r="G836" s="1">
        <f>'Unformatted Trip Summary'!G834</f>
        <v>3.9454781720000001</v>
      </c>
      <c r="H836" s="1">
        <f>'Unformatted Trip Summary'!H834</f>
        <v>0.1136588312</v>
      </c>
    </row>
    <row r="837" spans="1:8" x14ac:dyDescent="0.2">
      <c r="A837" t="str">
        <f>'Unformatted Trip Summary'!A835</f>
        <v>12 WEST COAST</v>
      </c>
      <c r="B837" t="str">
        <f>'Unformatted Trip Summary'!J835</f>
        <v>2012/13</v>
      </c>
      <c r="C837" t="str">
        <f>'Unformatted Trip Summary'!I835</f>
        <v>Other Household Travel</v>
      </c>
      <c r="D837">
        <f>'Unformatted Trip Summary'!D835</f>
        <v>3</v>
      </c>
      <c r="E837">
        <f>'Unformatted Trip Summary'!E835</f>
        <v>3</v>
      </c>
      <c r="F837" s="1">
        <f>'Unformatted Trip Summary'!F835</f>
        <v>2.77012627E-2</v>
      </c>
      <c r="G837" s="1">
        <f>'Unformatted Trip Summary'!G835</f>
        <v>0</v>
      </c>
      <c r="H837" s="1">
        <f>'Unformatted Trip Summary'!H835</f>
        <v>3.6766106000000001E-3</v>
      </c>
    </row>
    <row r="838" spans="1:8" x14ac:dyDescent="0.2">
      <c r="A838" t="str">
        <f>'Unformatted Trip Summary'!A836</f>
        <v>12 WEST COAST</v>
      </c>
      <c r="B838" t="str">
        <f>'Unformatted Trip Summary'!J836</f>
        <v>2017/18</v>
      </c>
      <c r="C838" t="str">
        <f>'Unformatted Trip Summary'!I836</f>
        <v>Other Household Travel</v>
      </c>
      <c r="D838">
        <f>'Unformatted Trip Summary'!D836</f>
        <v>3</v>
      </c>
      <c r="E838">
        <f>'Unformatted Trip Summary'!E836</f>
        <v>3</v>
      </c>
      <c r="F838" s="1">
        <f>'Unformatted Trip Summary'!F836</f>
        <v>2.7018696500000002E-2</v>
      </c>
      <c r="G838" s="1">
        <f>'Unformatted Trip Summary'!G836</f>
        <v>0</v>
      </c>
      <c r="H838" s="1">
        <f>'Unformatted Trip Summary'!H836</f>
        <v>3.5146218000000002E-3</v>
      </c>
    </row>
    <row r="839" spans="1:8" x14ac:dyDescent="0.2">
      <c r="A839" t="str">
        <f>'Unformatted Trip Summary'!A837</f>
        <v>12 WEST COAST</v>
      </c>
      <c r="B839" t="str">
        <f>'Unformatted Trip Summary'!J837</f>
        <v>2022/23</v>
      </c>
      <c r="C839" t="str">
        <f>'Unformatted Trip Summary'!I837</f>
        <v>Other Household Travel</v>
      </c>
      <c r="D839">
        <f>'Unformatted Trip Summary'!D837</f>
        <v>3</v>
      </c>
      <c r="E839">
        <f>'Unformatted Trip Summary'!E837</f>
        <v>3</v>
      </c>
      <c r="F839" s="1">
        <f>'Unformatted Trip Summary'!F837</f>
        <v>2.5029177400000002E-2</v>
      </c>
      <c r="G839" s="1">
        <f>'Unformatted Trip Summary'!G837</f>
        <v>0</v>
      </c>
      <c r="H839" s="1">
        <f>'Unformatted Trip Summary'!H837</f>
        <v>3.2063296000000002E-3</v>
      </c>
    </row>
    <row r="840" spans="1:8" x14ac:dyDescent="0.2">
      <c r="A840" t="str">
        <f>'Unformatted Trip Summary'!A838</f>
        <v>12 WEST COAST</v>
      </c>
      <c r="B840" t="str">
        <f>'Unformatted Trip Summary'!J838</f>
        <v>2027/28</v>
      </c>
      <c r="C840" t="str">
        <f>'Unformatted Trip Summary'!I838</f>
        <v>Other Household Travel</v>
      </c>
      <c r="D840">
        <f>'Unformatted Trip Summary'!D838</f>
        <v>3</v>
      </c>
      <c r="E840">
        <f>'Unformatted Trip Summary'!E838</f>
        <v>3</v>
      </c>
      <c r="F840" s="1">
        <f>'Unformatted Trip Summary'!F838</f>
        <v>2.1817237E-2</v>
      </c>
      <c r="G840" s="1">
        <f>'Unformatted Trip Summary'!G838</f>
        <v>0</v>
      </c>
      <c r="H840" s="1">
        <f>'Unformatted Trip Summary'!H838</f>
        <v>2.7442665000000002E-3</v>
      </c>
    </row>
    <row r="841" spans="1:8" x14ac:dyDescent="0.2">
      <c r="A841" t="str">
        <f>'Unformatted Trip Summary'!A839</f>
        <v>12 WEST COAST</v>
      </c>
      <c r="B841" t="str">
        <f>'Unformatted Trip Summary'!J839</f>
        <v>2032/33</v>
      </c>
      <c r="C841" t="str">
        <f>'Unformatted Trip Summary'!I839</f>
        <v>Other Household Travel</v>
      </c>
      <c r="D841">
        <f>'Unformatted Trip Summary'!D839</f>
        <v>3</v>
      </c>
      <c r="E841">
        <f>'Unformatted Trip Summary'!E839</f>
        <v>3</v>
      </c>
      <c r="F841" s="1">
        <f>'Unformatted Trip Summary'!F839</f>
        <v>1.96833896E-2</v>
      </c>
      <c r="G841" s="1">
        <f>'Unformatted Trip Summary'!G839</f>
        <v>0</v>
      </c>
      <c r="H841" s="1">
        <f>'Unformatted Trip Summary'!H839</f>
        <v>2.4943525000000002E-3</v>
      </c>
    </row>
    <row r="842" spans="1:8" x14ac:dyDescent="0.2">
      <c r="A842" t="str">
        <f>'Unformatted Trip Summary'!A840</f>
        <v>12 WEST COAST</v>
      </c>
      <c r="B842" t="str">
        <f>'Unformatted Trip Summary'!J840</f>
        <v>2037/38</v>
      </c>
      <c r="C842" t="str">
        <f>'Unformatted Trip Summary'!I840</f>
        <v>Other Household Travel</v>
      </c>
      <c r="D842">
        <f>'Unformatted Trip Summary'!D840</f>
        <v>3</v>
      </c>
      <c r="E842">
        <f>'Unformatted Trip Summary'!E840</f>
        <v>3</v>
      </c>
      <c r="F842" s="1">
        <f>'Unformatted Trip Summary'!F840</f>
        <v>1.9401635300000001E-2</v>
      </c>
      <c r="G842" s="1">
        <f>'Unformatted Trip Summary'!G840</f>
        <v>0</v>
      </c>
      <c r="H842" s="1">
        <f>'Unformatted Trip Summary'!H840</f>
        <v>2.5173892000000002E-3</v>
      </c>
    </row>
    <row r="843" spans="1:8" x14ac:dyDescent="0.2">
      <c r="A843" t="str">
        <f>'Unformatted Trip Summary'!A841</f>
        <v>12 WEST COAST</v>
      </c>
      <c r="B843" t="str">
        <f>'Unformatted Trip Summary'!J841</f>
        <v>2042/43</v>
      </c>
      <c r="C843" t="str">
        <f>'Unformatted Trip Summary'!I841</f>
        <v>Other Household Travel</v>
      </c>
      <c r="D843">
        <f>'Unformatted Trip Summary'!D841</f>
        <v>3</v>
      </c>
      <c r="E843">
        <f>'Unformatted Trip Summary'!E841</f>
        <v>3</v>
      </c>
      <c r="F843" s="1">
        <f>'Unformatted Trip Summary'!F841</f>
        <v>1.89575573E-2</v>
      </c>
      <c r="G843" s="1">
        <f>'Unformatted Trip Summary'!G841</f>
        <v>0</v>
      </c>
      <c r="H843" s="1">
        <f>'Unformatted Trip Summary'!H841</f>
        <v>2.5141513000000002E-3</v>
      </c>
    </row>
    <row r="844" spans="1:8" x14ac:dyDescent="0.2">
      <c r="A844" t="str">
        <f>'Unformatted Trip Summary'!A842</f>
        <v>12 WEST COAST</v>
      </c>
      <c r="B844" t="str">
        <f>'Unformatted Trip Summary'!J842</f>
        <v>2012/13</v>
      </c>
      <c r="C844" t="str">
        <f>'Unformatted Trip Summary'!I842</f>
        <v>Air/Non-Local PT</v>
      </c>
      <c r="D844">
        <f>'Unformatted Trip Summary'!D842</f>
        <v>4</v>
      </c>
      <c r="E844">
        <f>'Unformatted Trip Summary'!E842</f>
        <v>8</v>
      </c>
      <c r="F844" s="1">
        <f>'Unformatted Trip Summary'!F842</f>
        <v>0.10084271459999999</v>
      </c>
      <c r="G844" s="1">
        <f>'Unformatted Trip Summary'!G842</f>
        <v>10.387194593</v>
      </c>
      <c r="H844" s="1">
        <f>'Unformatted Trip Summary'!H842</f>
        <v>0.1870167032</v>
      </c>
    </row>
    <row r="845" spans="1:8" x14ac:dyDescent="0.2">
      <c r="A845" t="str">
        <f>'Unformatted Trip Summary'!A843</f>
        <v>12 WEST COAST</v>
      </c>
      <c r="B845" t="str">
        <f>'Unformatted Trip Summary'!J843</f>
        <v>2017/18</v>
      </c>
      <c r="C845" t="str">
        <f>'Unformatted Trip Summary'!I843</f>
        <v>Air/Non-Local PT</v>
      </c>
      <c r="D845">
        <f>'Unformatted Trip Summary'!D843</f>
        <v>4</v>
      </c>
      <c r="E845">
        <f>'Unformatted Trip Summary'!E843</f>
        <v>8</v>
      </c>
      <c r="F845" s="1">
        <f>'Unformatted Trip Summary'!F843</f>
        <v>0.1074010561</v>
      </c>
      <c r="G845" s="1">
        <f>'Unformatted Trip Summary'!G843</f>
        <v>10.925150212</v>
      </c>
      <c r="H845" s="1">
        <f>'Unformatted Trip Summary'!H843</f>
        <v>0.19993001799999999</v>
      </c>
    </row>
    <row r="846" spans="1:8" x14ac:dyDescent="0.2">
      <c r="A846" t="str">
        <f>'Unformatted Trip Summary'!A844</f>
        <v>12 WEST COAST</v>
      </c>
      <c r="B846" t="str">
        <f>'Unformatted Trip Summary'!J844</f>
        <v>2022/23</v>
      </c>
      <c r="C846" t="str">
        <f>'Unformatted Trip Summary'!I844</f>
        <v>Air/Non-Local PT</v>
      </c>
      <c r="D846">
        <f>'Unformatted Trip Summary'!D844</f>
        <v>4</v>
      </c>
      <c r="E846">
        <f>'Unformatted Trip Summary'!E844</f>
        <v>8</v>
      </c>
      <c r="F846" s="1">
        <f>'Unformatted Trip Summary'!F844</f>
        <v>0.1069310951</v>
      </c>
      <c r="G846" s="1">
        <f>'Unformatted Trip Summary'!G844</f>
        <v>10.743771552</v>
      </c>
      <c r="H846" s="1">
        <f>'Unformatted Trip Summary'!H844</f>
        <v>0.19978407979999999</v>
      </c>
    </row>
    <row r="847" spans="1:8" x14ac:dyDescent="0.2">
      <c r="A847" t="str">
        <f>'Unformatted Trip Summary'!A845</f>
        <v>12 WEST COAST</v>
      </c>
      <c r="B847" t="str">
        <f>'Unformatted Trip Summary'!J845</f>
        <v>2027/28</v>
      </c>
      <c r="C847" t="str">
        <f>'Unformatted Trip Summary'!I845</f>
        <v>Air/Non-Local PT</v>
      </c>
      <c r="D847">
        <f>'Unformatted Trip Summary'!D845</f>
        <v>4</v>
      </c>
      <c r="E847">
        <f>'Unformatted Trip Summary'!E845</f>
        <v>8</v>
      </c>
      <c r="F847" s="1">
        <f>'Unformatted Trip Summary'!F845</f>
        <v>0.10134535140000001</v>
      </c>
      <c r="G847" s="1">
        <f>'Unformatted Trip Summary'!G845</f>
        <v>9.9130599717999992</v>
      </c>
      <c r="H847" s="1">
        <f>'Unformatted Trip Summary'!H845</f>
        <v>0.1908186727</v>
      </c>
    </row>
    <row r="848" spans="1:8" x14ac:dyDescent="0.2">
      <c r="A848" t="str">
        <f>'Unformatted Trip Summary'!A846</f>
        <v>12 WEST COAST</v>
      </c>
      <c r="B848" t="str">
        <f>'Unformatted Trip Summary'!J846</f>
        <v>2032/33</v>
      </c>
      <c r="C848" t="str">
        <f>'Unformatted Trip Summary'!I846</f>
        <v>Air/Non-Local PT</v>
      </c>
      <c r="D848">
        <f>'Unformatted Trip Summary'!D846</f>
        <v>4</v>
      </c>
      <c r="E848">
        <f>'Unformatted Trip Summary'!E846</f>
        <v>8</v>
      </c>
      <c r="F848" s="1">
        <f>'Unformatted Trip Summary'!F846</f>
        <v>9.3645352599999995E-2</v>
      </c>
      <c r="G848" s="1">
        <f>'Unformatted Trip Summary'!G846</f>
        <v>8.9988426603999994</v>
      </c>
      <c r="H848" s="1">
        <f>'Unformatted Trip Summary'!H846</f>
        <v>0.17719955640000001</v>
      </c>
    </row>
    <row r="849" spans="1:8" x14ac:dyDescent="0.2">
      <c r="A849" t="str">
        <f>'Unformatted Trip Summary'!A847</f>
        <v>12 WEST COAST</v>
      </c>
      <c r="B849" t="str">
        <f>'Unformatted Trip Summary'!J847</f>
        <v>2037/38</v>
      </c>
      <c r="C849" t="str">
        <f>'Unformatted Trip Summary'!I847</f>
        <v>Air/Non-Local PT</v>
      </c>
      <c r="D849">
        <f>'Unformatted Trip Summary'!D847</f>
        <v>4</v>
      </c>
      <c r="E849">
        <f>'Unformatted Trip Summary'!E847</f>
        <v>8</v>
      </c>
      <c r="F849" s="1">
        <f>'Unformatted Trip Summary'!F847</f>
        <v>9.0981622700000001E-2</v>
      </c>
      <c r="G849" s="1">
        <f>'Unformatted Trip Summary'!G847</f>
        <v>8.6907287338000003</v>
      </c>
      <c r="H849" s="1">
        <f>'Unformatted Trip Summary'!H847</f>
        <v>0.17244368530000001</v>
      </c>
    </row>
    <row r="850" spans="1:8" x14ac:dyDescent="0.2">
      <c r="A850" t="str">
        <f>'Unformatted Trip Summary'!A848</f>
        <v>12 WEST COAST</v>
      </c>
      <c r="B850" t="str">
        <f>'Unformatted Trip Summary'!J848</f>
        <v>2042/43</v>
      </c>
      <c r="C850" t="str">
        <f>'Unformatted Trip Summary'!I848</f>
        <v>Air/Non-Local PT</v>
      </c>
      <c r="D850">
        <f>'Unformatted Trip Summary'!D848</f>
        <v>4</v>
      </c>
      <c r="E850">
        <f>'Unformatted Trip Summary'!E848</f>
        <v>8</v>
      </c>
      <c r="F850" s="1">
        <f>'Unformatted Trip Summary'!F848</f>
        <v>8.7514976499999994E-2</v>
      </c>
      <c r="G850" s="1">
        <f>'Unformatted Trip Summary'!G848</f>
        <v>8.3021090093000005</v>
      </c>
      <c r="H850" s="1">
        <f>'Unformatted Trip Summary'!H848</f>
        <v>0.1661867873</v>
      </c>
    </row>
    <row r="851" spans="1:8" x14ac:dyDescent="0.2">
      <c r="A851" t="str">
        <f>'Unformatted Trip Summary'!A849</f>
        <v>12 WEST COAST</v>
      </c>
      <c r="B851" t="str">
        <f>'Unformatted Trip Summary'!J849</f>
        <v>2012/13</v>
      </c>
      <c r="C851" t="str">
        <f>'Unformatted Trip Summary'!I849</f>
        <v>Non-Household Travel</v>
      </c>
      <c r="D851">
        <f>'Unformatted Trip Summary'!D849</f>
        <v>9</v>
      </c>
      <c r="E851">
        <f>'Unformatted Trip Summary'!E849</f>
        <v>44</v>
      </c>
      <c r="F851" s="1">
        <f>'Unformatted Trip Summary'!F849</f>
        <v>0.57649160089999996</v>
      </c>
      <c r="G851" s="1">
        <f>'Unformatted Trip Summary'!G849</f>
        <v>20.958164275000001</v>
      </c>
      <c r="H851" s="1">
        <f>'Unformatted Trip Summary'!H849</f>
        <v>0.34686230169999999</v>
      </c>
    </row>
    <row r="852" spans="1:8" x14ac:dyDescent="0.2">
      <c r="A852" t="str">
        <f>'Unformatted Trip Summary'!A850</f>
        <v>12 WEST COAST</v>
      </c>
      <c r="B852" t="str">
        <f>'Unformatted Trip Summary'!J850</f>
        <v>2017/18</v>
      </c>
      <c r="C852" t="str">
        <f>'Unformatted Trip Summary'!I850</f>
        <v>Non-Household Travel</v>
      </c>
      <c r="D852">
        <f>'Unformatted Trip Summary'!D850</f>
        <v>9</v>
      </c>
      <c r="E852">
        <f>'Unformatted Trip Summary'!E850</f>
        <v>44</v>
      </c>
      <c r="F852" s="1">
        <f>'Unformatted Trip Summary'!F850</f>
        <v>0.60895584280000004</v>
      </c>
      <c r="G852" s="1">
        <f>'Unformatted Trip Summary'!G850</f>
        <v>21.947567634999999</v>
      </c>
      <c r="H852" s="1">
        <f>'Unformatted Trip Summary'!H850</f>
        <v>0.36397977139999999</v>
      </c>
    </row>
    <row r="853" spans="1:8" x14ac:dyDescent="0.2">
      <c r="A853" t="str">
        <f>'Unformatted Trip Summary'!A851</f>
        <v>12 WEST COAST</v>
      </c>
      <c r="B853" t="str">
        <f>'Unformatted Trip Summary'!J851</f>
        <v>2022/23</v>
      </c>
      <c r="C853" t="str">
        <f>'Unformatted Trip Summary'!I851</f>
        <v>Non-Household Travel</v>
      </c>
      <c r="D853">
        <f>'Unformatted Trip Summary'!D851</f>
        <v>9</v>
      </c>
      <c r="E853">
        <f>'Unformatted Trip Summary'!E851</f>
        <v>44</v>
      </c>
      <c r="F853" s="1">
        <f>'Unformatted Trip Summary'!F851</f>
        <v>0.58656463219999999</v>
      </c>
      <c r="G853" s="1">
        <f>'Unformatted Trip Summary'!G851</f>
        <v>21.454663942</v>
      </c>
      <c r="H853" s="1">
        <f>'Unformatted Trip Summary'!H851</f>
        <v>0.35599764119999999</v>
      </c>
    </row>
    <row r="854" spans="1:8" x14ac:dyDescent="0.2">
      <c r="A854" t="str">
        <f>'Unformatted Trip Summary'!A852</f>
        <v>12 WEST COAST</v>
      </c>
      <c r="B854" t="str">
        <f>'Unformatted Trip Summary'!J852</f>
        <v>2027/28</v>
      </c>
      <c r="C854" t="str">
        <f>'Unformatted Trip Summary'!I852</f>
        <v>Non-Household Travel</v>
      </c>
      <c r="D854">
        <f>'Unformatted Trip Summary'!D852</f>
        <v>9</v>
      </c>
      <c r="E854">
        <f>'Unformatted Trip Summary'!E852</f>
        <v>44</v>
      </c>
      <c r="F854" s="1">
        <f>'Unformatted Trip Summary'!F852</f>
        <v>0.58797434469999998</v>
      </c>
      <c r="G854" s="1">
        <f>'Unformatted Trip Summary'!G852</f>
        <v>21.168929233</v>
      </c>
      <c r="H854" s="1">
        <f>'Unformatted Trip Summary'!H852</f>
        <v>0.35155902220000002</v>
      </c>
    </row>
    <row r="855" spans="1:8" x14ac:dyDescent="0.2">
      <c r="A855" t="str">
        <f>'Unformatted Trip Summary'!A853</f>
        <v>12 WEST COAST</v>
      </c>
      <c r="B855" t="str">
        <f>'Unformatted Trip Summary'!J853</f>
        <v>2032/33</v>
      </c>
      <c r="C855" t="str">
        <f>'Unformatted Trip Summary'!I853</f>
        <v>Non-Household Travel</v>
      </c>
      <c r="D855">
        <f>'Unformatted Trip Summary'!D853</f>
        <v>9</v>
      </c>
      <c r="E855">
        <f>'Unformatted Trip Summary'!E853</f>
        <v>44</v>
      </c>
      <c r="F855" s="1">
        <f>'Unformatted Trip Summary'!F853</f>
        <v>0.57154953009999998</v>
      </c>
      <c r="G855" s="1">
        <f>'Unformatted Trip Summary'!G853</f>
        <v>20.240568198999998</v>
      </c>
      <c r="H855" s="1">
        <f>'Unformatted Trip Summary'!H853</f>
        <v>0.33664419579999999</v>
      </c>
    </row>
    <row r="856" spans="1:8" x14ac:dyDescent="0.2">
      <c r="A856" t="str">
        <f>'Unformatted Trip Summary'!A854</f>
        <v>12 WEST COAST</v>
      </c>
      <c r="B856" t="str">
        <f>'Unformatted Trip Summary'!J854</f>
        <v>2037/38</v>
      </c>
      <c r="C856" t="str">
        <f>'Unformatted Trip Summary'!I854</f>
        <v>Non-Household Travel</v>
      </c>
      <c r="D856">
        <f>'Unformatted Trip Summary'!D854</f>
        <v>9</v>
      </c>
      <c r="E856">
        <f>'Unformatted Trip Summary'!E854</f>
        <v>44</v>
      </c>
      <c r="F856" s="1">
        <f>'Unformatted Trip Summary'!F854</f>
        <v>0.5564073665</v>
      </c>
      <c r="G856" s="1">
        <f>'Unformatted Trip Summary'!G854</f>
        <v>19.477442439000001</v>
      </c>
      <c r="H856" s="1">
        <f>'Unformatted Trip Summary'!H854</f>
        <v>0.3244447493</v>
      </c>
    </row>
    <row r="857" spans="1:8" x14ac:dyDescent="0.2">
      <c r="A857" t="str">
        <f>'Unformatted Trip Summary'!A855</f>
        <v>12 WEST COAST</v>
      </c>
      <c r="B857" t="str">
        <f>'Unformatted Trip Summary'!J855</f>
        <v>2042/43</v>
      </c>
      <c r="C857" t="str">
        <f>'Unformatted Trip Summary'!I855</f>
        <v>Non-Household Travel</v>
      </c>
      <c r="D857">
        <f>'Unformatted Trip Summary'!D855</f>
        <v>9</v>
      </c>
      <c r="E857">
        <f>'Unformatted Trip Summary'!E855</f>
        <v>44</v>
      </c>
      <c r="F857" s="1">
        <f>'Unformatted Trip Summary'!F855</f>
        <v>0.53249769260000002</v>
      </c>
      <c r="G857" s="1">
        <f>'Unformatted Trip Summary'!G855</f>
        <v>18.501619248000001</v>
      </c>
      <c r="H857" s="1">
        <f>'Unformatted Trip Summary'!H855</f>
        <v>0.30874484120000001</v>
      </c>
    </row>
    <row r="858" spans="1:8" x14ac:dyDescent="0.2">
      <c r="A858" t="str">
        <f>'Unformatted Trip Summary'!A856</f>
        <v>13 CANTERBURY</v>
      </c>
      <c r="B858" t="str">
        <f>'Unformatted Trip Summary'!J856</f>
        <v>2012/13</v>
      </c>
      <c r="C858" t="str">
        <f>'Unformatted Trip Summary'!I856</f>
        <v>Pedestrian</v>
      </c>
      <c r="D858">
        <f>'Unformatted Trip Summary'!D856</f>
        <v>2073</v>
      </c>
      <c r="E858">
        <f>'Unformatted Trip Summary'!E856</f>
        <v>7645</v>
      </c>
      <c r="F858" s="1">
        <f>'Unformatted Trip Summary'!F856</f>
        <v>131.04676542000001</v>
      </c>
      <c r="G858" s="1">
        <f>'Unformatted Trip Summary'!G856</f>
        <v>113.37513976</v>
      </c>
      <c r="H858" s="1">
        <f>'Unformatted Trip Summary'!H856</f>
        <v>27.07651954</v>
      </c>
    </row>
    <row r="859" spans="1:8" x14ac:dyDescent="0.2">
      <c r="A859" t="str">
        <f>'Unformatted Trip Summary'!A857</f>
        <v>13 CANTERBURY</v>
      </c>
      <c r="B859" t="str">
        <f>'Unformatted Trip Summary'!J857</f>
        <v>2017/18</v>
      </c>
      <c r="C859" t="str">
        <f>'Unformatted Trip Summary'!I857</f>
        <v>Pedestrian</v>
      </c>
      <c r="D859">
        <f>'Unformatted Trip Summary'!D857</f>
        <v>2073</v>
      </c>
      <c r="E859">
        <f>'Unformatted Trip Summary'!E857</f>
        <v>7645</v>
      </c>
      <c r="F859" s="1">
        <f>'Unformatted Trip Summary'!F857</f>
        <v>139.87883887000001</v>
      </c>
      <c r="G859" s="1">
        <f>'Unformatted Trip Summary'!G857</f>
        <v>120.90088315</v>
      </c>
      <c r="H859" s="1">
        <f>'Unformatted Trip Summary'!H857</f>
        <v>28.722952664000001</v>
      </c>
    </row>
    <row r="860" spans="1:8" x14ac:dyDescent="0.2">
      <c r="A860" t="str">
        <f>'Unformatted Trip Summary'!A858</f>
        <v>13 CANTERBURY</v>
      </c>
      <c r="B860" t="str">
        <f>'Unformatted Trip Summary'!J858</f>
        <v>2022/23</v>
      </c>
      <c r="C860" t="str">
        <f>'Unformatted Trip Summary'!I858</f>
        <v>Pedestrian</v>
      </c>
      <c r="D860">
        <f>'Unformatted Trip Summary'!D858</f>
        <v>2073</v>
      </c>
      <c r="E860">
        <f>'Unformatted Trip Summary'!E858</f>
        <v>7645</v>
      </c>
      <c r="F860" s="1">
        <f>'Unformatted Trip Summary'!F858</f>
        <v>144.34142899</v>
      </c>
      <c r="G860" s="1">
        <f>'Unformatted Trip Summary'!G858</f>
        <v>123.88668948</v>
      </c>
      <c r="H860" s="1">
        <f>'Unformatted Trip Summary'!H858</f>
        <v>29.375493978000002</v>
      </c>
    </row>
    <row r="861" spans="1:8" x14ac:dyDescent="0.2">
      <c r="A861" t="str">
        <f>'Unformatted Trip Summary'!A859</f>
        <v>13 CANTERBURY</v>
      </c>
      <c r="B861" t="str">
        <f>'Unformatted Trip Summary'!J859</f>
        <v>2027/28</v>
      </c>
      <c r="C861" t="str">
        <f>'Unformatted Trip Summary'!I859</f>
        <v>Pedestrian</v>
      </c>
      <c r="D861">
        <f>'Unformatted Trip Summary'!D859</f>
        <v>2073</v>
      </c>
      <c r="E861">
        <f>'Unformatted Trip Summary'!E859</f>
        <v>7645</v>
      </c>
      <c r="F861" s="1">
        <f>'Unformatted Trip Summary'!F859</f>
        <v>147.76217632999999</v>
      </c>
      <c r="G861" s="1">
        <f>'Unformatted Trip Summary'!G859</f>
        <v>126.12516033999999</v>
      </c>
      <c r="H861" s="1">
        <f>'Unformatted Trip Summary'!H859</f>
        <v>29.805647710999999</v>
      </c>
    </row>
    <row r="862" spans="1:8" x14ac:dyDescent="0.2">
      <c r="A862" t="str">
        <f>'Unformatted Trip Summary'!A860</f>
        <v>13 CANTERBURY</v>
      </c>
      <c r="B862" t="str">
        <f>'Unformatted Trip Summary'!J860</f>
        <v>2032/33</v>
      </c>
      <c r="C862" t="str">
        <f>'Unformatted Trip Summary'!I860</f>
        <v>Pedestrian</v>
      </c>
      <c r="D862">
        <f>'Unformatted Trip Summary'!D860</f>
        <v>2073</v>
      </c>
      <c r="E862">
        <f>'Unformatted Trip Summary'!E860</f>
        <v>7645</v>
      </c>
      <c r="F862" s="1">
        <f>'Unformatted Trip Summary'!F860</f>
        <v>149.1805209</v>
      </c>
      <c r="G862" s="1">
        <f>'Unformatted Trip Summary'!G860</f>
        <v>126.63471005</v>
      </c>
      <c r="H862" s="1">
        <f>'Unformatted Trip Summary'!H860</f>
        <v>29.891688841000001</v>
      </c>
    </row>
    <row r="863" spans="1:8" x14ac:dyDescent="0.2">
      <c r="A863" t="str">
        <f>'Unformatted Trip Summary'!A861</f>
        <v>13 CANTERBURY</v>
      </c>
      <c r="B863" t="str">
        <f>'Unformatted Trip Summary'!J861</f>
        <v>2037/38</v>
      </c>
      <c r="C863" t="str">
        <f>'Unformatted Trip Summary'!I861</f>
        <v>Pedestrian</v>
      </c>
      <c r="D863">
        <f>'Unformatted Trip Summary'!D861</f>
        <v>2073</v>
      </c>
      <c r="E863">
        <f>'Unformatted Trip Summary'!E861</f>
        <v>7645</v>
      </c>
      <c r="F863" s="1">
        <f>'Unformatted Trip Summary'!F861</f>
        <v>149.59627165000001</v>
      </c>
      <c r="G863" s="1">
        <f>'Unformatted Trip Summary'!G861</f>
        <v>126.42234645000001</v>
      </c>
      <c r="H863" s="1">
        <f>'Unformatted Trip Summary'!H861</f>
        <v>29.746314439999999</v>
      </c>
    </row>
    <row r="864" spans="1:8" x14ac:dyDescent="0.2">
      <c r="A864" t="str">
        <f>'Unformatted Trip Summary'!A862</f>
        <v>13 CANTERBURY</v>
      </c>
      <c r="B864" t="str">
        <f>'Unformatted Trip Summary'!J862</f>
        <v>2042/43</v>
      </c>
      <c r="C864" t="str">
        <f>'Unformatted Trip Summary'!I862</f>
        <v>Pedestrian</v>
      </c>
      <c r="D864">
        <f>'Unformatted Trip Summary'!D862</f>
        <v>2073</v>
      </c>
      <c r="E864">
        <f>'Unformatted Trip Summary'!E862</f>
        <v>7645</v>
      </c>
      <c r="F864" s="1">
        <f>'Unformatted Trip Summary'!F862</f>
        <v>149.49706968999999</v>
      </c>
      <c r="G864" s="1">
        <f>'Unformatted Trip Summary'!G862</f>
        <v>125.82369511</v>
      </c>
      <c r="H864" s="1">
        <f>'Unformatted Trip Summary'!H862</f>
        <v>29.517255713000001</v>
      </c>
    </row>
    <row r="865" spans="1:8" x14ac:dyDescent="0.2">
      <c r="A865" t="str">
        <f>'Unformatted Trip Summary'!A863</f>
        <v>13 CANTERBURY</v>
      </c>
      <c r="B865" t="str">
        <f>'Unformatted Trip Summary'!J863</f>
        <v>2012/13</v>
      </c>
      <c r="C865" t="str">
        <f>'Unformatted Trip Summary'!I863</f>
        <v>Cyclist</v>
      </c>
      <c r="D865">
        <f>'Unformatted Trip Summary'!D863</f>
        <v>335</v>
      </c>
      <c r="E865">
        <f>'Unformatted Trip Summary'!E863</f>
        <v>1282</v>
      </c>
      <c r="F865" s="1">
        <f>'Unformatted Trip Summary'!F863</f>
        <v>23.740018446000001</v>
      </c>
      <c r="G865" s="1">
        <f>'Unformatted Trip Summary'!G863</f>
        <v>97.023488555</v>
      </c>
      <c r="H865" s="1">
        <f>'Unformatted Trip Summary'!H863</f>
        <v>7.2445897615000003</v>
      </c>
    </row>
    <row r="866" spans="1:8" x14ac:dyDescent="0.2">
      <c r="A866" t="str">
        <f>'Unformatted Trip Summary'!A864</f>
        <v>13 CANTERBURY</v>
      </c>
      <c r="B866" t="str">
        <f>'Unformatted Trip Summary'!J864</f>
        <v>2017/18</v>
      </c>
      <c r="C866" t="str">
        <f>'Unformatted Trip Summary'!I864</f>
        <v>Cyclist</v>
      </c>
      <c r="D866">
        <f>'Unformatted Trip Summary'!D864</f>
        <v>335</v>
      </c>
      <c r="E866">
        <f>'Unformatted Trip Summary'!E864</f>
        <v>1282</v>
      </c>
      <c r="F866" s="1">
        <f>'Unformatted Trip Summary'!F864</f>
        <v>25.893010024999999</v>
      </c>
      <c r="G866" s="1">
        <f>'Unformatted Trip Summary'!G864</f>
        <v>108.33572852</v>
      </c>
      <c r="H866" s="1">
        <f>'Unformatted Trip Summary'!H864</f>
        <v>7.9757249116000004</v>
      </c>
    </row>
    <row r="867" spans="1:8" x14ac:dyDescent="0.2">
      <c r="A867" t="str">
        <f>'Unformatted Trip Summary'!A865</f>
        <v>13 CANTERBURY</v>
      </c>
      <c r="B867" t="str">
        <f>'Unformatted Trip Summary'!J865</f>
        <v>2022/23</v>
      </c>
      <c r="C867" t="str">
        <f>'Unformatted Trip Summary'!I865</f>
        <v>Cyclist</v>
      </c>
      <c r="D867">
        <f>'Unformatted Trip Summary'!D865</f>
        <v>335</v>
      </c>
      <c r="E867">
        <f>'Unformatted Trip Summary'!E865</f>
        <v>1282</v>
      </c>
      <c r="F867" s="1">
        <f>'Unformatted Trip Summary'!F865</f>
        <v>26.289217967999999</v>
      </c>
      <c r="G867" s="1">
        <f>'Unformatted Trip Summary'!G865</f>
        <v>112.15091734000001</v>
      </c>
      <c r="H867" s="1">
        <f>'Unformatted Trip Summary'!H865</f>
        <v>8.1824398347000002</v>
      </c>
    </row>
    <row r="868" spans="1:8" x14ac:dyDescent="0.2">
      <c r="A868" t="str">
        <f>'Unformatted Trip Summary'!A866</f>
        <v>13 CANTERBURY</v>
      </c>
      <c r="B868" t="str">
        <f>'Unformatted Trip Summary'!J866</f>
        <v>2027/28</v>
      </c>
      <c r="C868" t="str">
        <f>'Unformatted Trip Summary'!I866</f>
        <v>Cyclist</v>
      </c>
      <c r="D868">
        <f>'Unformatted Trip Summary'!D866</f>
        <v>335</v>
      </c>
      <c r="E868">
        <f>'Unformatted Trip Summary'!E866</f>
        <v>1282</v>
      </c>
      <c r="F868" s="1">
        <f>'Unformatted Trip Summary'!F866</f>
        <v>26.408966382999999</v>
      </c>
      <c r="G868" s="1">
        <f>'Unformatted Trip Summary'!G866</f>
        <v>114.19660073</v>
      </c>
      <c r="H868" s="1">
        <f>'Unformatted Trip Summary'!H866</f>
        <v>8.2744581967999995</v>
      </c>
    </row>
    <row r="869" spans="1:8" x14ac:dyDescent="0.2">
      <c r="A869" t="str">
        <f>'Unformatted Trip Summary'!A867</f>
        <v>13 CANTERBURY</v>
      </c>
      <c r="B869" t="str">
        <f>'Unformatted Trip Summary'!J867</f>
        <v>2032/33</v>
      </c>
      <c r="C869" t="str">
        <f>'Unformatted Trip Summary'!I867</f>
        <v>Cyclist</v>
      </c>
      <c r="D869">
        <f>'Unformatted Trip Summary'!D867</f>
        <v>335</v>
      </c>
      <c r="E869">
        <f>'Unformatted Trip Summary'!E867</f>
        <v>1282</v>
      </c>
      <c r="F869" s="1">
        <f>'Unformatted Trip Summary'!F867</f>
        <v>26.601595309</v>
      </c>
      <c r="G869" s="1">
        <f>'Unformatted Trip Summary'!G867</f>
        <v>117.52236007</v>
      </c>
      <c r="H869" s="1">
        <f>'Unformatted Trip Summary'!H867</f>
        <v>8.4252212441999994</v>
      </c>
    </row>
    <row r="870" spans="1:8" x14ac:dyDescent="0.2">
      <c r="A870" t="str">
        <f>'Unformatted Trip Summary'!A868</f>
        <v>13 CANTERBURY</v>
      </c>
      <c r="B870" t="str">
        <f>'Unformatted Trip Summary'!J868</f>
        <v>2037/38</v>
      </c>
      <c r="C870" t="str">
        <f>'Unformatted Trip Summary'!I868</f>
        <v>Cyclist</v>
      </c>
      <c r="D870">
        <f>'Unformatted Trip Summary'!D868</f>
        <v>335</v>
      </c>
      <c r="E870">
        <f>'Unformatted Trip Summary'!E868</f>
        <v>1282</v>
      </c>
      <c r="F870" s="1">
        <f>'Unformatted Trip Summary'!F868</f>
        <v>26.631394848999999</v>
      </c>
      <c r="G870" s="1">
        <f>'Unformatted Trip Summary'!G868</f>
        <v>122.09460375</v>
      </c>
      <c r="H870" s="1">
        <f>'Unformatted Trip Summary'!H868</f>
        <v>8.6139585383000004</v>
      </c>
    </row>
    <row r="871" spans="1:8" x14ac:dyDescent="0.2">
      <c r="A871" t="str">
        <f>'Unformatted Trip Summary'!A869</f>
        <v>13 CANTERBURY</v>
      </c>
      <c r="B871" t="str">
        <f>'Unformatted Trip Summary'!J869</f>
        <v>2042/43</v>
      </c>
      <c r="C871" t="str">
        <f>'Unformatted Trip Summary'!I869</f>
        <v>Cyclist</v>
      </c>
      <c r="D871">
        <f>'Unformatted Trip Summary'!D869</f>
        <v>335</v>
      </c>
      <c r="E871">
        <f>'Unformatted Trip Summary'!E869</f>
        <v>1282</v>
      </c>
      <c r="F871" s="1">
        <f>'Unformatted Trip Summary'!F869</f>
        <v>26.676731629999999</v>
      </c>
      <c r="G871" s="1">
        <f>'Unformatted Trip Summary'!G869</f>
        <v>126.94707174</v>
      </c>
      <c r="H871" s="1">
        <f>'Unformatted Trip Summary'!H869</f>
        <v>8.8166575806999994</v>
      </c>
    </row>
    <row r="872" spans="1:8" x14ac:dyDescent="0.2">
      <c r="A872" t="str">
        <f>'Unformatted Trip Summary'!A870</f>
        <v>13 CANTERBURY</v>
      </c>
      <c r="B872" t="str">
        <f>'Unformatted Trip Summary'!J870</f>
        <v>2012/13</v>
      </c>
      <c r="C872" t="str">
        <f>'Unformatted Trip Summary'!I870</f>
        <v>Light Vehicle Driver</v>
      </c>
      <c r="D872">
        <f>'Unformatted Trip Summary'!D870</f>
        <v>3326</v>
      </c>
      <c r="E872">
        <f>'Unformatted Trip Summary'!E870</f>
        <v>23816</v>
      </c>
      <c r="F872" s="1">
        <f>'Unformatted Trip Summary'!F870</f>
        <v>417.41567177000002</v>
      </c>
      <c r="G872" s="1">
        <f>'Unformatted Trip Summary'!G870</f>
        <v>3777.041205</v>
      </c>
      <c r="H872" s="1">
        <f>'Unformatted Trip Summary'!H870</f>
        <v>111.06814274</v>
      </c>
    </row>
    <row r="873" spans="1:8" x14ac:dyDescent="0.2">
      <c r="A873" t="str">
        <f>'Unformatted Trip Summary'!A871</f>
        <v>13 CANTERBURY</v>
      </c>
      <c r="B873" t="str">
        <f>'Unformatted Trip Summary'!J871</f>
        <v>2017/18</v>
      </c>
      <c r="C873" t="str">
        <f>'Unformatted Trip Summary'!I871</f>
        <v>Light Vehicle Driver</v>
      </c>
      <c r="D873">
        <f>'Unformatted Trip Summary'!D871</f>
        <v>3326</v>
      </c>
      <c r="E873">
        <f>'Unformatted Trip Summary'!E871</f>
        <v>23816</v>
      </c>
      <c r="F873" s="1">
        <f>'Unformatted Trip Summary'!F871</f>
        <v>463.87602475</v>
      </c>
      <c r="G873" s="1">
        <f>'Unformatted Trip Summary'!G871</f>
        <v>4247.5570102000001</v>
      </c>
      <c r="H873" s="1">
        <f>'Unformatted Trip Summary'!H871</f>
        <v>124.60290858</v>
      </c>
    </row>
    <row r="874" spans="1:8" x14ac:dyDescent="0.2">
      <c r="A874" t="str">
        <f>'Unformatted Trip Summary'!A872</f>
        <v>13 CANTERBURY</v>
      </c>
      <c r="B874" t="str">
        <f>'Unformatted Trip Summary'!J872</f>
        <v>2022/23</v>
      </c>
      <c r="C874" t="str">
        <f>'Unformatted Trip Summary'!I872</f>
        <v>Light Vehicle Driver</v>
      </c>
      <c r="D874">
        <f>'Unformatted Trip Summary'!D872</f>
        <v>3326</v>
      </c>
      <c r="E874">
        <f>'Unformatted Trip Summary'!E872</f>
        <v>23816</v>
      </c>
      <c r="F874" s="1">
        <f>'Unformatted Trip Summary'!F872</f>
        <v>490.26518828000002</v>
      </c>
      <c r="G874" s="1">
        <f>'Unformatted Trip Summary'!G872</f>
        <v>4502.1845037000003</v>
      </c>
      <c r="H874" s="1">
        <f>'Unformatted Trip Summary'!H872</f>
        <v>132.0495013</v>
      </c>
    </row>
    <row r="875" spans="1:8" x14ac:dyDescent="0.2">
      <c r="A875" t="str">
        <f>'Unformatted Trip Summary'!A873</f>
        <v>13 CANTERBURY</v>
      </c>
      <c r="B875" t="str">
        <f>'Unformatted Trip Summary'!J873</f>
        <v>2027/28</v>
      </c>
      <c r="C875" t="str">
        <f>'Unformatted Trip Summary'!I873</f>
        <v>Light Vehicle Driver</v>
      </c>
      <c r="D875">
        <f>'Unformatted Trip Summary'!D873</f>
        <v>3326</v>
      </c>
      <c r="E875">
        <f>'Unformatted Trip Summary'!E873</f>
        <v>23816</v>
      </c>
      <c r="F875" s="1">
        <f>'Unformatted Trip Summary'!F873</f>
        <v>520.08521201999997</v>
      </c>
      <c r="G875" s="1">
        <f>'Unformatted Trip Summary'!G873</f>
        <v>4782.0868641999996</v>
      </c>
      <c r="H875" s="1">
        <f>'Unformatted Trip Summary'!H873</f>
        <v>140.11419665</v>
      </c>
    </row>
    <row r="876" spans="1:8" x14ac:dyDescent="0.2">
      <c r="A876" t="str">
        <f>'Unformatted Trip Summary'!A874</f>
        <v>13 CANTERBURY</v>
      </c>
      <c r="B876" t="str">
        <f>'Unformatted Trip Summary'!J874</f>
        <v>2032/33</v>
      </c>
      <c r="C876" t="str">
        <f>'Unformatted Trip Summary'!I874</f>
        <v>Light Vehicle Driver</v>
      </c>
      <c r="D876">
        <f>'Unformatted Trip Summary'!D874</f>
        <v>3326</v>
      </c>
      <c r="E876">
        <f>'Unformatted Trip Summary'!E874</f>
        <v>23816</v>
      </c>
      <c r="F876" s="1">
        <f>'Unformatted Trip Summary'!F874</f>
        <v>547.62313423000001</v>
      </c>
      <c r="G876" s="1">
        <f>'Unformatted Trip Summary'!G874</f>
        <v>5046.7851957000003</v>
      </c>
      <c r="H876" s="1">
        <f>'Unformatted Trip Summary'!H874</f>
        <v>147.73481681999999</v>
      </c>
    </row>
    <row r="877" spans="1:8" x14ac:dyDescent="0.2">
      <c r="A877" t="str">
        <f>'Unformatted Trip Summary'!A875</f>
        <v>13 CANTERBURY</v>
      </c>
      <c r="B877" t="str">
        <f>'Unformatted Trip Summary'!J875</f>
        <v>2037/38</v>
      </c>
      <c r="C877" t="str">
        <f>'Unformatted Trip Summary'!I875</f>
        <v>Light Vehicle Driver</v>
      </c>
      <c r="D877">
        <f>'Unformatted Trip Summary'!D875</f>
        <v>3326</v>
      </c>
      <c r="E877">
        <f>'Unformatted Trip Summary'!E875</f>
        <v>23816</v>
      </c>
      <c r="F877" s="1">
        <f>'Unformatted Trip Summary'!F875</f>
        <v>567.95692213999996</v>
      </c>
      <c r="G877" s="1">
        <f>'Unformatted Trip Summary'!G875</f>
        <v>5250.0981497000002</v>
      </c>
      <c r="H877" s="1">
        <f>'Unformatted Trip Summary'!H875</f>
        <v>153.58575782</v>
      </c>
    </row>
    <row r="878" spans="1:8" x14ac:dyDescent="0.2">
      <c r="A878" t="str">
        <f>'Unformatted Trip Summary'!A876</f>
        <v>13 CANTERBURY</v>
      </c>
      <c r="B878" t="str">
        <f>'Unformatted Trip Summary'!J876</f>
        <v>2042/43</v>
      </c>
      <c r="C878" t="str">
        <f>'Unformatted Trip Summary'!I876</f>
        <v>Light Vehicle Driver</v>
      </c>
      <c r="D878">
        <f>'Unformatted Trip Summary'!D876</f>
        <v>3326</v>
      </c>
      <c r="E878">
        <f>'Unformatted Trip Summary'!E876</f>
        <v>23816</v>
      </c>
      <c r="F878" s="1">
        <f>'Unformatted Trip Summary'!F876</f>
        <v>585.82226996999998</v>
      </c>
      <c r="G878" s="1">
        <f>'Unformatted Trip Summary'!G876</f>
        <v>5432.0835245999997</v>
      </c>
      <c r="H878" s="1">
        <f>'Unformatted Trip Summary'!H876</f>
        <v>158.82527343000001</v>
      </c>
    </row>
    <row r="879" spans="1:8" x14ac:dyDescent="0.2">
      <c r="A879" t="str">
        <f>'Unformatted Trip Summary'!A877</f>
        <v>13 CANTERBURY</v>
      </c>
      <c r="B879" t="str">
        <f>'Unformatted Trip Summary'!J877</f>
        <v>2012/13</v>
      </c>
      <c r="C879" t="str">
        <f>'Unformatted Trip Summary'!I877</f>
        <v>Light Vehicle Passenger</v>
      </c>
      <c r="D879">
        <f>'Unformatted Trip Summary'!D877</f>
        <v>2416</v>
      </c>
      <c r="E879">
        <f>'Unformatted Trip Summary'!E877</f>
        <v>11025</v>
      </c>
      <c r="F879" s="1">
        <f>'Unformatted Trip Summary'!F877</f>
        <v>189.77500577999999</v>
      </c>
      <c r="G879" s="1">
        <f>'Unformatted Trip Summary'!G877</f>
        <v>2033.7115475000001</v>
      </c>
      <c r="H879" s="1">
        <f>'Unformatted Trip Summary'!H877</f>
        <v>53.544276449999998</v>
      </c>
    </row>
    <row r="880" spans="1:8" x14ac:dyDescent="0.2">
      <c r="A880" t="str">
        <f>'Unformatted Trip Summary'!A878</f>
        <v>13 CANTERBURY</v>
      </c>
      <c r="B880" t="str">
        <f>'Unformatted Trip Summary'!J878</f>
        <v>2017/18</v>
      </c>
      <c r="C880" t="str">
        <f>'Unformatted Trip Summary'!I878</f>
        <v>Light Vehicle Passenger</v>
      </c>
      <c r="D880">
        <f>'Unformatted Trip Summary'!D878</f>
        <v>2416</v>
      </c>
      <c r="E880">
        <f>'Unformatted Trip Summary'!E878</f>
        <v>11025</v>
      </c>
      <c r="F880" s="1">
        <f>'Unformatted Trip Summary'!F878</f>
        <v>199.97188070999999</v>
      </c>
      <c r="G880" s="1">
        <f>'Unformatted Trip Summary'!G878</f>
        <v>2174.6305008999998</v>
      </c>
      <c r="H880" s="1">
        <f>'Unformatted Trip Summary'!H878</f>
        <v>56.929317509000001</v>
      </c>
    </row>
    <row r="881" spans="1:8" x14ac:dyDescent="0.2">
      <c r="A881" t="str">
        <f>'Unformatted Trip Summary'!A879</f>
        <v>13 CANTERBURY</v>
      </c>
      <c r="B881" t="str">
        <f>'Unformatted Trip Summary'!J879</f>
        <v>2022/23</v>
      </c>
      <c r="C881" t="str">
        <f>'Unformatted Trip Summary'!I879</f>
        <v>Light Vehicle Passenger</v>
      </c>
      <c r="D881">
        <f>'Unformatted Trip Summary'!D879</f>
        <v>2416</v>
      </c>
      <c r="E881">
        <f>'Unformatted Trip Summary'!E879</f>
        <v>11025</v>
      </c>
      <c r="F881" s="1">
        <f>'Unformatted Trip Summary'!F879</f>
        <v>204.73643799000001</v>
      </c>
      <c r="G881" s="1">
        <f>'Unformatted Trip Summary'!G879</f>
        <v>2249.6574615999998</v>
      </c>
      <c r="H881" s="1">
        <f>'Unformatted Trip Summary'!H879</f>
        <v>58.623139684000002</v>
      </c>
    </row>
    <row r="882" spans="1:8" x14ac:dyDescent="0.2">
      <c r="A882" t="str">
        <f>'Unformatted Trip Summary'!A880</f>
        <v>13 CANTERBURY</v>
      </c>
      <c r="B882" t="str">
        <f>'Unformatted Trip Summary'!J880</f>
        <v>2027/28</v>
      </c>
      <c r="C882" t="str">
        <f>'Unformatted Trip Summary'!I880</f>
        <v>Light Vehicle Passenger</v>
      </c>
      <c r="D882">
        <f>'Unformatted Trip Summary'!D880</f>
        <v>2416</v>
      </c>
      <c r="E882">
        <f>'Unformatted Trip Summary'!E880</f>
        <v>11025</v>
      </c>
      <c r="F882" s="1">
        <f>'Unformatted Trip Summary'!F880</f>
        <v>210.70979213000001</v>
      </c>
      <c r="G882" s="1">
        <f>'Unformatted Trip Summary'!G880</f>
        <v>2348.2215443999999</v>
      </c>
      <c r="H882" s="1">
        <f>'Unformatted Trip Summary'!H880</f>
        <v>60.732847790000001</v>
      </c>
    </row>
    <row r="883" spans="1:8" x14ac:dyDescent="0.2">
      <c r="A883" t="str">
        <f>'Unformatted Trip Summary'!A881</f>
        <v>13 CANTERBURY</v>
      </c>
      <c r="B883" t="str">
        <f>'Unformatted Trip Summary'!J881</f>
        <v>2032/33</v>
      </c>
      <c r="C883" t="str">
        <f>'Unformatted Trip Summary'!I881</f>
        <v>Light Vehicle Passenger</v>
      </c>
      <c r="D883">
        <f>'Unformatted Trip Summary'!D881</f>
        <v>2416</v>
      </c>
      <c r="E883">
        <f>'Unformatted Trip Summary'!E881</f>
        <v>11025</v>
      </c>
      <c r="F883" s="1">
        <f>'Unformatted Trip Summary'!F881</f>
        <v>215.77018469000001</v>
      </c>
      <c r="G883" s="1">
        <f>'Unformatted Trip Summary'!G881</f>
        <v>2434.5643005000002</v>
      </c>
      <c r="H883" s="1">
        <f>'Unformatted Trip Summary'!H881</f>
        <v>62.559946758000002</v>
      </c>
    </row>
    <row r="884" spans="1:8" x14ac:dyDescent="0.2">
      <c r="A884" t="str">
        <f>'Unformatted Trip Summary'!A882</f>
        <v>13 CANTERBURY</v>
      </c>
      <c r="B884" t="str">
        <f>'Unformatted Trip Summary'!J882</f>
        <v>2037/38</v>
      </c>
      <c r="C884" t="str">
        <f>'Unformatted Trip Summary'!I882</f>
        <v>Light Vehicle Passenger</v>
      </c>
      <c r="D884">
        <f>'Unformatted Trip Summary'!D882</f>
        <v>2416</v>
      </c>
      <c r="E884">
        <f>'Unformatted Trip Summary'!E882</f>
        <v>11025</v>
      </c>
      <c r="F884" s="1">
        <f>'Unformatted Trip Summary'!F882</f>
        <v>220.02265514000001</v>
      </c>
      <c r="G884" s="1">
        <f>'Unformatted Trip Summary'!G882</f>
        <v>2507.9346903999999</v>
      </c>
      <c r="H884" s="1">
        <f>'Unformatted Trip Summary'!H882</f>
        <v>64.142092293999994</v>
      </c>
    </row>
    <row r="885" spans="1:8" x14ac:dyDescent="0.2">
      <c r="A885" t="str">
        <f>'Unformatted Trip Summary'!A883</f>
        <v>13 CANTERBURY</v>
      </c>
      <c r="B885" t="str">
        <f>'Unformatted Trip Summary'!J883</f>
        <v>2042/43</v>
      </c>
      <c r="C885" t="str">
        <f>'Unformatted Trip Summary'!I883</f>
        <v>Light Vehicle Passenger</v>
      </c>
      <c r="D885">
        <f>'Unformatted Trip Summary'!D883</f>
        <v>2416</v>
      </c>
      <c r="E885">
        <f>'Unformatted Trip Summary'!E883</f>
        <v>11025</v>
      </c>
      <c r="F885" s="1">
        <f>'Unformatted Trip Summary'!F883</f>
        <v>223.07418838000001</v>
      </c>
      <c r="G885" s="1">
        <f>'Unformatted Trip Summary'!G883</f>
        <v>2568.6781685999999</v>
      </c>
      <c r="H885" s="1">
        <f>'Unformatted Trip Summary'!H883</f>
        <v>65.400568852000006</v>
      </c>
    </row>
    <row r="886" spans="1:8" x14ac:dyDescent="0.2">
      <c r="A886" t="str">
        <f>'Unformatted Trip Summary'!A884</f>
        <v>13 CANTERBURY</v>
      </c>
      <c r="B886" t="str">
        <f>'Unformatted Trip Summary'!J884</f>
        <v>2012/13</v>
      </c>
      <c r="C886" t="str">
        <f>'Unformatted Trip Summary'!I884</f>
        <v>Taxi/Vehicle Share</v>
      </c>
      <c r="D886">
        <f>'Unformatted Trip Summary'!D884</f>
        <v>68</v>
      </c>
      <c r="E886">
        <f>'Unformatted Trip Summary'!E884</f>
        <v>116</v>
      </c>
      <c r="F886" s="1">
        <f>'Unformatted Trip Summary'!F884</f>
        <v>2.2446435044999999</v>
      </c>
      <c r="G886" s="1">
        <f>'Unformatted Trip Summary'!G884</f>
        <v>16.530142167000001</v>
      </c>
      <c r="H886" s="1">
        <f>'Unformatted Trip Summary'!H884</f>
        <v>0.86554787379999998</v>
      </c>
    </row>
    <row r="887" spans="1:8" x14ac:dyDescent="0.2">
      <c r="A887" t="str">
        <f>'Unformatted Trip Summary'!A885</f>
        <v>13 CANTERBURY</v>
      </c>
      <c r="B887" t="str">
        <f>'Unformatted Trip Summary'!J885</f>
        <v>2017/18</v>
      </c>
      <c r="C887" t="str">
        <f>'Unformatted Trip Summary'!I885</f>
        <v>Taxi/Vehicle Share</v>
      </c>
      <c r="D887">
        <f>'Unformatted Trip Summary'!D885</f>
        <v>68</v>
      </c>
      <c r="E887">
        <f>'Unformatted Trip Summary'!E885</f>
        <v>116</v>
      </c>
      <c r="F887" s="1">
        <f>'Unformatted Trip Summary'!F885</f>
        <v>2.4949027935000001</v>
      </c>
      <c r="G887" s="1">
        <f>'Unformatted Trip Summary'!G885</f>
        <v>19.080411046999998</v>
      </c>
      <c r="H887" s="1">
        <f>'Unformatted Trip Summary'!H885</f>
        <v>0.97081330389999998</v>
      </c>
    </row>
    <row r="888" spans="1:8" x14ac:dyDescent="0.2">
      <c r="A888" t="str">
        <f>'Unformatted Trip Summary'!A886</f>
        <v>13 CANTERBURY</v>
      </c>
      <c r="B888" t="str">
        <f>'Unformatted Trip Summary'!J886</f>
        <v>2022/23</v>
      </c>
      <c r="C888" t="str">
        <f>'Unformatted Trip Summary'!I886</f>
        <v>Taxi/Vehicle Share</v>
      </c>
      <c r="D888">
        <f>'Unformatted Trip Summary'!D886</f>
        <v>68</v>
      </c>
      <c r="E888">
        <f>'Unformatted Trip Summary'!E886</f>
        <v>116</v>
      </c>
      <c r="F888" s="1">
        <f>'Unformatted Trip Summary'!F886</f>
        <v>2.6358787548999998</v>
      </c>
      <c r="G888" s="1">
        <f>'Unformatted Trip Summary'!G886</f>
        <v>20.558174311999998</v>
      </c>
      <c r="H888" s="1">
        <f>'Unformatted Trip Summary'!H886</f>
        <v>1.0294593657</v>
      </c>
    </row>
    <row r="889" spans="1:8" x14ac:dyDescent="0.2">
      <c r="A889" t="str">
        <f>'Unformatted Trip Summary'!A887</f>
        <v>13 CANTERBURY</v>
      </c>
      <c r="B889" t="str">
        <f>'Unformatted Trip Summary'!J887</f>
        <v>2027/28</v>
      </c>
      <c r="C889" t="str">
        <f>'Unformatted Trip Summary'!I887</f>
        <v>Taxi/Vehicle Share</v>
      </c>
      <c r="D889">
        <f>'Unformatted Trip Summary'!D887</f>
        <v>68</v>
      </c>
      <c r="E889">
        <f>'Unformatted Trip Summary'!E887</f>
        <v>116</v>
      </c>
      <c r="F889" s="1">
        <f>'Unformatted Trip Summary'!F887</f>
        <v>2.7424498902000001</v>
      </c>
      <c r="G889" s="1">
        <f>'Unformatted Trip Summary'!G887</f>
        <v>21.589462450999999</v>
      </c>
      <c r="H889" s="1">
        <f>'Unformatted Trip Summary'!H887</f>
        <v>1.0791544012000001</v>
      </c>
    </row>
    <row r="890" spans="1:8" x14ac:dyDescent="0.2">
      <c r="A890" t="str">
        <f>'Unformatted Trip Summary'!A888</f>
        <v>13 CANTERBURY</v>
      </c>
      <c r="B890" t="str">
        <f>'Unformatted Trip Summary'!J888</f>
        <v>2032/33</v>
      </c>
      <c r="C890" t="str">
        <f>'Unformatted Trip Summary'!I888</f>
        <v>Taxi/Vehicle Share</v>
      </c>
      <c r="D890">
        <f>'Unformatted Trip Summary'!D888</f>
        <v>68</v>
      </c>
      <c r="E890">
        <f>'Unformatted Trip Summary'!E888</f>
        <v>116</v>
      </c>
      <c r="F890" s="1">
        <f>'Unformatted Trip Summary'!F888</f>
        <v>2.8434977047999999</v>
      </c>
      <c r="G890" s="1">
        <f>'Unformatted Trip Summary'!G888</f>
        <v>22.639840482</v>
      </c>
      <c r="H890" s="1">
        <f>'Unformatted Trip Summary'!H888</f>
        <v>1.1309471314999999</v>
      </c>
    </row>
    <row r="891" spans="1:8" x14ac:dyDescent="0.2">
      <c r="A891" t="str">
        <f>'Unformatted Trip Summary'!A889</f>
        <v>13 CANTERBURY</v>
      </c>
      <c r="B891" t="str">
        <f>'Unformatted Trip Summary'!J889</f>
        <v>2037/38</v>
      </c>
      <c r="C891" t="str">
        <f>'Unformatted Trip Summary'!I889</f>
        <v>Taxi/Vehicle Share</v>
      </c>
      <c r="D891">
        <f>'Unformatted Trip Summary'!D889</f>
        <v>68</v>
      </c>
      <c r="E891">
        <f>'Unformatted Trip Summary'!E889</f>
        <v>116</v>
      </c>
      <c r="F891" s="1">
        <f>'Unformatted Trip Summary'!F889</f>
        <v>2.8866748267000002</v>
      </c>
      <c r="G891" s="1">
        <f>'Unformatted Trip Summary'!G889</f>
        <v>23.394996935000002</v>
      </c>
      <c r="H891" s="1">
        <f>'Unformatted Trip Summary'!H889</f>
        <v>1.1529576387</v>
      </c>
    </row>
    <row r="892" spans="1:8" x14ac:dyDescent="0.2">
      <c r="A892" t="str">
        <f>'Unformatted Trip Summary'!A890</f>
        <v>13 CANTERBURY</v>
      </c>
      <c r="B892" t="str">
        <f>'Unformatted Trip Summary'!J890</f>
        <v>2042/43</v>
      </c>
      <c r="C892" t="str">
        <f>'Unformatted Trip Summary'!I890</f>
        <v>Taxi/Vehicle Share</v>
      </c>
      <c r="D892">
        <f>'Unformatted Trip Summary'!D890</f>
        <v>68</v>
      </c>
      <c r="E892">
        <f>'Unformatted Trip Summary'!E890</f>
        <v>116</v>
      </c>
      <c r="F892" s="1">
        <f>'Unformatted Trip Summary'!F890</f>
        <v>2.9105754959999999</v>
      </c>
      <c r="G892" s="1">
        <f>'Unformatted Trip Summary'!G890</f>
        <v>24.018800018</v>
      </c>
      <c r="H892" s="1">
        <f>'Unformatted Trip Summary'!H890</f>
        <v>1.1626688432000001</v>
      </c>
    </row>
    <row r="893" spans="1:8" x14ac:dyDescent="0.2">
      <c r="A893" t="str">
        <f>'Unformatted Trip Summary'!A891</f>
        <v>13 CANTERBURY</v>
      </c>
      <c r="B893" t="str">
        <f>'Unformatted Trip Summary'!J891</f>
        <v>2012/13</v>
      </c>
      <c r="C893" t="str">
        <f>'Unformatted Trip Summary'!I891</f>
        <v>Motorcyclist</v>
      </c>
      <c r="D893">
        <f>'Unformatted Trip Summary'!D891</f>
        <v>29</v>
      </c>
      <c r="E893">
        <f>'Unformatted Trip Summary'!E891</f>
        <v>91</v>
      </c>
      <c r="F893" s="1">
        <f>'Unformatted Trip Summary'!F891</f>
        <v>1.4451657518000001</v>
      </c>
      <c r="G893" s="1">
        <f>'Unformatted Trip Summary'!G891</f>
        <v>12.048552727000001</v>
      </c>
      <c r="H893" s="1">
        <f>'Unformatted Trip Summary'!H891</f>
        <v>0.39288238580000001</v>
      </c>
    </row>
    <row r="894" spans="1:8" x14ac:dyDescent="0.2">
      <c r="A894" t="str">
        <f>'Unformatted Trip Summary'!A892</f>
        <v>13 CANTERBURY</v>
      </c>
      <c r="B894" t="str">
        <f>'Unformatted Trip Summary'!J892</f>
        <v>2017/18</v>
      </c>
      <c r="C894" t="str">
        <f>'Unformatted Trip Summary'!I892</f>
        <v>Motorcyclist</v>
      </c>
      <c r="D894">
        <f>'Unformatted Trip Summary'!D892</f>
        <v>29</v>
      </c>
      <c r="E894">
        <f>'Unformatted Trip Summary'!E892</f>
        <v>91</v>
      </c>
      <c r="F894" s="1">
        <f>'Unformatted Trip Summary'!F892</f>
        <v>1.5876460542999999</v>
      </c>
      <c r="G894" s="1">
        <f>'Unformatted Trip Summary'!G892</f>
        <v>12.899585403</v>
      </c>
      <c r="H894" s="1">
        <f>'Unformatted Trip Summary'!H892</f>
        <v>0.42812874490000002</v>
      </c>
    </row>
    <row r="895" spans="1:8" x14ac:dyDescent="0.2">
      <c r="A895" t="str">
        <f>'Unformatted Trip Summary'!A893</f>
        <v>13 CANTERBURY</v>
      </c>
      <c r="B895" t="str">
        <f>'Unformatted Trip Summary'!J893</f>
        <v>2022/23</v>
      </c>
      <c r="C895" t="str">
        <f>'Unformatted Trip Summary'!I893</f>
        <v>Motorcyclist</v>
      </c>
      <c r="D895">
        <f>'Unformatted Trip Summary'!D893</f>
        <v>29</v>
      </c>
      <c r="E895">
        <f>'Unformatted Trip Summary'!E893</f>
        <v>91</v>
      </c>
      <c r="F895" s="1">
        <f>'Unformatted Trip Summary'!F893</f>
        <v>1.6202473163</v>
      </c>
      <c r="G895" s="1">
        <f>'Unformatted Trip Summary'!G893</f>
        <v>13.039425551000001</v>
      </c>
      <c r="H895" s="1">
        <f>'Unformatted Trip Summary'!H893</f>
        <v>0.43890673689999998</v>
      </c>
    </row>
    <row r="896" spans="1:8" x14ac:dyDescent="0.2">
      <c r="A896" t="str">
        <f>'Unformatted Trip Summary'!A894</f>
        <v>13 CANTERBURY</v>
      </c>
      <c r="B896" t="str">
        <f>'Unformatted Trip Summary'!J894</f>
        <v>2027/28</v>
      </c>
      <c r="C896" t="str">
        <f>'Unformatted Trip Summary'!I894</f>
        <v>Motorcyclist</v>
      </c>
      <c r="D896">
        <f>'Unformatted Trip Summary'!D894</f>
        <v>29</v>
      </c>
      <c r="E896">
        <f>'Unformatted Trip Summary'!E894</f>
        <v>91</v>
      </c>
      <c r="F896" s="1">
        <f>'Unformatted Trip Summary'!F894</f>
        <v>1.6510984685000001</v>
      </c>
      <c r="G896" s="1">
        <f>'Unformatted Trip Summary'!G894</f>
        <v>13.192272951</v>
      </c>
      <c r="H896" s="1">
        <f>'Unformatted Trip Summary'!H894</f>
        <v>0.45099962760000001</v>
      </c>
    </row>
    <row r="897" spans="1:8" x14ac:dyDescent="0.2">
      <c r="A897" t="str">
        <f>'Unformatted Trip Summary'!A895</f>
        <v>13 CANTERBURY</v>
      </c>
      <c r="B897" t="str">
        <f>'Unformatted Trip Summary'!J895</f>
        <v>2032/33</v>
      </c>
      <c r="C897" t="str">
        <f>'Unformatted Trip Summary'!I895</f>
        <v>Motorcyclist</v>
      </c>
      <c r="D897">
        <f>'Unformatted Trip Summary'!D895</f>
        <v>29</v>
      </c>
      <c r="E897">
        <f>'Unformatted Trip Summary'!E895</f>
        <v>91</v>
      </c>
      <c r="F897" s="1">
        <f>'Unformatted Trip Summary'!F895</f>
        <v>1.6912961432</v>
      </c>
      <c r="G897" s="1">
        <f>'Unformatted Trip Summary'!G895</f>
        <v>13.692956581000001</v>
      </c>
      <c r="H897" s="1">
        <f>'Unformatted Trip Summary'!H895</f>
        <v>0.46991251919999999</v>
      </c>
    </row>
    <row r="898" spans="1:8" x14ac:dyDescent="0.2">
      <c r="A898" t="str">
        <f>'Unformatted Trip Summary'!A896</f>
        <v>13 CANTERBURY</v>
      </c>
      <c r="B898" t="str">
        <f>'Unformatted Trip Summary'!J896</f>
        <v>2037/38</v>
      </c>
      <c r="C898" t="str">
        <f>'Unformatted Trip Summary'!I896</f>
        <v>Motorcyclist</v>
      </c>
      <c r="D898">
        <f>'Unformatted Trip Summary'!D896</f>
        <v>29</v>
      </c>
      <c r="E898">
        <f>'Unformatted Trip Summary'!E896</f>
        <v>91</v>
      </c>
      <c r="F898" s="1">
        <f>'Unformatted Trip Summary'!F896</f>
        <v>1.7704211917999999</v>
      </c>
      <c r="G898" s="1">
        <f>'Unformatted Trip Summary'!G896</f>
        <v>14.566916087999999</v>
      </c>
      <c r="H898" s="1">
        <f>'Unformatted Trip Summary'!H896</f>
        <v>0.50205906830000002</v>
      </c>
    </row>
    <row r="899" spans="1:8" x14ac:dyDescent="0.2">
      <c r="A899" t="str">
        <f>'Unformatted Trip Summary'!A897</f>
        <v>13 CANTERBURY</v>
      </c>
      <c r="B899" t="str">
        <f>'Unformatted Trip Summary'!J897</f>
        <v>2042/43</v>
      </c>
      <c r="C899" t="str">
        <f>'Unformatted Trip Summary'!I897</f>
        <v>Motorcyclist</v>
      </c>
      <c r="D899">
        <f>'Unformatted Trip Summary'!D897</f>
        <v>29</v>
      </c>
      <c r="E899">
        <f>'Unformatted Trip Summary'!E897</f>
        <v>91</v>
      </c>
      <c r="F899" s="1">
        <f>'Unformatted Trip Summary'!F897</f>
        <v>1.8397863753000001</v>
      </c>
      <c r="G899" s="1">
        <f>'Unformatted Trip Summary'!G897</f>
        <v>15.337670532000001</v>
      </c>
      <c r="H899" s="1">
        <f>'Unformatted Trip Summary'!H897</f>
        <v>0.53196939139999999</v>
      </c>
    </row>
    <row r="900" spans="1:8" x14ac:dyDescent="0.2">
      <c r="A900" t="str">
        <f>'Unformatted Trip Summary'!A898</f>
        <v>13 CANTERBURY</v>
      </c>
      <c r="B900" t="str">
        <f>'Unformatted Trip Summary'!J898</f>
        <v>2012/13</v>
      </c>
      <c r="C900" t="str">
        <f>'Unformatted Trip Summary'!I898</f>
        <v>Local Train</v>
      </c>
      <c r="D900">
        <f>'Unformatted Trip Summary'!D898</f>
        <v>1</v>
      </c>
      <c r="E900">
        <f>'Unformatted Trip Summary'!E898</f>
        <v>1</v>
      </c>
      <c r="F900" s="1">
        <f>'Unformatted Trip Summary'!F898</f>
        <v>2.1901243099999999E-2</v>
      </c>
      <c r="G900" s="1">
        <f>'Unformatted Trip Summary'!G898</f>
        <v>0</v>
      </c>
      <c r="H900" s="1">
        <f>'Unformatted Trip Summary'!H898</f>
        <v>7.3004144E-3</v>
      </c>
    </row>
    <row r="901" spans="1:8" x14ac:dyDescent="0.2">
      <c r="A901" t="str">
        <f>'Unformatted Trip Summary'!A899</f>
        <v>13 CANTERBURY</v>
      </c>
      <c r="B901" t="str">
        <f>'Unformatted Trip Summary'!J899</f>
        <v>2017/18</v>
      </c>
      <c r="C901" t="str">
        <f>'Unformatted Trip Summary'!I899</f>
        <v>Local Train</v>
      </c>
      <c r="D901">
        <f>'Unformatted Trip Summary'!D899</f>
        <v>1</v>
      </c>
      <c r="E901">
        <f>'Unformatted Trip Summary'!E899</f>
        <v>1</v>
      </c>
      <c r="F901" s="1">
        <f>'Unformatted Trip Summary'!F899</f>
        <v>2.25451279E-2</v>
      </c>
      <c r="G901" s="1">
        <f>'Unformatted Trip Summary'!G899</f>
        <v>0</v>
      </c>
      <c r="H901" s="1">
        <f>'Unformatted Trip Summary'!H899</f>
        <v>7.5150425999999998E-3</v>
      </c>
    </row>
    <row r="902" spans="1:8" x14ac:dyDescent="0.2">
      <c r="A902" t="str">
        <f>'Unformatted Trip Summary'!A900</f>
        <v>13 CANTERBURY</v>
      </c>
      <c r="B902" t="str">
        <f>'Unformatted Trip Summary'!J900</f>
        <v>2022/23</v>
      </c>
      <c r="C902" t="str">
        <f>'Unformatted Trip Summary'!I900</f>
        <v>Local Train</v>
      </c>
      <c r="D902">
        <f>'Unformatted Trip Summary'!D900</f>
        <v>1</v>
      </c>
      <c r="E902">
        <f>'Unformatted Trip Summary'!E900</f>
        <v>1</v>
      </c>
      <c r="F902" s="1">
        <f>'Unformatted Trip Summary'!F900</f>
        <v>1.9279195900000001E-2</v>
      </c>
      <c r="G902" s="1">
        <f>'Unformatted Trip Summary'!G900</f>
        <v>0</v>
      </c>
      <c r="H902" s="1">
        <f>'Unformatted Trip Summary'!H900</f>
        <v>6.4263986E-3</v>
      </c>
    </row>
    <row r="903" spans="1:8" x14ac:dyDescent="0.2">
      <c r="A903" t="str">
        <f>'Unformatted Trip Summary'!A901</f>
        <v>13 CANTERBURY</v>
      </c>
      <c r="B903" t="str">
        <f>'Unformatted Trip Summary'!J901</f>
        <v>2027/28</v>
      </c>
      <c r="C903" t="str">
        <f>'Unformatted Trip Summary'!I901</f>
        <v>Local Train</v>
      </c>
      <c r="D903">
        <f>'Unformatted Trip Summary'!D901</f>
        <v>1</v>
      </c>
      <c r="E903">
        <f>'Unformatted Trip Summary'!E901</f>
        <v>1</v>
      </c>
      <c r="F903" s="1">
        <f>'Unformatted Trip Summary'!F901</f>
        <v>1.79855854E-2</v>
      </c>
      <c r="G903" s="1">
        <f>'Unformatted Trip Summary'!G901</f>
        <v>0</v>
      </c>
      <c r="H903" s="1">
        <f>'Unformatted Trip Summary'!H901</f>
        <v>5.9951950999999996E-3</v>
      </c>
    </row>
    <row r="904" spans="1:8" x14ac:dyDescent="0.2">
      <c r="A904" t="str">
        <f>'Unformatted Trip Summary'!A902</f>
        <v>13 CANTERBURY</v>
      </c>
      <c r="B904" t="str">
        <f>'Unformatted Trip Summary'!J902</f>
        <v>2032/33</v>
      </c>
      <c r="C904" t="str">
        <f>'Unformatted Trip Summary'!I902</f>
        <v>Local Train</v>
      </c>
      <c r="D904">
        <f>'Unformatted Trip Summary'!D902</f>
        <v>1</v>
      </c>
      <c r="E904">
        <f>'Unformatted Trip Summary'!E902</f>
        <v>1</v>
      </c>
      <c r="F904" s="1">
        <f>'Unformatted Trip Summary'!F902</f>
        <v>1.7138687699999999E-2</v>
      </c>
      <c r="G904" s="1">
        <f>'Unformatted Trip Summary'!G902</f>
        <v>0</v>
      </c>
      <c r="H904" s="1">
        <f>'Unformatted Trip Summary'!H902</f>
        <v>5.7128958999999998E-3</v>
      </c>
    </row>
    <row r="905" spans="1:8" x14ac:dyDescent="0.2">
      <c r="A905" t="str">
        <f>'Unformatted Trip Summary'!A903</f>
        <v>13 CANTERBURY</v>
      </c>
      <c r="B905" t="str">
        <f>'Unformatted Trip Summary'!J903</f>
        <v>2037/38</v>
      </c>
      <c r="C905" t="str">
        <f>'Unformatted Trip Summary'!I903</f>
        <v>Local Train</v>
      </c>
      <c r="D905">
        <f>'Unformatted Trip Summary'!D903</f>
        <v>1</v>
      </c>
      <c r="E905">
        <f>'Unformatted Trip Summary'!E903</f>
        <v>1</v>
      </c>
      <c r="F905" s="1">
        <f>'Unformatted Trip Summary'!F903</f>
        <v>1.45208987E-2</v>
      </c>
      <c r="G905" s="1">
        <f>'Unformatted Trip Summary'!G903</f>
        <v>0</v>
      </c>
      <c r="H905" s="1">
        <f>'Unformatted Trip Summary'!H903</f>
        <v>4.8402996000000004E-3</v>
      </c>
    </row>
    <row r="906" spans="1:8" x14ac:dyDescent="0.2">
      <c r="A906" t="str">
        <f>'Unformatted Trip Summary'!A904</f>
        <v>13 CANTERBURY</v>
      </c>
      <c r="B906" t="str">
        <f>'Unformatted Trip Summary'!J904</f>
        <v>2042/43</v>
      </c>
      <c r="C906" t="str">
        <f>'Unformatted Trip Summary'!I904</f>
        <v>Local Train</v>
      </c>
      <c r="D906">
        <f>'Unformatted Trip Summary'!D904</f>
        <v>1</v>
      </c>
      <c r="E906">
        <f>'Unformatted Trip Summary'!E904</f>
        <v>1</v>
      </c>
      <c r="F906" s="1">
        <f>'Unformatted Trip Summary'!F904</f>
        <v>1.2069111400000001E-2</v>
      </c>
      <c r="G906" s="1">
        <f>'Unformatted Trip Summary'!G904</f>
        <v>0</v>
      </c>
      <c r="H906" s="1">
        <f>'Unformatted Trip Summary'!H904</f>
        <v>4.0230370999999997E-3</v>
      </c>
    </row>
    <row r="907" spans="1:8" x14ac:dyDescent="0.2">
      <c r="A907" t="str">
        <f>'Unformatted Trip Summary'!A905</f>
        <v>13 CANTERBURY</v>
      </c>
      <c r="B907" t="str">
        <f>'Unformatted Trip Summary'!J905</f>
        <v>2012/13</v>
      </c>
      <c r="C907" t="str">
        <f>'Unformatted Trip Summary'!I905</f>
        <v>Local Bus</v>
      </c>
      <c r="D907">
        <f>'Unformatted Trip Summary'!D905</f>
        <v>384</v>
      </c>
      <c r="E907">
        <f>'Unformatted Trip Summary'!E905</f>
        <v>1120</v>
      </c>
      <c r="F907" s="1">
        <f>'Unformatted Trip Summary'!F905</f>
        <v>20.502079716000001</v>
      </c>
      <c r="G907" s="1">
        <f>'Unformatted Trip Summary'!G905</f>
        <v>174.53993166999999</v>
      </c>
      <c r="H907" s="1">
        <f>'Unformatted Trip Summary'!H905</f>
        <v>7.9805750329</v>
      </c>
    </row>
    <row r="908" spans="1:8" x14ac:dyDescent="0.2">
      <c r="A908" t="str">
        <f>'Unformatted Trip Summary'!A906</f>
        <v>13 CANTERBURY</v>
      </c>
      <c r="B908" t="str">
        <f>'Unformatted Trip Summary'!J906</f>
        <v>2017/18</v>
      </c>
      <c r="C908" t="str">
        <f>'Unformatted Trip Summary'!I906</f>
        <v>Local Bus</v>
      </c>
      <c r="D908">
        <f>'Unformatted Trip Summary'!D906</f>
        <v>384</v>
      </c>
      <c r="E908">
        <f>'Unformatted Trip Summary'!E906</f>
        <v>1120</v>
      </c>
      <c r="F908" s="1">
        <f>'Unformatted Trip Summary'!F906</f>
        <v>20.976049086</v>
      </c>
      <c r="G908" s="1">
        <f>'Unformatted Trip Summary'!G906</f>
        <v>178.40772453</v>
      </c>
      <c r="H908" s="1">
        <f>'Unformatted Trip Summary'!H906</f>
        <v>8.1563774540999994</v>
      </c>
    </row>
    <row r="909" spans="1:8" x14ac:dyDescent="0.2">
      <c r="A909" t="str">
        <f>'Unformatted Trip Summary'!A907</f>
        <v>13 CANTERBURY</v>
      </c>
      <c r="B909" t="str">
        <f>'Unformatted Trip Summary'!J907</f>
        <v>2022/23</v>
      </c>
      <c r="C909" t="str">
        <f>'Unformatted Trip Summary'!I907</f>
        <v>Local Bus</v>
      </c>
      <c r="D909">
        <f>'Unformatted Trip Summary'!D907</f>
        <v>384</v>
      </c>
      <c r="E909">
        <f>'Unformatted Trip Summary'!E907</f>
        <v>1120</v>
      </c>
      <c r="F909" s="1">
        <f>'Unformatted Trip Summary'!F907</f>
        <v>20.901951312000001</v>
      </c>
      <c r="G909" s="1">
        <f>'Unformatted Trip Summary'!G907</f>
        <v>176.99843539</v>
      </c>
      <c r="H909" s="1">
        <f>'Unformatted Trip Summary'!H907</f>
        <v>8.1004967627000006</v>
      </c>
    </row>
    <row r="910" spans="1:8" x14ac:dyDescent="0.2">
      <c r="A910" t="str">
        <f>'Unformatted Trip Summary'!A908</f>
        <v>13 CANTERBURY</v>
      </c>
      <c r="B910" t="str">
        <f>'Unformatted Trip Summary'!J908</f>
        <v>2027/28</v>
      </c>
      <c r="C910" t="str">
        <f>'Unformatted Trip Summary'!I908</f>
        <v>Local Bus</v>
      </c>
      <c r="D910">
        <f>'Unformatted Trip Summary'!D908</f>
        <v>384</v>
      </c>
      <c r="E910">
        <f>'Unformatted Trip Summary'!E908</f>
        <v>1120</v>
      </c>
      <c r="F910" s="1">
        <f>'Unformatted Trip Summary'!F908</f>
        <v>20.780114531999999</v>
      </c>
      <c r="G910" s="1">
        <f>'Unformatted Trip Summary'!G908</f>
        <v>177.62065634000001</v>
      </c>
      <c r="H910" s="1">
        <f>'Unformatted Trip Summary'!H908</f>
        <v>8.0592093902999995</v>
      </c>
    </row>
    <row r="911" spans="1:8" x14ac:dyDescent="0.2">
      <c r="A911" t="str">
        <f>'Unformatted Trip Summary'!A909</f>
        <v>13 CANTERBURY</v>
      </c>
      <c r="B911" t="str">
        <f>'Unformatted Trip Summary'!J909</f>
        <v>2032/33</v>
      </c>
      <c r="C911" t="str">
        <f>'Unformatted Trip Summary'!I909</f>
        <v>Local Bus</v>
      </c>
      <c r="D911">
        <f>'Unformatted Trip Summary'!D909</f>
        <v>384</v>
      </c>
      <c r="E911">
        <f>'Unformatted Trip Summary'!E909</f>
        <v>1120</v>
      </c>
      <c r="F911" s="1">
        <f>'Unformatted Trip Summary'!F909</f>
        <v>20.189459515999999</v>
      </c>
      <c r="G911" s="1">
        <f>'Unformatted Trip Summary'!G909</f>
        <v>174.22242717</v>
      </c>
      <c r="H911" s="1">
        <f>'Unformatted Trip Summary'!H909</f>
        <v>7.8463710917</v>
      </c>
    </row>
    <row r="912" spans="1:8" x14ac:dyDescent="0.2">
      <c r="A912" t="str">
        <f>'Unformatted Trip Summary'!A910</f>
        <v>13 CANTERBURY</v>
      </c>
      <c r="B912" t="str">
        <f>'Unformatted Trip Summary'!J910</f>
        <v>2037/38</v>
      </c>
      <c r="C912" t="str">
        <f>'Unformatted Trip Summary'!I910</f>
        <v>Local Bus</v>
      </c>
      <c r="D912">
        <f>'Unformatted Trip Summary'!D910</f>
        <v>384</v>
      </c>
      <c r="E912">
        <f>'Unformatted Trip Summary'!E910</f>
        <v>1120</v>
      </c>
      <c r="F912" s="1">
        <f>'Unformatted Trip Summary'!F910</f>
        <v>19.612895277</v>
      </c>
      <c r="G912" s="1">
        <f>'Unformatted Trip Summary'!G910</f>
        <v>170.48597458</v>
      </c>
      <c r="H912" s="1">
        <f>'Unformatted Trip Summary'!H910</f>
        <v>7.6404426641000001</v>
      </c>
    </row>
    <row r="913" spans="1:8" x14ac:dyDescent="0.2">
      <c r="A913" t="str">
        <f>'Unformatted Trip Summary'!A911</f>
        <v>13 CANTERBURY</v>
      </c>
      <c r="B913" t="str">
        <f>'Unformatted Trip Summary'!J911</f>
        <v>2042/43</v>
      </c>
      <c r="C913" t="str">
        <f>'Unformatted Trip Summary'!I911</f>
        <v>Local Bus</v>
      </c>
      <c r="D913">
        <f>'Unformatted Trip Summary'!D911</f>
        <v>384</v>
      </c>
      <c r="E913">
        <f>'Unformatted Trip Summary'!E911</f>
        <v>1120</v>
      </c>
      <c r="F913" s="1">
        <f>'Unformatted Trip Summary'!F911</f>
        <v>18.968578354999998</v>
      </c>
      <c r="G913" s="1">
        <f>'Unformatted Trip Summary'!G911</f>
        <v>166.02331469000001</v>
      </c>
      <c r="H913" s="1">
        <f>'Unformatted Trip Summary'!H911</f>
        <v>7.4053767446999998</v>
      </c>
    </row>
    <row r="914" spans="1:8" x14ac:dyDescent="0.2">
      <c r="A914" t="str">
        <f>'Unformatted Trip Summary'!A912</f>
        <v>13 CANTERBURY</v>
      </c>
      <c r="B914" t="str">
        <f>'Unformatted Trip Summary'!J912</f>
        <v>2012/13</v>
      </c>
      <c r="C914" t="str">
        <f>'Unformatted Trip Summary'!I912</f>
        <v>Other Household Travel</v>
      </c>
      <c r="D914">
        <f>'Unformatted Trip Summary'!D912</f>
        <v>31</v>
      </c>
      <c r="E914">
        <f>'Unformatted Trip Summary'!E912</f>
        <v>81</v>
      </c>
      <c r="F914" s="1">
        <f>'Unformatted Trip Summary'!F912</f>
        <v>1.5386198845000001</v>
      </c>
      <c r="G914" s="1">
        <f>'Unformatted Trip Summary'!G912</f>
        <v>0</v>
      </c>
      <c r="H914" s="1">
        <f>'Unformatted Trip Summary'!H912</f>
        <v>0.91635513570000005</v>
      </c>
    </row>
    <row r="915" spans="1:8" x14ac:dyDescent="0.2">
      <c r="A915" t="str">
        <f>'Unformatted Trip Summary'!A913</f>
        <v>13 CANTERBURY</v>
      </c>
      <c r="B915" t="str">
        <f>'Unformatted Trip Summary'!J913</f>
        <v>2017/18</v>
      </c>
      <c r="C915" t="str">
        <f>'Unformatted Trip Summary'!I913</f>
        <v>Other Household Travel</v>
      </c>
      <c r="D915">
        <f>'Unformatted Trip Summary'!D913</f>
        <v>31</v>
      </c>
      <c r="E915">
        <f>'Unformatted Trip Summary'!E913</f>
        <v>81</v>
      </c>
      <c r="F915" s="1">
        <f>'Unformatted Trip Summary'!F913</f>
        <v>1.7127917105999999</v>
      </c>
      <c r="G915" s="1">
        <f>'Unformatted Trip Summary'!G913</f>
        <v>0</v>
      </c>
      <c r="H915" s="1">
        <f>'Unformatted Trip Summary'!H913</f>
        <v>0.9909200225</v>
      </c>
    </row>
    <row r="916" spans="1:8" x14ac:dyDescent="0.2">
      <c r="A916" t="str">
        <f>'Unformatted Trip Summary'!A914</f>
        <v>13 CANTERBURY</v>
      </c>
      <c r="B916" t="str">
        <f>'Unformatted Trip Summary'!J914</f>
        <v>2022/23</v>
      </c>
      <c r="C916" t="str">
        <f>'Unformatted Trip Summary'!I914</f>
        <v>Other Household Travel</v>
      </c>
      <c r="D916">
        <f>'Unformatted Trip Summary'!D914</f>
        <v>31</v>
      </c>
      <c r="E916">
        <f>'Unformatted Trip Summary'!E914</f>
        <v>81</v>
      </c>
      <c r="F916" s="1">
        <f>'Unformatted Trip Summary'!F914</f>
        <v>1.9060203254999999</v>
      </c>
      <c r="G916" s="1">
        <f>'Unformatted Trip Summary'!G914</f>
        <v>0</v>
      </c>
      <c r="H916" s="1">
        <f>'Unformatted Trip Summary'!H914</f>
        <v>1.0775961821</v>
      </c>
    </row>
    <row r="917" spans="1:8" x14ac:dyDescent="0.2">
      <c r="A917" t="str">
        <f>'Unformatted Trip Summary'!A915</f>
        <v>13 CANTERBURY</v>
      </c>
      <c r="B917" t="str">
        <f>'Unformatted Trip Summary'!J915</f>
        <v>2027/28</v>
      </c>
      <c r="C917" t="str">
        <f>'Unformatted Trip Summary'!I915</f>
        <v>Other Household Travel</v>
      </c>
      <c r="D917">
        <f>'Unformatted Trip Summary'!D915</f>
        <v>31</v>
      </c>
      <c r="E917">
        <f>'Unformatted Trip Summary'!E915</f>
        <v>81</v>
      </c>
      <c r="F917" s="1">
        <f>'Unformatted Trip Summary'!F915</f>
        <v>2.0824128461</v>
      </c>
      <c r="G917" s="1">
        <f>'Unformatted Trip Summary'!G915</f>
        <v>0</v>
      </c>
      <c r="H917" s="1">
        <f>'Unformatted Trip Summary'!H915</f>
        <v>1.1721689972</v>
      </c>
    </row>
    <row r="918" spans="1:8" x14ac:dyDescent="0.2">
      <c r="A918" t="str">
        <f>'Unformatted Trip Summary'!A916</f>
        <v>13 CANTERBURY</v>
      </c>
      <c r="B918" t="str">
        <f>'Unformatted Trip Summary'!J916</f>
        <v>2032/33</v>
      </c>
      <c r="C918" t="str">
        <f>'Unformatted Trip Summary'!I916</f>
        <v>Other Household Travel</v>
      </c>
      <c r="D918">
        <f>'Unformatted Trip Summary'!D916</f>
        <v>31</v>
      </c>
      <c r="E918">
        <f>'Unformatted Trip Summary'!E916</f>
        <v>81</v>
      </c>
      <c r="F918" s="1">
        <f>'Unformatted Trip Summary'!F916</f>
        <v>2.1974341884999999</v>
      </c>
      <c r="G918" s="1">
        <f>'Unformatted Trip Summary'!G916</f>
        <v>0</v>
      </c>
      <c r="H918" s="1">
        <f>'Unformatted Trip Summary'!H916</f>
        <v>1.2330493236</v>
      </c>
    </row>
    <row r="919" spans="1:8" x14ac:dyDescent="0.2">
      <c r="A919" t="str">
        <f>'Unformatted Trip Summary'!A917</f>
        <v>13 CANTERBURY</v>
      </c>
      <c r="B919" t="str">
        <f>'Unformatted Trip Summary'!J917</f>
        <v>2037/38</v>
      </c>
      <c r="C919" t="str">
        <f>'Unformatted Trip Summary'!I917</f>
        <v>Other Household Travel</v>
      </c>
      <c r="D919">
        <f>'Unformatted Trip Summary'!D917</f>
        <v>31</v>
      </c>
      <c r="E919">
        <f>'Unformatted Trip Summary'!E917</f>
        <v>81</v>
      </c>
      <c r="F919" s="1">
        <f>'Unformatted Trip Summary'!F917</f>
        <v>2.2515903822999999</v>
      </c>
      <c r="G919" s="1">
        <f>'Unformatted Trip Summary'!G917</f>
        <v>0</v>
      </c>
      <c r="H919" s="1">
        <f>'Unformatted Trip Summary'!H917</f>
        <v>1.2677750126</v>
      </c>
    </row>
    <row r="920" spans="1:8" x14ac:dyDescent="0.2">
      <c r="A920" t="str">
        <f>'Unformatted Trip Summary'!A918</f>
        <v>13 CANTERBURY</v>
      </c>
      <c r="B920" t="str">
        <f>'Unformatted Trip Summary'!J918</f>
        <v>2042/43</v>
      </c>
      <c r="C920" t="str">
        <f>'Unformatted Trip Summary'!I918</f>
        <v>Other Household Travel</v>
      </c>
      <c r="D920">
        <f>'Unformatted Trip Summary'!D918</f>
        <v>31</v>
      </c>
      <c r="E920">
        <f>'Unformatted Trip Summary'!E918</f>
        <v>81</v>
      </c>
      <c r="F920" s="1">
        <f>'Unformatted Trip Summary'!F918</f>
        <v>2.2493597086000001</v>
      </c>
      <c r="G920" s="1">
        <f>'Unformatted Trip Summary'!G918</f>
        <v>0</v>
      </c>
      <c r="H920" s="1">
        <f>'Unformatted Trip Summary'!H918</f>
        <v>1.2788737335</v>
      </c>
    </row>
    <row r="921" spans="1:8" x14ac:dyDescent="0.2">
      <c r="A921" t="str">
        <f>'Unformatted Trip Summary'!A919</f>
        <v>13 CANTERBURY</v>
      </c>
      <c r="B921" t="str">
        <f>'Unformatted Trip Summary'!J919</f>
        <v>2012/13</v>
      </c>
      <c r="C921" t="str">
        <f>'Unformatted Trip Summary'!I919</f>
        <v>Air/Non-Local PT</v>
      </c>
      <c r="D921">
        <f>'Unformatted Trip Summary'!D919</f>
        <v>99</v>
      </c>
      <c r="E921">
        <f>'Unformatted Trip Summary'!E919</f>
        <v>124</v>
      </c>
      <c r="F921" s="1">
        <f>'Unformatted Trip Summary'!F919</f>
        <v>2.4822614922000001</v>
      </c>
      <c r="G921" s="1">
        <f>'Unformatted Trip Summary'!G919</f>
        <v>66.176348546</v>
      </c>
      <c r="H921" s="1">
        <f>'Unformatted Trip Summary'!H919</f>
        <v>3.9785271960999999</v>
      </c>
    </row>
    <row r="922" spans="1:8" x14ac:dyDescent="0.2">
      <c r="A922" t="str">
        <f>'Unformatted Trip Summary'!A920</f>
        <v>13 CANTERBURY</v>
      </c>
      <c r="B922" t="str">
        <f>'Unformatted Trip Summary'!J920</f>
        <v>2017/18</v>
      </c>
      <c r="C922" t="str">
        <f>'Unformatted Trip Summary'!I920</f>
        <v>Air/Non-Local PT</v>
      </c>
      <c r="D922">
        <f>'Unformatted Trip Summary'!D920</f>
        <v>99</v>
      </c>
      <c r="E922">
        <f>'Unformatted Trip Summary'!E920</f>
        <v>124</v>
      </c>
      <c r="F922" s="1">
        <f>'Unformatted Trip Summary'!F920</f>
        <v>2.8202865860999999</v>
      </c>
      <c r="G922" s="1">
        <f>'Unformatted Trip Summary'!G920</f>
        <v>72.139859927000003</v>
      </c>
      <c r="H922" s="1">
        <f>'Unformatted Trip Summary'!H920</f>
        <v>4.6424544643000001</v>
      </c>
    </row>
    <row r="923" spans="1:8" x14ac:dyDescent="0.2">
      <c r="A923" t="str">
        <f>'Unformatted Trip Summary'!A921</f>
        <v>13 CANTERBURY</v>
      </c>
      <c r="B923" t="str">
        <f>'Unformatted Trip Summary'!J921</f>
        <v>2022/23</v>
      </c>
      <c r="C923" t="str">
        <f>'Unformatted Trip Summary'!I921</f>
        <v>Air/Non-Local PT</v>
      </c>
      <c r="D923">
        <f>'Unformatted Trip Summary'!D921</f>
        <v>99</v>
      </c>
      <c r="E923">
        <f>'Unformatted Trip Summary'!E921</f>
        <v>124</v>
      </c>
      <c r="F923" s="1">
        <f>'Unformatted Trip Summary'!F921</f>
        <v>3.0044578588999999</v>
      </c>
      <c r="G923" s="1">
        <f>'Unformatted Trip Summary'!G921</f>
        <v>72.665483019999996</v>
      </c>
      <c r="H923" s="1">
        <f>'Unformatted Trip Summary'!H921</f>
        <v>4.9764480769999997</v>
      </c>
    </row>
    <row r="924" spans="1:8" x14ac:dyDescent="0.2">
      <c r="A924" t="str">
        <f>'Unformatted Trip Summary'!A922</f>
        <v>13 CANTERBURY</v>
      </c>
      <c r="B924" t="str">
        <f>'Unformatted Trip Summary'!J922</f>
        <v>2027/28</v>
      </c>
      <c r="C924" t="str">
        <f>'Unformatted Trip Summary'!I922</f>
        <v>Air/Non-Local PT</v>
      </c>
      <c r="D924">
        <f>'Unformatted Trip Summary'!D922</f>
        <v>99</v>
      </c>
      <c r="E924">
        <f>'Unformatted Trip Summary'!E922</f>
        <v>124</v>
      </c>
      <c r="F924" s="1">
        <f>'Unformatted Trip Summary'!F922</f>
        <v>3.2298504061000002</v>
      </c>
      <c r="G924" s="1">
        <f>'Unformatted Trip Summary'!G922</f>
        <v>77.961881833999996</v>
      </c>
      <c r="H924" s="1">
        <f>'Unformatted Trip Summary'!H922</f>
        <v>5.4131920867999996</v>
      </c>
    </row>
    <row r="925" spans="1:8" x14ac:dyDescent="0.2">
      <c r="A925" t="str">
        <f>'Unformatted Trip Summary'!A923</f>
        <v>13 CANTERBURY</v>
      </c>
      <c r="B925" t="str">
        <f>'Unformatted Trip Summary'!J923</f>
        <v>2032/33</v>
      </c>
      <c r="C925" t="str">
        <f>'Unformatted Trip Summary'!I923</f>
        <v>Air/Non-Local PT</v>
      </c>
      <c r="D925">
        <f>'Unformatted Trip Summary'!D923</f>
        <v>99</v>
      </c>
      <c r="E925">
        <f>'Unformatted Trip Summary'!E923</f>
        <v>124</v>
      </c>
      <c r="F925" s="1">
        <f>'Unformatted Trip Summary'!F923</f>
        <v>3.4429711700999999</v>
      </c>
      <c r="G925" s="1">
        <f>'Unformatted Trip Summary'!G923</f>
        <v>85.989271337000005</v>
      </c>
      <c r="H925" s="1">
        <f>'Unformatted Trip Summary'!H923</f>
        <v>5.8507345446999999</v>
      </c>
    </row>
    <row r="926" spans="1:8" x14ac:dyDescent="0.2">
      <c r="A926" t="str">
        <f>'Unformatted Trip Summary'!A924</f>
        <v>13 CANTERBURY</v>
      </c>
      <c r="B926" t="str">
        <f>'Unformatted Trip Summary'!J924</f>
        <v>2037/38</v>
      </c>
      <c r="C926" t="str">
        <f>'Unformatted Trip Summary'!I924</f>
        <v>Air/Non-Local PT</v>
      </c>
      <c r="D926">
        <f>'Unformatted Trip Summary'!D924</f>
        <v>99</v>
      </c>
      <c r="E926">
        <f>'Unformatted Trip Summary'!E924</f>
        <v>124</v>
      </c>
      <c r="F926" s="1">
        <f>'Unformatted Trip Summary'!F924</f>
        <v>3.5891794347000001</v>
      </c>
      <c r="G926" s="1">
        <f>'Unformatted Trip Summary'!G924</f>
        <v>89.891042526999996</v>
      </c>
      <c r="H926" s="1">
        <f>'Unformatted Trip Summary'!H924</f>
        <v>6.0496411873999998</v>
      </c>
    </row>
    <row r="927" spans="1:8" x14ac:dyDescent="0.2">
      <c r="A927" t="str">
        <f>'Unformatted Trip Summary'!A925</f>
        <v>13 CANTERBURY</v>
      </c>
      <c r="B927" t="str">
        <f>'Unformatted Trip Summary'!J925</f>
        <v>2042/43</v>
      </c>
      <c r="C927" t="str">
        <f>'Unformatted Trip Summary'!I925</f>
        <v>Air/Non-Local PT</v>
      </c>
      <c r="D927">
        <f>'Unformatted Trip Summary'!D925</f>
        <v>99</v>
      </c>
      <c r="E927">
        <f>'Unformatted Trip Summary'!E925</f>
        <v>124</v>
      </c>
      <c r="F927" s="1">
        <f>'Unformatted Trip Summary'!F925</f>
        <v>3.7143673330999998</v>
      </c>
      <c r="G927" s="1">
        <f>'Unformatted Trip Summary'!G925</f>
        <v>92.590633752000002</v>
      </c>
      <c r="H927" s="1">
        <f>'Unformatted Trip Summary'!H925</f>
        <v>6.2065940736999998</v>
      </c>
    </row>
    <row r="928" spans="1:8" x14ac:dyDescent="0.2">
      <c r="A928" t="str">
        <f>'Unformatted Trip Summary'!A926</f>
        <v>13 CANTERBURY</v>
      </c>
      <c r="B928" t="str">
        <f>'Unformatted Trip Summary'!J926</f>
        <v>2012/13</v>
      </c>
      <c r="C928" t="str">
        <f>'Unformatted Trip Summary'!I926</f>
        <v>Non-Household Travel</v>
      </c>
      <c r="D928">
        <f>'Unformatted Trip Summary'!D926</f>
        <v>113</v>
      </c>
      <c r="E928">
        <f>'Unformatted Trip Summary'!E926</f>
        <v>551</v>
      </c>
      <c r="F928" s="1">
        <f>'Unformatted Trip Summary'!F926</f>
        <v>9.2459779483000002</v>
      </c>
      <c r="G928" s="1">
        <f>'Unformatted Trip Summary'!G926</f>
        <v>114.47945472000001</v>
      </c>
      <c r="H928" s="1">
        <f>'Unformatted Trip Summary'!H926</f>
        <v>3.3743770355999998</v>
      </c>
    </row>
    <row r="929" spans="1:8" x14ac:dyDescent="0.2">
      <c r="A929" t="str">
        <f>'Unformatted Trip Summary'!A927</f>
        <v>13 CANTERBURY</v>
      </c>
      <c r="B929" t="str">
        <f>'Unformatted Trip Summary'!J927</f>
        <v>2017/18</v>
      </c>
      <c r="C929" t="str">
        <f>'Unformatted Trip Summary'!I927</f>
        <v>Non-Household Travel</v>
      </c>
      <c r="D929">
        <f>'Unformatted Trip Summary'!D927</f>
        <v>113</v>
      </c>
      <c r="E929">
        <f>'Unformatted Trip Summary'!E927</f>
        <v>551</v>
      </c>
      <c r="F929" s="1">
        <f>'Unformatted Trip Summary'!F927</f>
        <v>10.132217392999999</v>
      </c>
      <c r="G929" s="1">
        <f>'Unformatted Trip Summary'!G927</f>
        <v>128.15034567999999</v>
      </c>
      <c r="H929" s="1">
        <f>'Unformatted Trip Summary'!H927</f>
        <v>3.7804561446</v>
      </c>
    </row>
    <row r="930" spans="1:8" x14ac:dyDescent="0.2">
      <c r="A930" t="str">
        <f>'Unformatted Trip Summary'!A928</f>
        <v>13 CANTERBURY</v>
      </c>
      <c r="B930" t="str">
        <f>'Unformatted Trip Summary'!J928</f>
        <v>2022/23</v>
      </c>
      <c r="C930" t="str">
        <f>'Unformatted Trip Summary'!I928</f>
        <v>Non-Household Travel</v>
      </c>
      <c r="D930">
        <f>'Unformatted Trip Summary'!D928</f>
        <v>113</v>
      </c>
      <c r="E930">
        <f>'Unformatted Trip Summary'!E928</f>
        <v>551</v>
      </c>
      <c r="F930" s="1">
        <f>'Unformatted Trip Summary'!F928</f>
        <v>10.455853481</v>
      </c>
      <c r="G930" s="1">
        <f>'Unformatted Trip Summary'!G928</f>
        <v>134.81727427000001</v>
      </c>
      <c r="H930" s="1">
        <f>'Unformatted Trip Summary'!H928</f>
        <v>3.9748324428999999</v>
      </c>
    </row>
    <row r="931" spans="1:8" x14ac:dyDescent="0.2">
      <c r="A931" t="str">
        <f>'Unformatted Trip Summary'!A929</f>
        <v>13 CANTERBURY</v>
      </c>
      <c r="B931" t="str">
        <f>'Unformatted Trip Summary'!J929</f>
        <v>2027/28</v>
      </c>
      <c r="C931" t="str">
        <f>'Unformatted Trip Summary'!I929</f>
        <v>Non-Household Travel</v>
      </c>
      <c r="D931">
        <f>'Unformatted Trip Summary'!D929</f>
        <v>113</v>
      </c>
      <c r="E931">
        <f>'Unformatted Trip Summary'!E929</f>
        <v>551</v>
      </c>
      <c r="F931" s="1">
        <f>'Unformatted Trip Summary'!F929</f>
        <v>10.914010849</v>
      </c>
      <c r="G931" s="1">
        <f>'Unformatted Trip Summary'!G929</f>
        <v>144.22340176</v>
      </c>
      <c r="H931" s="1">
        <f>'Unformatted Trip Summary'!H929</f>
        <v>4.2417318588999997</v>
      </c>
    </row>
    <row r="932" spans="1:8" x14ac:dyDescent="0.2">
      <c r="A932" t="str">
        <f>'Unformatted Trip Summary'!A930</f>
        <v>13 CANTERBURY</v>
      </c>
      <c r="B932" t="str">
        <f>'Unformatted Trip Summary'!J930</f>
        <v>2032/33</v>
      </c>
      <c r="C932" t="str">
        <f>'Unformatted Trip Summary'!I930</f>
        <v>Non-Household Travel</v>
      </c>
      <c r="D932">
        <f>'Unformatted Trip Summary'!D930</f>
        <v>113</v>
      </c>
      <c r="E932">
        <f>'Unformatted Trip Summary'!E930</f>
        <v>551</v>
      </c>
      <c r="F932" s="1">
        <f>'Unformatted Trip Summary'!F930</f>
        <v>11.457217774</v>
      </c>
      <c r="G932" s="1">
        <f>'Unformatted Trip Summary'!G930</f>
        <v>152.71862322999999</v>
      </c>
      <c r="H932" s="1">
        <f>'Unformatted Trip Summary'!H930</f>
        <v>4.5098216072000001</v>
      </c>
    </row>
    <row r="933" spans="1:8" x14ac:dyDescent="0.2">
      <c r="A933" t="str">
        <f>'Unformatted Trip Summary'!A931</f>
        <v>13 CANTERBURY</v>
      </c>
      <c r="B933" t="str">
        <f>'Unformatted Trip Summary'!J931</f>
        <v>2037/38</v>
      </c>
      <c r="C933" t="str">
        <f>'Unformatted Trip Summary'!I931</f>
        <v>Non-Household Travel</v>
      </c>
      <c r="D933">
        <f>'Unformatted Trip Summary'!D931</f>
        <v>113</v>
      </c>
      <c r="E933">
        <f>'Unformatted Trip Summary'!E931</f>
        <v>551</v>
      </c>
      <c r="F933" s="1">
        <f>'Unformatted Trip Summary'!F931</f>
        <v>12.031558006999999</v>
      </c>
      <c r="G933" s="1">
        <f>'Unformatted Trip Summary'!G931</f>
        <v>158.64745357999999</v>
      </c>
      <c r="H933" s="1">
        <f>'Unformatted Trip Summary'!H931</f>
        <v>4.6899094961000003</v>
      </c>
    </row>
    <row r="934" spans="1:8" x14ac:dyDescent="0.2">
      <c r="A934" t="str">
        <f>'Unformatted Trip Summary'!A932</f>
        <v>13 CANTERBURY</v>
      </c>
      <c r="B934" t="str">
        <f>'Unformatted Trip Summary'!J932</f>
        <v>2042/43</v>
      </c>
      <c r="C934" t="str">
        <f>'Unformatted Trip Summary'!I932</f>
        <v>Non-Household Travel</v>
      </c>
      <c r="D934">
        <f>'Unformatted Trip Summary'!D932</f>
        <v>113</v>
      </c>
      <c r="E934">
        <f>'Unformatted Trip Summary'!E932</f>
        <v>551</v>
      </c>
      <c r="F934" s="1">
        <f>'Unformatted Trip Summary'!F932</f>
        <v>12.582590317999999</v>
      </c>
      <c r="G934" s="1">
        <f>'Unformatted Trip Summary'!G932</f>
        <v>163.82500386000001</v>
      </c>
      <c r="H934" s="1">
        <f>'Unformatted Trip Summary'!H932</f>
        <v>4.8509682631000004</v>
      </c>
    </row>
    <row r="935" spans="1:8" x14ac:dyDescent="0.2">
      <c r="A935" t="str">
        <f>'Unformatted Trip Summary'!A933</f>
        <v>14 OTAGO</v>
      </c>
      <c r="B935" t="str">
        <f>'Unformatted Trip Summary'!J933</f>
        <v>2012/13</v>
      </c>
      <c r="C935" t="str">
        <f>'Unformatted Trip Summary'!I933</f>
        <v>Pedestrian</v>
      </c>
      <c r="D935">
        <f>'Unformatted Trip Summary'!D933</f>
        <v>545</v>
      </c>
      <c r="E935">
        <f>'Unformatted Trip Summary'!E933</f>
        <v>2150</v>
      </c>
      <c r="F935" s="1">
        <f>'Unformatted Trip Summary'!F933</f>
        <v>58.261736425999999</v>
      </c>
      <c r="G935" s="1">
        <f>'Unformatted Trip Summary'!G933</f>
        <v>45.829100335</v>
      </c>
      <c r="H935" s="1">
        <f>'Unformatted Trip Summary'!H933</f>
        <v>11.651603939999999</v>
      </c>
    </row>
    <row r="936" spans="1:8" x14ac:dyDescent="0.2">
      <c r="A936" t="str">
        <f>'Unformatted Trip Summary'!A934</f>
        <v>14 OTAGO</v>
      </c>
      <c r="B936" t="str">
        <f>'Unformatted Trip Summary'!J934</f>
        <v>2017/18</v>
      </c>
      <c r="C936" t="str">
        <f>'Unformatted Trip Summary'!I934</f>
        <v>Pedestrian</v>
      </c>
      <c r="D936">
        <f>'Unformatted Trip Summary'!D934</f>
        <v>545</v>
      </c>
      <c r="E936">
        <f>'Unformatted Trip Summary'!E934</f>
        <v>2150</v>
      </c>
      <c r="F936" s="1">
        <f>'Unformatted Trip Summary'!F934</f>
        <v>60.796851795000002</v>
      </c>
      <c r="G936" s="1">
        <f>'Unformatted Trip Summary'!G934</f>
        <v>47.386578110000002</v>
      </c>
      <c r="H936" s="1">
        <f>'Unformatted Trip Summary'!H934</f>
        <v>12.214177555999999</v>
      </c>
    </row>
    <row r="937" spans="1:8" x14ac:dyDescent="0.2">
      <c r="A937" t="str">
        <f>'Unformatted Trip Summary'!A935</f>
        <v>14 OTAGO</v>
      </c>
      <c r="B937" t="str">
        <f>'Unformatted Trip Summary'!J935</f>
        <v>2022/23</v>
      </c>
      <c r="C937" t="str">
        <f>'Unformatted Trip Summary'!I935</f>
        <v>Pedestrian</v>
      </c>
      <c r="D937">
        <f>'Unformatted Trip Summary'!D935</f>
        <v>545</v>
      </c>
      <c r="E937">
        <f>'Unformatted Trip Summary'!E935</f>
        <v>2150</v>
      </c>
      <c r="F937" s="1">
        <f>'Unformatted Trip Summary'!F935</f>
        <v>61.997126135999999</v>
      </c>
      <c r="G937" s="1">
        <f>'Unformatted Trip Summary'!G935</f>
        <v>47.982172128999999</v>
      </c>
      <c r="H937" s="1">
        <f>'Unformatted Trip Summary'!H935</f>
        <v>12.505704363</v>
      </c>
    </row>
    <row r="938" spans="1:8" x14ac:dyDescent="0.2">
      <c r="A938" t="str">
        <f>'Unformatted Trip Summary'!A936</f>
        <v>14 OTAGO</v>
      </c>
      <c r="B938" t="str">
        <f>'Unformatted Trip Summary'!J936</f>
        <v>2027/28</v>
      </c>
      <c r="C938" t="str">
        <f>'Unformatted Trip Summary'!I936</f>
        <v>Pedestrian</v>
      </c>
      <c r="D938">
        <f>'Unformatted Trip Summary'!D936</f>
        <v>545</v>
      </c>
      <c r="E938">
        <f>'Unformatted Trip Summary'!E936</f>
        <v>2150</v>
      </c>
      <c r="F938" s="1">
        <f>'Unformatted Trip Summary'!F936</f>
        <v>63.096424122000002</v>
      </c>
      <c r="G938" s="1">
        <f>'Unformatted Trip Summary'!G936</f>
        <v>48.494361771000001</v>
      </c>
      <c r="H938" s="1">
        <f>'Unformatted Trip Summary'!H936</f>
        <v>12.806522933</v>
      </c>
    </row>
    <row r="939" spans="1:8" x14ac:dyDescent="0.2">
      <c r="A939" t="str">
        <f>'Unformatted Trip Summary'!A937</f>
        <v>14 OTAGO</v>
      </c>
      <c r="B939" t="str">
        <f>'Unformatted Trip Summary'!J937</f>
        <v>2032/33</v>
      </c>
      <c r="C939" t="str">
        <f>'Unformatted Trip Summary'!I937</f>
        <v>Pedestrian</v>
      </c>
      <c r="D939">
        <f>'Unformatted Trip Summary'!D937</f>
        <v>545</v>
      </c>
      <c r="E939">
        <f>'Unformatted Trip Summary'!E937</f>
        <v>2150</v>
      </c>
      <c r="F939" s="1">
        <f>'Unformatted Trip Summary'!F937</f>
        <v>63.810719028999998</v>
      </c>
      <c r="G939" s="1">
        <f>'Unformatted Trip Summary'!G937</f>
        <v>48.675925939000003</v>
      </c>
      <c r="H939" s="1">
        <f>'Unformatted Trip Summary'!H937</f>
        <v>13.020800356000001</v>
      </c>
    </row>
    <row r="940" spans="1:8" x14ac:dyDescent="0.2">
      <c r="A940" t="str">
        <f>'Unformatted Trip Summary'!A938</f>
        <v>14 OTAGO</v>
      </c>
      <c r="B940" t="str">
        <f>'Unformatted Trip Summary'!J938</f>
        <v>2037/38</v>
      </c>
      <c r="C940" t="str">
        <f>'Unformatted Trip Summary'!I938</f>
        <v>Pedestrian</v>
      </c>
      <c r="D940">
        <f>'Unformatted Trip Summary'!D938</f>
        <v>545</v>
      </c>
      <c r="E940">
        <f>'Unformatted Trip Summary'!E938</f>
        <v>2150</v>
      </c>
      <c r="F940" s="1">
        <f>'Unformatted Trip Summary'!F938</f>
        <v>63.807855162000003</v>
      </c>
      <c r="G940" s="1">
        <f>'Unformatted Trip Summary'!G938</f>
        <v>48.666016442</v>
      </c>
      <c r="H940" s="1">
        <f>'Unformatted Trip Summary'!H938</f>
        <v>13.153838731</v>
      </c>
    </row>
    <row r="941" spans="1:8" x14ac:dyDescent="0.2">
      <c r="A941" t="str">
        <f>'Unformatted Trip Summary'!A939</f>
        <v>14 OTAGO</v>
      </c>
      <c r="B941" t="str">
        <f>'Unformatted Trip Summary'!J939</f>
        <v>2042/43</v>
      </c>
      <c r="C941" t="str">
        <f>'Unformatted Trip Summary'!I939</f>
        <v>Pedestrian</v>
      </c>
      <c r="D941">
        <f>'Unformatted Trip Summary'!D939</f>
        <v>545</v>
      </c>
      <c r="E941">
        <f>'Unformatted Trip Summary'!E939</f>
        <v>2150</v>
      </c>
      <c r="F941" s="1">
        <f>'Unformatted Trip Summary'!F939</f>
        <v>63.751514180000001</v>
      </c>
      <c r="G941" s="1">
        <f>'Unformatted Trip Summary'!G939</f>
        <v>48.694438234000003</v>
      </c>
      <c r="H941" s="1">
        <f>'Unformatted Trip Summary'!H939</f>
        <v>13.292517348000001</v>
      </c>
    </row>
    <row r="942" spans="1:8" x14ac:dyDescent="0.2">
      <c r="A942" t="str">
        <f>'Unformatted Trip Summary'!A940</f>
        <v>14 OTAGO</v>
      </c>
      <c r="B942" t="str">
        <f>'Unformatted Trip Summary'!J940</f>
        <v>2012/13</v>
      </c>
      <c r="C942" t="str">
        <f>'Unformatted Trip Summary'!I940</f>
        <v>Cyclist</v>
      </c>
      <c r="D942">
        <f>'Unformatted Trip Summary'!D940</f>
        <v>52</v>
      </c>
      <c r="E942">
        <f>'Unformatted Trip Summary'!E940</f>
        <v>151</v>
      </c>
      <c r="F942" s="1">
        <f>'Unformatted Trip Summary'!F940</f>
        <v>4.5847179276999999</v>
      </c>
      <c r="G942" s="1">
        <f>'Unformatted Trip Summary'!G940</f>
        <v>16.325352069000001</v>
      </c>
      <c r="H942" s="1">
        <f>'Unformatted Trip Summary'!H940</f>
        <v>1.6089304994</v>
      </c>
    </row>
    <row r="943" spans="1:8" x14ac:dyDescent="0.2">
      <c r="A943" t="str">
        <f>'Unformatted Trip Summary'!A941</f>
        <v>14 OTAGO</v>
      </c>
      <c r="B943" t="str">
        <f>'Unformatted Trip Summary'!J941</f>
        <v>2017/18</v>
      </c>
      <c r="C943" t="str">
        <f>'Unformatted Trip Summary'!I941</f>
        <v>Cyclist</v>
      </c>
      <c r="D943">
        <f>'Unformatted Trip Summary'!D941</f>
        <v>52</v>
      </c>
      <c r="E943">
        <f>'Unformatted Trip Summary'!E941</f>
        <v>151</v>
      </c>
      <c r="F943" s="1">
        <f>'Unformatted Trip Summary'!F941</f>
        <v>4.8412559068999999</v>
      </c>
      <c r="G943" s="1">
        <f>'Unformatted Trip Summary'!G941</f>
        <v>18.235197306</v>
      </c>
      <c r="H943" s="1">
        <f>'Unformatted Trip Summary'!H941</f>
        <v>1.7679523156000001</v>
      </c>
    </row>
    <row r="944" spans="1:8" x14ac:dyDescent="0.2">
      <c r="A944" t="str">
        <f>'Unformatted Trip Summary'!A942</f>
        <v>14 OTAGO</v>
      </c>
      <c r="B944" t="str">
        <f>'Unformatted Trip Summary'!J942</f>
        <v>2022/23</v>
      </c>
      <c r="C944" t="str">
        <f>'Unformatted Trip Summary'!I942</f>
        <v>Cyclist</v>
      </c>
      <c r="D944">
        <f>'Unformatted Trip Summary'!D942</f>
        <v>52</v>
      </c>
      <c r="E944">
        <f>'Unformatted Trip Summary'!E942</f>
        <v>151</v>
      </c>
      <c r="F944" s="1">
        <f>'Unformatted Trip Summary'!F942</f>
        <v>4.9191726513000003</v>
      </c>
      <c r="G944" s="1">
        <f>'Unformatted Trip Summary'!G942</f>
        <v>19.362682027999998</v>
      </c>
      <c r="H944" s="1">
        <f>'Unformatted Trip Summary'!H942</f>
        <v>1.8549613444999999</v>
      </c>
    </row>
    <row r="945" spans="1:8" x14ac:dyDescent="0.2">
      <c r="A945" t="str">
        <f>'Unformatted Trip Summary'!A943</f>
        <v>14 OTAGO</v>
      </c>
      <c r="B945" t="str">
        <f>'Unformatted Trip Summary'!J943</f>
        <v>2027/28</v>
      </c>
      <c r="C945" t="str">
        <f>'Unformatted Trip Summary'!I943</f>
        <v>Cyclist</v>
      </c>
      <c r="D945">
        <f>'Unformatted Trip Summary'!D943</f>
        <v>52</v>
      </c>
      <c r="E945">
        <f>'Unformatted Trip Summary'!E943</f>
        <v>151</v>
      </c>
      <c r="F945" s="1">
        <f>'Unformatted Trip Summary'!F943</f>
        <v>4.8681877093999999</v>
      </c>
      <c r="G945" s="1">
        <f>'Unformatted Trip Summary'!G943</f>
        <v>19.949418475000002</v>
      </c>
      <c r="H945" s="1">
        <f>'Unformatted Trip Summary'!H943</f>
        <v>1.8767371718999999</v>
      </c>
    </row>
    <row r="946" spans="1:8" x14ac:dyDescent="0.2">
      <c r="A946" t="str">
        <f>'Unformatted Trip Summary'!A944</f>
        <v>14 OTAGO</v>
      </c>
      <c r="B946" t="str">
        <f>'Unformatted Trip Summary'!J944</f>
        <v>2032/33</v>
      </c>
      <c r="C946" t="str">
        <f>'Unformatted Trip Summary'!I944</f>
        <v>Cyclist</v>
      </c>
      <c r="D946">
        <f>'Unformatted Trip Summary'!D944</f>
        <v>52</v>
      </c>
      <c r="E946">
        <f>'Unformatted Trip Summary'!E944</f>
        <v>151</v>
      </c>
      <c r="F946" s="1">
        <f>'Unformatted Trip Summary'!F944</f>
        <v>4.8851595028999997</v>
      </c>
      <c r="G946" s="1">
        <f>'Unformatted Trip Summary'!G944</f>
        <v>20.437167242000001</v>
      </c>
      <c r="H946" s="1">
        <f>'Unformatted Trip Summary'!H944</f>
        <v>1.9072774389</v>
      </c>
    </row>
    <row r="947" spans="1:8" x14ac:dyDescent="0.2">
      <c r="A947" t="str">
        <f>'Unformatted Trip Summary'!A945</f>
        <v>14 OTAGO</v>
      </c>
      <c r="B947" t="str">
        <f>'Unformatted Trip Summary'!J945</f>
        <v>2037/38</v>
      </c>
      <c r="C947" t="str">
        <f>'Unformatted Trip Summary'!I945</f>
        <v>Cyclist</v>
      </c>
      <c r="D947">
        <f>'Unformatted Trip Summary'!D945</f>
        <v>52</v>
      </c>
      <c r="E947">
        <f>'Unformatted Trip Summary'!E945</f>
        <v>151</v>
      </c>
      <c r="F947" s="1">
        <f>'Unformatted Trip Summary'!F945</f>
        <v>4.9559896441999998</v>
      </c>
      <c r="G947" s="1">
        <f>'Unformatted Trip Summary'!G945</f>
        <v>20.988333574999999</v>
      </c>
      <c r="H947" s="1">
        <f>'Unformatted Trip Summary'!H945</f>
        <v>1.9599779177000001</v>
      </c>
    </row>
    <row r="948" spans="1:8" x14ac:dyDescent="0.2">
      <c r="A948" t="str">
        <f>'Unformatted Trip Summary'!A946</f>
        <v>14 OTAGO</v>
      </c>
      <c r="B948" t="str">
        <f>'Unformatted Trip Summary'!J946</f>
        <v>2042/43</v>
      </c>
      <c r="C948" t="str">
        <f>'Unformatted Trip Summary'!I946</f>
        <v>Cyclist</v>
      </c>
      <c r="D948">
        <f>'Unformatted Trip Summary'!D946</f>
        <v>52</v>
      </c>
      <c r="E948">
        <f>'Unformatted Trip Summary'!E946</f>
        <v>151</v>
      </c>
      <c r="F948" s="1">
        <f>'Unformatted Trip Summary'!F946</f>
        <v>4.9957824192000002</v>
      </c>
      <c r="G948" s="1">
        <f>'Unformatted Trip Summary'!G946</f>
        <v>21.446010814000001</v>
      </c>
      <c r="H948" s="1">
        <f>'Unformatted Trip Summary'!H946</f>
        <v>2.0065867569</v>
      </c>
    </row>
    <row r="949" spans="1:8" x14ac:dyDescent="0.2">
      <c r="A949" t="str">
        <f>'Unformatted Trip Summary'!A947</f>
        <v>14 OTAGO</v>
      </c>
      <c r="B949" t="str">
        <f>'Unformatted Trip Summary'!J947</f>
        <v>2012/13</v>
      </c>
      <c r="C949" t="str">
        <f>'Unformatted Trip Summary'!I947</f>
        <v>Light Vehicle Driver</v>
      </c>
      <c r="D949">
        <f>'Unformatted Trip Summary'!D947</f>
        <v>734</v>
      </c>
      <c r="E949">
        <f>'Unformatted Trip Summary'!E947</f>
        <v>5488</v>
      </c>
      <c r="F949" s="1">
        <f>'Unformatted Trip Summary'!F947</f>
        <v>150.49144967999999</v>
      </c>
      <c r="G949" s="1">
        <f>'Unformatted Trip Summary'!G947</f>
        <v>1192.1699989000001</v>
      </c>
      <c r="H949" s="1">
        <f>'Unformatted Trip Summary'!H947</f>
        <v>32.522387277</v>
      </c>
    </row>
    <row r="950" spans="1:8" x14ac:dyDescent="0.2">
      <c r="A950" t="str">
        <f>'Unformatted Trip Summary'!A948</f>
        <v>14 OTAGO</v>
      </c>
      <c r="B950" t="str">
        <f>'Unformatted Trip Summary'!J948</f>
        <v>2017/18</v>
      </c>
      <c r="C950" t="str">
        <f>'Unformatted Trip Summary'!I948</f>
        <v>Light Vehicle Driver</v>
      </c>
      <c r="D950">
        <f>'Unformatted Trip Summary'!D948</f>
        <v>734</v>
      </c>
      <c r="E950">
        <f>'Unformatted Trip Summary'!E948</f>
        <v>5488</v>
      </c>
      <c r="F950" s="1">
        <f>'Unformatted Trip Summary'!F948</f>
        <v>159.70200933999999</v>
      </c>
      <c r="G950" s="1">
        <f>'Unformatted Trip Summary'!G948</f>
        <v>1298.7111362999999</v>
      </c>
      <c r="H950" s="1">
        <f>'Unformatted Trip Summary'!H948</f>
        <v>35.047520081000002</v>
      </c>
    </row>
    <row r="951" spans="1:8" x14ac:dyDescent="0.2">
      <c r="A951" t="str">
        <f>'Unformatted Trip Summary'!A949</f>
        <v>14 OTAGO</v>
      </c>
      <c r="B951" t="str">
        <f>'Unformatted Trip Summary'!J949</f>
        <v>2022/23</v>
      </c>
      <c r="C951" t="str">
        <f>'Unformatted Trip Summary'!I949</f>
        <v>Light Vehicle Driver</v>
      </c>
      <c r="D951">
        <f>'Unformatted Trip Summary'!D949</f>
        <v>734</v>
      </c>
      <c r="E951">
        <f>'Unformatted Trip Summary'!E949</f>
        <v>5488</v>
      </c>
      <c r="F951" s="1">
        <f>'Unformatted Trip Summary'!F949</f>
        <v>166.14523986</v>
      </c>
      <c r="G951" s="1">
        <f>'Unformatted Trip Summary'!G949</f>
        <v>1376.777529</v>
      </c>
      <c r="H951" s="1">
        <f>'Unformatted Trip Summary'!H949</f>
        <v>36.840139030000003</v>
      </c>
    </row>
    <row r="952" spans="1:8" x14ac:dyDescent="0.2">
      <c r="A952" t="str">
        <f>'Unformatted Trip Summary'!A950</f>
        <v>14 OTAGO</v>
      </c>
      <c r="B952" t="str">
        <f>'Unformatted Trip Summary'!J950</f>
        <v>2027/28</v>
      </c>
      <c r="C952" t="str">
        <f>'Unformatted Trip Summary'!I950</f>
        <v>Light Vehicle Driver</v>
      </c>
      <c r="D952">
        <f>'Unformatted Trip Summary'!D950</f>
        <v>734</v>
      </c>
      <c r="E952">
        <f>'Unformatted Trip Summary'!E950</f>
        <v>5488</v>
      </c>
      <c r="F952" s="1">
        <f>'Unformatted Trip Summary'!F950</f>
        <v>175.27326683000001</v>
      </c>
      <c r="G952" s="1">
        <f>'Unformatted Trip Summary'!G950</f>
        <v>1469.3653337999999</v>
      </c>
      <c r="H952" s="1">
        <f>'Unformatted Trip Summary'!H950</f>
        <v>39.112777749999999</v>
      </c>
    </row>
    <row r="953" spans="1:8" x14ac:dyDescent="0.2">
      <c r="A953" t="str">
        <f>'Unformatted Trip Summary'!A951</f>
        <v>14 OTAGO</v>
      </c>
      <c r="B953" t="str">
        <f>'Unformatted Trip Summary'!J951</f>
        <v>2032/33</v>
      </c>
      <c r="C953" t="str">
        <f>'Unformatted Trip Summary'!I951</f>
        <v>Light Vehicle Driver</v>
      </c>
      <c r="D953">
        <f>'Unformatted Trip Summary'!D951</f>
        <v>734</v>
      </c>
      <c r="E953">
        <f>'Unformatted Trip Summary'!E951</f>
        <v>5488</v>
      </c>
      <c r="F953" s="1">
        <f>'Unformatted Trip Summary'!F951</f>
        <v>183.12259963</v>
      </c>
      <c r="G953" s="1">
        <f>'Unformatted Trip Summary'!G951</f>
        <v>1561.3746606</v>
      </c>
      <c r="H953" s="1">
        <f>'Unformatted Trip Summary'!H951</f>
        <v>41.222904395</v>
      </c>
    </row>
    <row r="954" spans="1:8" x14ac:dyDescent="0.2">
      <c r="A954" t="str">
        <f>'Unformatted Trip Summary'!A952</f>
        <v>14 OTAGO</v>
      </c>
      <c r="B954" t="str">
        <f>'Unformatted Trip Summary'!J952</f>
        <v>2037/38</v>
      </c>
      <c r="C954" t="str">
        <f>'Unformatted Trip Summary'!I952</f>
        <v>Light Vehicle Driver</v>
      </c>
      <c r="D954">
        <f>'Unformatted Trip Summary'!D952</f>
        <v>734</v>
      </c>
      <c r="E954">
        <f>'Unformatted Trip Summary'!E952</f>
        <v>5488</v>
      </c>
      <c r="F954" s="1">
        <f>'Unformatted Trip Summary'!F952</f>
        <v>187.54720057</v>
      </c>
      <c r="G954" s="1">
        <f>'Unformatted Trip Summary'!G952</f>
        <v>1646.2872542</v>
      </c>
      <c r="H954" s="1">
        <f>'Unformatted Trip Summary'!H952</f>
        <v>42.892199804000001</v>
      </c>
    </row>
    <row r="955" spans="1:8" x14ac:dyDescent="0.2">
      <c r="A955" t="str">
        <f>'Unformatted Trip Summary'!A953</f>
        <v>14 OTAGO</v>
      </c>
      <c r="B955" t="str">
        <f>'Unformatted Trip Summary'!J953</f>
        <v>2042/43</v>
      </c>
      <c r="C955" t="str">
        <f>'Unformatted Trip Summary'!I953</f>
        <v>Light Vehicle Driver</v>
      </c>
      <c r="D955">
        <f>'Unformatted Trip Summary'!D953</f>
        <v>734</v>
      </c>
      <c r="E955">
        <f>'Unformatted Trip Summary'!E953</f>
        <v>5488</v>
      </c>
      <c r="F955" s="1">
        <f>'Unformatted Trip Summary'!F953</f>
        <v>191.12834236</v>
      </c>
      <c r="G955" s="1">
        <f>'Unformatted Trip Summary'!G953</f>
        <v>1731.770019</v>
      </c>
      <c r="H955" s="1">
        <f>'Unformatted Trip Summary'!H953</f>
        <v>44.458415834</v>
      </c>
    </row>
    <row r="956" spans="1:8" x14ac:dyDescent="0.2">
      <c r="A956" t="str">
        <f>'Unformatted Trip Summary'!A954</f>
        <v>14 OTAGO</v>
      </c>
      <c r="B956" t="str">
        <f>'Unformatted Trip Summary'!J954</f>
        <v>2012/13</v>
      </c>
      <c r="C956" t="str">
        <f>'Unformatted Trip Summary'!I954</f>
        <v>Light Vehicle Passenger</v>
      </c>
      <c r="D956">
        <f>'Unformatted Trip Summary'!D954</f>
        <v>543</v>
      </c>
      <c r="E956">
        <f>'Unformatted Trip Summary'!E954</f>
        <v>2595</v>
      </c>
      <c r="F956" s="1">
        <f>'Unformatted Trip Summary'!F954</f>
        <v>71.232164202000007</v>
      </c>
      <c r="G956" s="1">
        <f>'Unformatted Trip Summary'!G954</f>
        <v>849.31688999999994</v>
      </c>
      <c r="H956" s="1">
        <f>'Unformatted Trip Summary'!H954</f>
        <v>19.901766343999999</v>
      </c>
    </row>
    <row r="957" spans="1:8" x14ac:dyDescent="0.2">
      <c r="A957" t="str">
        <f>'Unformatted Trip Summary'!A955</f>
        <v>14 OTAGO</v>
      </c>
      <c r="B957" t="str">
        <f>'Unformatted Trip Summary'!J955</f>
        <v>2017/18</v>
      </c>
      <c r="C957" t="str">
        <f>'Unformatted Trip Summary'!I955</f>
        <v>Light Vehicle Passenger</v>
      </c>
      <c r="D957">
        <f>'Unformatted Trip Summary'!D955</f>
        <v>543</v>
      </c>
      <c r="E957">
        <f>'Unformatted Trip Summary'!E955</f>
        <v>2595</v>
      </c>
      <c r="F957" s="1">
        <f>'Unformatted Trip Summary'!F955</f>
        <v>73.294502230000006</v>
      </c>
      <c r="G957" s="1">
        <f>'Unformatted Trip Summary'!G955</f>
        <v>896.64137233999998</v>
      </c>
      <c r="H957" s="1">
        <f>'Unformatted Trip Summary'!H955</f>
        <v>20.814573263</v>
      </c>
    </row>
    <row r="958" spans="1:8" x14ac:dyDescent="0.2">
      <c r="A958" t="str">
        <f>'Unformatted Trip Summary'!A956</f>
        <v>14 OTAGO</v>
      </c>
      <c r="B958" t="str">
        <f>'Unformatted Trip Summary'!J956</f>
        <v>2022/23</v>
      </c>
      <c r="C958" t="str">
        <f>'Unformatted Trip Summary'!I956</f>
        <v>Light Vehicle Passenger</v>
      </c>
      <c r="D958">
        <f>'Unformatted Trip Summary'!D956</f>
        <v>543</v>
      </c>
      <c r="E958">
        <f>'Unformatted Trip Summary'!E956</f>
        <v>2595</v>
      </c>
      <c r="F958" s="1">
        <f>'Unformatted Trip Summary'!F956</f>
        <v>74.347849818</v>
      </c>
      <c r="G958" s="1">
        <f>'Unformatted Trip Summary'!G956</f>
        <v>923.23762542999998</v>
      </c>
      <c r="H958" s="1">
        <f>'Unformatted Trip Summary'!H956</f>
        <v>21.305235562</v>
      </c>
    </row>
    <row r="959" spans="1:8" x14ac:dyDescent="0.2">
      <c r="A959" t="str">
        <f>'Unformatted Trip Summary'!A957</f>
        <v>14 OTAGO</v>
      </c>
      <c r="B959" t="str">
        <f>'Unformatted Trip Summary'!J957</f>
        <v>2027/28</v>
      </c>
      <c r="C959" t="str">
        <f>'Unformatted Trip Summary'!I957</f>
        <v>Light Vehicle Passenger</v>
      </c>
      <c r="D959">
        <f>'Unformatted Trip Summary'!D957</f>
        <v>543</v>
      </c>
      <c r="E959">
        <f>'Unformatted Trip Summary'!E957</f>
        <v>2595</v>
      </c>
      <c r="F959" s="1">
        <f>'Unformatted Trip Summary'!F957</f>
        <v>75.467444987999997</v>
      </c>
      <c r="G959" s="1">
        <f>'Unformatted Trip Summary'!G957</f>
        <v>956.65870494000001</v>
      </c>
      <c r="H959" s="1">
        <f>'Unformatted Trip Summary'!H957</f>
        <v>21.899278296999999</v>
      </c>
    </row>
    <row r="960" spans="1:8" x14ac:dyDescent="0.2">
      <c r="A960" t="str">
        <f>'Unformatted Trip Summary'!A958</f>
        <v>14 OTAGO</v>
      </c>
      <c r="B960" t="str">
        <f>'Unformatted Trip Summary'!J958</f>
        <v>2032/33</v>
      </c>
      <c r="C960" t="str">
        <f>'Unformatted Trip Summary'!I958</f>
        <v>Light Vehicle Passenger</v>
      </c>
      <c r="D960">
        <f>'Unformatted Trip Summary'!D958</f>
        <v>543</v>
      </c>
      <c r="E960">
        <f>'Unformatted Trip Summary'!E958</f>
        <v>2595</v>
      </c>
      <c r="F960" s="1">
        <f>'Unformatted Trip Summary'!F958</f>
        <v>76.355067157999997</v>
      </c>
      <c r="G960" s="1">
        <f>'Unformatted Trip Summary'!G958</f>
        <v>975.51560033999999</v>
      </c>
      <c r="H960" s="1">
        <f>'Unformatted Trip Summary'!H958</f>
        <v>22.209506107999999</v>
      </c>
    </row>
    <row r="961" spans="1:8" x14ac:dyDescent="0.2">
      <c r="A961" t="str">
        <f>'Unformatted Trip Summary'!A959</f>
        <v>14 OTAGO</v>
      </c>
      <c r="B961" t="str">
        <f>'Unformatted Trip Summary'!J959</f>
        <v>2037/38</v>
      </c>
      <c r="C961" t="str">
        <f>'Unformatted Trip Summary'!I959</f>
        <v>Light Vehicle Passenger</v>
      </c>
      <c r="D961">
        <f>'Unformatted Trip Summary'!D959</f>
        <v>543</v>
      </c>
      <c r="E961">
        <f>'Unformatted Trip Summary'!E959</f>
        <v>2595</v>
      </c>
      <c r="F961" s="1">
        <f>'Unformatted Trip Summary'!F959</f>
        <v>76.620401728999994</v>
      </c>
      <c r="G961" s="1">
        <f>'Unformatted Trip Summary'!G959</f>
        <v>996.68134499999996</v>
      </c>
      <c r="H961" s="1">
        <f>'Unformatted Trip Summary'!H959</f>
        <v>22.584812460999999</v>
      </c>
    </row>
    <row r="962" spans="1:8" x14ac:dyDescent="0.2">
      <c r="A962" t="str">
        <f>'Unformatted Trip Summary'!A960</f>
        <v>14 OTAGO</v>
      </c>
      <c r="B962" t="str">
        <f>'Unformatted Trip Summary'!J960</f>
        <v>2042/43</v>
      </c>
      <c r="C962" t="str">
        <f>'Unformatted Trip Summary'!I960</f>
        <v>Light Vehicle Passenger</v>
      </c>
      <c r="D962">
        <f>'Unformatted Trip Summary'!D960</f>
        <v>543</v>
      </c>
      <c r="E962">
        <f>'Unformatted Trip Summary'!E960</f>
        <v>2595</v>
      </c>
      <c r="F962" s="1">
        <f>'Unformatted Trip Summary'!F960</f>
        <v>76.522435392999995</v>
      </c>
      <c r="G962" s="1">
        <f>'Unformatted Trip Summary'!G960</f>
        <v>1015.8486092000001</v>
      </c>
      <c r="H962" s="1">
        <f>'Unformatted Trip Summary'!H960</f>
        <v>22.891949746000002</v>
      </c>
    </row>
    <row r="963" spans="1:8" x14ac:dyDescent="0.2">
      <c r="A963" t="str">
        <f>'Unformatted Trip Summary'!A961</f>
        <v>14 OTAGO</v>
      </c>
      <c r="B963" t="str">
        <f>'Unformatted Trip Summary'!J961</f>
        <v>2012/13</v>
      </c>
      <c r="C963" t="str">
        <f>'Unformatted Trip Summary'!I961</f>
        <v>Taxi/Vehicle Share</v>
      </c>
      <c r="D963">
        <f>'Unformatted Trip Summary'!D961</f>
        <v>21</v>
      </c>
      <c r="E963">
        <f>'Unformatted Trip Summary'!E961</f>
        <v>36</v>
      </c>
      <c r="F963" s="1">
        <f>'Unformatted Trip Summary'!F961</f>
        <v>0.85820748670000002</v>
      </c>
      <c r="G963" s="1">
        <f>'Unformatted Trip Summary'!G961</f>
        <v>7.2892681777000004</v>
      </c>
      <c r="H963" s="1">
        <f>'Unformatted Trip Summary'!H961</f>
        <v>0.23496676969999999</v>
      </c>
    </row>
    <row r="964" spans="1:8" x14ac:dyDescent="0.2">
      <c r="A964" t="str">
        <f>'Unformatted Trip Summary'!A962</f>
        <v>14 OTAGO</v>
      </c>
      <c r="B964" t="str">
        <f>'Unformatted Trip Summary'!J962</f>
        <v>2017/18</v>
      </c>
      <c r="C964" t="str">
        <f>'Unformatted Trip Summary'!I962</f>
        <v>Taxi/Vehicle Share</v>
      </c>
      <c r="D964">
        <f>'Unformatted Trip Summary'!D962</f>
        <v>21</v>
      </c>
      <c r="E964">
        <f>'Unformatted Trip Summary'!E962</f>
        <v>36</v>
      </c>
      <c r="F964" s="1">
        <f>'Unformatted Trip Summary'!F962</f>
        <v>0.87420387190000004</v>
      </c>
      <c r="G964" s="1">
        <f>'Unformatted Trip Summary'!G962</f>
        <v>7.4876000621000003</v>
      </c>
      <c r="H964" s="1">
        <f>'Unformatted Trip Summary'!H962</f>
        <v>0.24310624889999999</v>
      </c>
    </row>
    <row r="965" spans="1:8" x14ac:dyDescent="0.2">
      <c r="A965" t="str">
        <f>'Unformatted Trip Summary'!A963</f>
        <v>14 OTAGO</v>
      </c>
      <c r="B965" t="str">
        <f>'Unformatted Trip Summary'!J963</f>
        <v>2022/23</v>
      </c>
      <c r="C965" t="str">
        <f>'Unformatted Trip Summary'!I963</f>
        <v>Taxi/Vehicle Share</v>
      </c>
      <c r="D965">
        <f>'Unformatted Trip Summary'!D963</f>
        <v>21</v>
      </c>
      <c r="E965">
        <f>'Unformatted Trip Summary'!E963</f>
        <v>36</v>
      </c>
      <c r="F965" s="1">
        <f>'Unformatted Trip Summary'!F963</f>
        <v>0.86813836909999997</v>
      </c>
      <c r="G965" s="1">
        <f>'Unformatted Trip Summary'!G963</f>
        <v>7.7225590812</v>
      </c>
      <c r="H965" s="1">
        <f>'Unformatted Trip Summary'!H963</f>
        <v>0.25261244109999997</v>
      </c>
    </row>
    <row r="966" spans="1:8" x14ac:dyDescent="0.2">
      <c r="A966" t="str">
        <f>'Unformatted Trip Summary'!A964</f>
        <v>14 OTAGO</v>
      </c>
      <c r="B966" t="str">
        <f>'Unformatted Trip Summary'!J964</f>
        <v>2027/28</v>
      </c>
      <c r="C966" t="str">
        <f>'Unformatted Trip Summary'!I964</f>
        <v>Taxi/Vehicle Share</v>
      </c>
      <c r="D966">
        <f>'Unformatted Trip Summary'!D964</f>
        <v>21</v>
      </c>
      <c r="E966">
        <f>'Unformatted Trip Summary'!E964</f>
        <v>36</v>
      </c>
      <c r="F966" s="1">
        <f>'Unformatted Trip Summary'!F964</f>
        <v>0.87977275669999999</v>
      </c>
      <c r="G966" s="1">
        <f>'Unformatted Trip Summary'!G964</f>
        <v>7.9417531079000003</v>
      </c>
      <c r="H966" s="1">
        <f>'Unformatted Trip Summary'!H964</f>
        <v>0.26113935179999997</v>
      </c>
    </row>
    <row r="967" spans="1:8" x14ac:dyDescent="0.2">
      <c r="A967" t="str">
        <f>'Unformatted Trip Summary'!A965</f>
        <v>14 OTAGO</v>
      </c>
      <c r="B967" t="str">
        <f>'Unformatted Trip Summary'!J965</f>
        <v>2032/33</v>
      </c>
      <c r="C967" t="str">
        <f>'Unformatted Trip Summary'!I965</f>
        <v>Taxi/Vehicle Share</v>
      </c>
      <c r="D967">
        <f>'Unformatted Trip Summary'!D965</f>
        <v>21</v>
      </c>
      <c r="E967">
        <f>'Unformatted Trip Summary'!E965</f>
        <v>36</v>
      </c>
      <c r="F967" s="1">
        <f>'Unformatted Trip Summary'!F965</f>
        <v>0.89737092870000001</v>
      </c>
      <c r="G967" s="1">
        <f>'Unformatted Trip Summary'!G965</f>
        <v>8.1503556295999999</v>
      </c>
      <c r="H967" s="1">
        <f>'Unformatted Trip Summary'!H965</f>
        <v>0.26837889459999997</v>
      </c>
    </row>
    <row r="968" spans="1:8" x14ac:dyDescent="0.2">
      <c r="A968" t="str">
        <f>'Unformatted Trip Summary'!A966</f>
        <v>14 OTAGO</v>
      </c>
      <c r="B968" t="str">
        <f>'Unformatted Trip Summary'!J966</f>
        <v>2037/38</v>
      </c>
      <c r="C968" t="str">
        <f>'Unformatted Trip Summary'!I966</f>
        <v>Taxi/Vehicle Share</v>
      </c>
      <c r="D968">
        <f>'Unformatted Trip Summary'!D966</f>
        <v>21</v>
      </c>
      <c r="E968">
        <f>'Unformatted Trip Summary'!E966</f>
        <v>36</v>
      </c>
      <c r="F968" s="1">
        <f>'Unformatted Trip Summary'!F966</f>
        <v>0.86552040200000002</v>
      </c>
      <c r="G968" s="1">
        <f>'Unformatted Trip Summary'!G966</f>
        <v>7.9118885525999998</v>
      </c>
      <c r="H968" s="1">
        <f>'Unformatted Trip Summary'!H966</f>
        <v>0.2614860973</v>
      </c>
    </row>
    <row r="969" spans="1:8" x14ac:dyDescent="0.2">
      <c r="A969" t="str">
        <f>'Unformatted Trip Summary'!A967</f>
        <v>14 OTAGO</v>
      </c>
      <c r="B969" t="str">
        <f>'Unformatted Trip Summary'!J967</f>
        <v>2042/43</v>
      </c>
      <c r="C969" t="str">
        <f>'Unformatted Trip Summary'!I967</f>
        <v>Taxi/Vehicle Share</v>
      </c>
      <c r="D969">
        <f>'Unformatted Trip Summary'!D967</f>
        <v>21</v>
      </c>
      <c r="E969">
        <f>'Unformatted Trip Summary'!E967</f>
        <v>36</v>
      </c>
      <c r="F969" s="1">
        <f>'Unformatted Trip Summary'!F967</f>
        <v>0.82567941</v>
      </c>
      <c r="G969" s="1">
        <f>'Unformatted Trip Summary'!G967</f>
        <v>7.5791624594</v>
      </c>
      <c r="H969" s="1">
        <f>'Unformatted Trip Summary'!H967</f>
        <v>0.25097176630000001</v>
      </c>
    </row>
    <row r="970" spans="1:8" x14ac:dyDescent="0.2">
      <c r="A970" t="str">
        <f>'Unformatted Trip Summary'!A968</f>
        <v>14 OTAGO</v>
      </c>
      <c r="B970" t="str">
        <f>'Unformatted Trip Summary'!J968</f>
        <v>2012/13</v>
      </c>
      <c r="C970" t="str">
        <f>'Unformatted Trip Summary'!I968</f>
        <v>Motorcyclist</v>
      </c>
      <c r="D970">
        <f>'Unformatted Trip Summary'!D968</f>
        <v>12</v>
      </c>
      <c r="E970">
        <f>'Unformatted Trip Summary'!E968</f>
        <v>57</v>
      </c>
      <c r="F970" s="1">
        <f>'Unformatted Trip Summary'!F968</f>
        <v>2.0937246197000001</v>
      </c>
      <c r="G970" s="1">
        <f>'Unformatted Trip Summary'!G968</f>
        <v>18.503357486999999</v>
      </c>
      <c r="H970" s="1">
        <f>'Unformatted Trip Summary'!H968</f>
        <v>0.42545310469999997</v>
      </c>
    </row>
    <row r="971" spans="1:8" x14ac:dyDescent="0.2">
      <c r="A971" t="str">
        <f>'Unformatted Trip Summary'!A969</f>
        <v>14 OTAGO</v>
      </c>
      <c r="B971" t="str">
        <f>'Unformatted Trip Summary'!J969</f>
        <v>2017/18</v>
      </c>
      <c r="C971" t="str">
        <f>'Unformatted Trip Summary'!I969</f>
        <v>Motorcyclist</v>
      </c>
      <c r="D971">
        <f>'Unformatted Trip Summary'!D969</f>
        <v>12</v>
      </c>
      <c r="E971">
        <f>'Unformatted Trip Summary'!E969</f>
        <v>57</v>
      </c>
      <c r="F971" s="1">
        <f>'Unformatted Trip Summary'!F969</f>
        <v>2.1862938811000001</v>
      </c>
      <c r="G971" s="1">
        <f>'Unformatted Trip Summary'!G969</f>
        <v>20.496146268</v>
      </c>
      <c r="H971" s="1">
        <f>'Unformatted Trip Summary'!H969</f>
        <v>0.45994761150000002</v>
      </c>
    </row>
    <row r="972" spans="1:8" x14ac:dyDescent="0.2">
      <c r="A972" t="str">
        <f>'Unformatted Trip Summary'!A970</f>
        <v>14 OTAGO</v>
      </c>
      <c r="B972" t="str">
        <f>'Unformatted Trip Summary'!J970</f>
        <v>2022/23</v>
      </c>
      <c r="C972" t="str">
        <f>'Unformatted Trip Summary'!I970</f>
        <v>Motorcyclist</v>
      </c>
      <c r="D972">
        <f>'Unformatted Trip Summary'!D970</f>
        <v>12</v>
      </c>
      <c r="E972">
        <f>'Unformatted Trip Summary'!E970</f>
        <v>57</v>
      </c>
      <c r="F972" s="1">
        <f>'Unformatted Trip Summary'!F970</f>
        <v>2.1656479633000001</v>
      </c>
      <c r="G972" s="1">
        <f>'Unformatted Trip Summary'!G970</f>
        <v>21.602136982000001</v>
      </c>
      <c r="H972" s="1">
        <f>'Unformatted Trip Summary'!H970</f>
        <v>0.47357988880000002</v>
      </c>
    </row>
    <row r="973" spans="1:8" x14ac:dyDescent="0.2">
      <c r="A973" t="str">
        <f>'Unformatted Trip Summary'!A971</f>
        <v>14 OTAGO</v>
      </c>
      <c r="B973" t="str">
        <f>'Unformatted Trip Summary'!J971</f>
        <v>2027/28</v>
      </c>
      <c r="C973" t="str">
        <f>'Unformatted Trip Summary'!I971</f>
        <v>Motorcyclist</v>
      </c>
      <c r="D973">
        <f>'Unformatted Trip Summary'!D971</f>
        <v>12</v>
      </c>
      <c r="E973">
        <f>'Unformatted Trip Summary'!E971</f>
        <v>57</v>
      </c>
      <c r="F973" s="1">
        <f>'Unformatted Trip Summary'!F971</f>
        <v>2.1300666510999999</v>
      </c>
      <c r="G973" s="1">
        <f>'Unformatted Trip Summary'!G971</f>
        <v>22.871564192000001</v>
      </c>
      <c r="H973" s="1">
        <f>'Unformatted Trip Summary'!H971</f>
        <v>0.48991933859999998</v>
      </c>
    </row>
    <row r="974" spans="1:8" x14ac:dyDescent="0.2">
      <c r="A974" t="str">
        <f>'Unformatted Trip Summary'!A972</f>
        <v>14 OTAGO</v>
      </c>
      <c r="B974" t="str">
        <f>'Unformatted Trip Summary'!J972</f>
        <v>2032/33</v>
      </c>
      <c r="C974" t="str">
        <f>'Unformatted Trip Summary'!I972</f>
        <v>Motorcyclist</v>
      </c>
      <c r="D974">
        <f>'Unformatted Trip Summary'!D972</f>
        <v>12</v>
      </c>
      <c r="E974">
        <f>'Unformatted Trip Summary'!E972</f>
        <v>57</v>
      </c>
      <c r="F974" s="1">
        <f>'Unformatted Trip Summary'!F972</f>
        <v>2.0345127861000001</v>
      </c>
      <c r="G974" s="1">
        <f>'Unformatted Trip Summary'!G972</f>
        <v>23.561107525000001</v>
      </c>
      <c r="H974" s="1">
        <f>'Unformatted Trip Summary'!H972</f>
        <v>0.49524430790000001</v>
      </c>
    </row>
    <row r="975" spans="1:8" x14ac:dyDescent="0.2">
      <c r="A975" t="str">
        <f>'Unformatted Trip Summary'!A973</f>
        <v>14 OTAGO</v>
      </c>
      <c r="B975" t="str">
        <f>'Unformatted Trip Summary'!J973</f>
        <v>2037/38</v>
      </c>
      <c r="C975" t="str">
        <f>'Unformatted Trip Summary'!I973</f>
        <v>Motorcyclist</v>
      </c>
      <c r="D975">
        <f>'Unformatted Trip Summary'!D973</f>
        <v>12</v>
      </c>
      <c r="E975">
        <f>'Unformatted Trip Summary'!E973</f>
        <v>57</v>
      </c>
      <c r="F975" s="1">
        <f>'Unformatted Trip Summary'!F973</f>
        <v>1.9010460348</v>
      </c>
      <c r="G975" s="1">
        <f>'Unformatted Trip Summary'!G973</f>
        <v>23.444589871000002</v>
      </c>
      <c r="H975" s="1">
        <f>'Unformatted Trip Summary'!H973</f>
        <v>0.48725169460000001</v>
      </c>
    </row>
    <row r="976" spans="1:8" x14ac:dyDescent="0.2">
      <c r="A976" t="str">
        <f>'Unformatted Trip Summary'!A974</f>
        <v>14 OTAGO</v>
      </c>
      <c r="B976" t="str">
        <f>'Unformatted Trip Summary'!J974</f>
        <v>2042/43</v>
      </c>
      <c r="C976" t="str">
        <f>'Unformatted Trip Summary'!I974</f>
        <v>Motorcyclist</v>
      </c>
      <c r="D976">
        <f>'Unformatted Trip Summary'!D974</f>
        <v>12</v>
      </c>
      <c r="E976">
        <f>'Unformatted Trip Summary'!E974</f>
        <v>57</v>
      </c>
      <c r="F976" s="1">
        <f>'Unformatted Trip Summary'!F974</f>
        <v>1.7603265138999999</v>
      </c>
      <c r="G976" s="1">
        <f>'Unformatted Trip Summary'!G974</f>
        <v>23.168042916000001</v>
      </c>
      <c r="H976" s="1">
        <f>'Unformatted Trip Summary'!H974</f>
        <v>0.47592469180000002</v>
      </c>
    </row>
    <row r="977" spans="1:8" x14ac:dyDescent="0.2">
      <c r="A977" t="str">
        <f>'Unformatted Trip Summary'!A975</f>
        <v>14 OTAGO</v>
      </c>
      <c r="B977" t="str">
        <f>'Unformatted Trip Summary'!J975</f>
        <v>2012/13</v>
      </c>
      <c r="C977" t="str">
        <f>'Unformatted Trip Summary'!I975</f>
        <v>Local Bus</v>
      </c>
      <c r="D977">
        <f>'Unformatted Trip Summary'!D975</f>
        <v>70</v>
      </c>
      <c r="E977">
        <f>'Unformatted Trip Summary'!E975</f>
        <v>148</v>
      </c>
      <c r="F977" s="1">
        <f>'Unformatted Trip Summary'!F975</f>
        <v>4.2627057848999996</v>
      </c>
      <c r="G977" s="1">
        <f>'Unformatted Trip Summary'!G975</f>
        <v>27.157477096000001</v>
      </c>
      <c r="H977" s="1">
        <f>'Unformatted Trip Summary'!H975</f>
        <v>1.347401772</v>
      </c>
    </row>
    <row r="978" spans="1:8" x14ac:dyDescent="0.2">
      <c r="A978" t="str">
        <f>'Unformatted Trip Summary'!A976</f>
        <v>14 OTAGO</v>
      </c>
      <c r="B978" t="str">
        <f>'Unformatted Trip Summary'!J976</f>
        <v>2017/18</v>
      </c>
      <c r="C978" t="str">
        <f>'Unformatted Trip Summary'!I976</f>
        <v>Local Bus</v>
      </c>
      <c r="D978">
        <f>'Unformatted Trip Summary'!D976</f>
        <v>70</v>
      </c>
      <c r="E978">
        <f>'Unformatted Trip Summary'!E976</f>
        <v>148</v>
      </c>
      <c r="F978" s="1">
        <f>'Unformatted Trip Summary'!F976</f>
        <v>4.2369345695999998</v>
      </c>
      <c r="G978" s="1">
        <f>'Unformatted Trip Summary'!G976</f>
        <v>27.874499444000001</v>
      </c>
      <c r="H978" s="1">
        <f>'Unformatted Trip Summary'!H976</f>
        <v>1.3509985983999999</v>
      </c>
    </row>
    <row r="979" spans="1:8" x14ac:dyDescent="0.2">
      <c r="A979" t="str">
        <f>'Unformatted Trip Summary'!A977</f>
        <v>14 OTAGO</v>
      </c>
      <c r="B979" t="str">
        <f>'Unformatted Trip Summary'!J977</f>
        <v>2022/23</v>
      </c>
      <c r="C979" t="str">
        <f>'Unformatted Trip Summary'!I977</f>
        <v>Local Bus</v>
      </c>
      <c r="D979">
        <f>'Unformatted Trip Summary'!D977</f>
        <v>70</v>
      </c>
      <c r="E979">
        <f>'Unformatted Trip Summary'!E977</f>
        <v>148</v>
      </c>
      <c r="F979" s="1">
        <f>'Unformatted Trip Summary'!F977</f>
        <v>4.1827573384000001</v>
      </c>
      <c r="G979" s="1">
        <f>'Unformatted Trip Summary'!G977</f>
        <v>28.388154553</v>
      </c>
      <c r="H979" s="1">
        <f>'Unformatted Trip Summary'!H977</f>
        <v>1.3486290107000001</v>
      </c>
    </row>
    <row r="980" spans="1:8" x14ac:dyDescent="0.2">
      <c r="A980" t="str">
        <f>'Unformatted Trip Summary'!A978</f>
        <v>14 OTAGO</v>
      </c>
      <c r="B980" t="str">
        <f>'Unformatted Trip Summary'!J978</f>
        <v>2027/28</v>
      </c>
      <c r="C980" t="str">
        <f>'Unformatted Trip Summary'!I978</f>
        <v>Local Bus</v>
      </c>
      <c r="D980">
        <f>'Unformatted Trip Summary'!D978</f>
        <v>70</v>
      </c>
      <c r="E980">
        <f>'Unformatted Trip Summary'!E978</f>
        <v>148</v>
      </c>
      <c r="F980" s="1">
        <f>'Unformatted Trip Summary'!F978</f>
        <v>4.1326437729999999</v>
      </c>
      <c r="G980" s="1">
        <f>'Unformatted Trip Summary'!G978</f>
        <v>28.605593102</v>
      </c>
      <c r="H980" s="1">
        <f>'Unformatted Trip Summary'!H978</f>
        <v>1.3363592676</v>
      </c>
    </row>
    <row r="981" spans="1:8" x14ac:dyDescent="0.2">
      <c r="A981" t="str">
        <f>'Unformatted Trip Summary'!A979</f>
        <v>14 OTAGO</v>
      </c>
      <c r="B981" t="str">
        <f>'Unformatted Trip Summary'!J979</f>
        <v>2032/33</v>
      </c>
      <c r="C981" t="str">
        <f>'Unformatted Trip Summary'!I979</f>
        <v>Local Bus</v>
      </c>
      <c r="D981">
        <f>'Unformatted Trip Summary'!D979</f>
        <v>70</v>
      </c>
      <c r="E981">
        <f>'Unformatted Trip Summary'!E979</f>
        <v>148</v>
      </c>
      <c r="F981" s="1">
        <f>'Unformatted Trip Summary'!F979</f>
        <v>4.0835200813999997</v>
      </c>
      <c r="G981" s="1">
        <f>'Unformatted Trip Summary'!G979</f>
        <v>28.457037826000001</v>
      </c>
      <c r="H981" s="1">
        <f>'Unformatted Trip Summary'!H979</f>
        <v>1.3180854303</v>
      </c>
    </row>
    <row r="982" spans="1:8" x14ac:dyDescent="0.2">
      <c r="A982" t="str">
        <f>'Unformatted Trip Summary'!A980</f>
        <v>14 OTAGO</v>
      </c>
      <c r="B982" t="str">
        <f>'Unformatted Trip Summary'!J980</f>
        <v>2037/38</v>
      </c>
      <c r="C982" t="str">
        <f>'Unformatted Trip Summary'!I980</f>
        <v>Local Bus</v>
      </c>
      <c r="D982">
        <f>'Unformatted Trip Summary'!D980</f>
        <v>70</v>
      </c>
      <c r="E982">
        <f>'Unformatted Trip Summary'!E980</f>
        <v>148</v>
      </c>
      <c r="F982" s="1">
        <f>'Unformatted Trip Summary'!F980</f>
        <v>3.9495498443999999</v>
      </c>
      <c r="G982" s="1">
        <f>'Unformatted Trip Summary'!G980</f>
        <v>27.589558884999999</v>
      </c>
      <c r="H982" s="1">
        <f>'Unformatted Trip Summary'!H980</f>
        <v>1.2772459717</v>
      </c>
    </row>
    <row r="983" spans="1:8" x14ac:dyDescent="0.2">
      <c r="A983" t="str">
        <f>'Unformatted Trip Summary'!A981</f>
        <v>14 OTAGO</v>
      </c>
      <c r="B983" t="str">
        <f>'Unformatted Trip Summary'!J981</f>
        <v>2042/43</v>
      </c>
      <c r="C983" t="str">
        <f>'Unformatted Trip Summary'!I981</f>
        <v>Local Bus</v>
      </c>
      <c r="D983">
        <f>'Unformatted Trip Summary'!D981</f>
        <v>70</v>
      </c>
      <c r="E983">
        <f>'Unformatted Trip Summary'!E981</f>
        <v>148</v>
      </c>
      <c r="F983" s="1">
        <f>'Unformatted Trip Summary'!F981</f>
        <v>3.8015764607000002</v>
      </c>
      <c r="G983" s="1">
        <f>'Unformatted Trip Summary'!G981</f>
        <v>26.610493949999999</v>
      </c>
      <c r="H983" s="1">
        <f>'Unformatted Trip Summary'!H981</f>
        <v>1.2327397449999999</v>
      </c>
    </row>
    <row r="984" spans="1:8" x14ac:dyDescent="0.2">
      <c r="A984" t="str">
        <f>'Unformatted Trip Summary'!A982</f>
        <v>14 OTAGO</v>
      </c>
      <c r="B984" t="str">
        <f>'Unformatted Trip Summary'!J982</f>
        <v>2012/13</v>
      </c>
      <c r="C984" t="str">
        <f>'Unformatted Trip Summary'!I982</f>
        <v>Other Household Travel</v>
      </c>
      <c r="D984">
        <f>'Unformatted Trip Summary'!D982</f>
        <v>11</v>
      </c>
      <c r="E984">
        <f>'Unformatted Trip Summary'!E982</f>
        <v>38</v>
      </c>
      <c r="F984" s="1">
        <f>'Unformatted Trip Summary'!F982</f>
        <v>0.77539158779999995</v>
      </c>
      <c r="G984" s="1">
        <f>'Unformatted Trip Summary'!G982</f>
        <v>0</v>
      </c>
      <c r="H984" s="1">
        <f>'Unformatted Trip Summary'!H982</f>
        <v>0.25154479130000001</v>
      </c>
    </row>
    <row r="985" spans="1:8" x14ac:dyDescent="0.2">
      <c r="A985" t="str">
        <f>'Unformatted Trip Summary'!A983</f>
        <v>14 OTAGO</v>
      </c>
      <c r="B985" t="str">
        <f>'Unformatted Trip Summary'!J983</f>
        <v>2017/18</v>
      </c>
      <c r="C985" t="str">
        <f>'Unformatted Trip Summary'!I983</f>
        <v>Other Household Travel</v>
      </c>
      <c r="D985">
        <f>'Unformatted Trip Summary'!D983</f>
        <v>11</v>
      </c>
      <c r="E985">
        <f>'Unformatted Trip Summary'!E983</f>
        <v>38</v>
      </c>
      <c r="F985" s="1">
        <f>'Unformatted Trip Summary'!F983</f>
        <v>0.82702580439999995</v>
      </c>
      <c r="G985" s="1">
        <f>'Unformatted Trip Summary'!G983</f>
        <v>0</v>
      </c>
      <c r="H985" s="1">
        <f>'Unformatted Trip Summary'!H983</f>
        <v>0.2781737937</v>
      </c>
    </row>
    <row r="986" spans="1:8" x14ac:dyDescent="0.2">
      <c r="A986" t="str">
        <f>'Unformatted Trip Summary'!A984</f>
        <v>14 OTAGO</v>
      </c>
      <c r="B986" t="str">
        <f>'Unformatted Trip Summary'!J984</f>
        <v>2022/23</v>
      </c>
      <c r="C986" t="str">
        <f>'Unformatted Trip Summary'!I984</f>
        <v>Other Household Travel</v>
      </c>
      <c r="D986">
        <f>'Unformatted Trip Summary'!D984</f>
        <v>11</v>
      </c>
      <c r="E986">
        <f>'Unformatted Trip Summary'!E984</f>
        <v>38</v>
      </c>
      <c r="F986" s="1">
        <f>'Unformatted Trip Summary'!F984</f>
        <v>0.87337452510000002</v>
      </c>
      <c r="G986" s="1">
        <f>'Unformatted Trip Summary'!G984</f>
        <v>0</v>
      </c>
      <c r="H986" s="1">
        <f>'Unformatted Trip Summary'!H984</f>
        <v>0.29983889730000002</v>
      </c>
    </row>
    <row r="987" spans="1:8" x14ac:dyDescent="0.2">
      <c r="A987" t="str">
        <f>'Unformatted Trip Summary'!A985</f>
        <v>14 OTAGO</v>
      </c>
      <c r="B987" t="str">
        <f>'Unformatted Trip Summary'!J985</f>
        <v>2027/28</v>
      </c>
      <c r="C987" t="str">
        <f>'Unformatted Trip Summary'!I985</f>
        <v>Other Household Travel</v>
      </c>
      <c r="D987">
        <f>'Unformatted Trip Summary'!D985</f>
        <v>11</v>
      </c>
      <c r="E987">
        <f>'Unformatted Trip Summary'!E985</f>
        <v>38</v>
      </c>
      <c r="F987" s="1">
        <f>'Unformatted Trip Summary'!F985</f>
        <v>0.87375493940000004</v>
      </c>
      <c r="G987" s="1">
        <f>'Unformatted Trip Summary'!G985</f>
        <v>0</v>
      </c>
      <c r="H987" s="1">
        <f>'Unformatted Trip Summary'!H985</f>
        <v>0.3095856944</v>
      </c>
    </row>
    <row r="988" spans="1:8" x14ac:dyDescent="0.2">
      <c r="A988" t="str">
        <f>'Unformatted Trip Summary'!A986</f>
        <v>14 OTAGO</v>
      </c>
      <c r="B988" t="str">
        <f>'Unformatted Trip Summary'!J986</f>
        <v>2032/33</v>
      </c>
      <c r="C988" t="str">
        <f>'Unformatted Trip Summary'!I986</f>
        <v>Other Household Travel</v>
      </c>
      <c r="D988">
        <f>'Unformatted Trip Summary'!D986</f>
        <v>11</v>
      </c>
      <c r="E988">
        <f>'Unformatted Trip Summary'!E986</f>
        <v>38</v>
      </c>
      <c r="F988" s="1">
        <f>'Unformatted Trip Summary'!F986</f>
        <v>0.84674512599999996</v>
      </c>
      <c r="G988" s="1">
        <f>'Unformatted Trip Summary'!G986</f>
        <v>0</v>
      </c>
      <c r="H988" s="1">
        <f>'Unformatted Trip Summary'!H986</f>
        <v>0.31346924840000001</v>
      </c>
    </row>
    <row r="989" spans="1:8" x14ac:dyDescent="0.2">
      <c r="A989" t="str">
        <f>'Unformatted Trip Summary'!A987</f>
        <v>14 OTAGO</v>
      </c>
      <c r="B989" t="str">
        <f>'Unformatted Trip Summary'!J987</f>
        <v>2037/38</v>
      </c>
      <c r="C989" t="str">
        <f>'Unformatted Trip Summary'!I987</f>
        <v>Other Household Travel</v>
      </c>
      <c r="D989">
        <f>'Unformatted Trip Summary'!D987</f>
        <v>11</v>
      </c>
      <c r="E989">
        <f>'Unformatted Trip Summary'!E987</f>
        <v>38</v>
      </c>
      <c r="F989" s="1">
        <f>'Unformatted Trip Summary'!F987</f>
        <v>0.81379401210000002</v>
      </c>
      <c r="G989" s="1">
        <f>'Unformatted Trip Summary'!G987</f>
        <v>0</v>
      </c>
      <c r="H989" s="1">
        <f>'Unformatted Trip Summary'!H987</f>
        <v>0.31921133740000002</v>
      </c>
    </row>
    <row r="990" spans="1:8" x14ac:dyDescent="0.2">
      <c r="A990" t="str">
        <f>'Unformatted Trip Summary'!A988</f>
        <v>14 OTAGO</v>
      </c>
      <c r="B990" t="str">
        <f>'Unformatted Trip Summary'!J988</f>
        <v>2042/43</v>
      </c>
      <c r="C990" t="str">
        <f>'Unformatted Trip Summary'!I988</f>
        <v>Other Household Travel</v>
      </c>
      <c r="D990">
        <f>'Unformatted Trip Summary'!D988</f>
        <v>11</v>
      </c>
      <c r="E990">
        <f>'Unformatted Trip Summary'!E988</f>
        <v>38</v>
      </c>
      <c r="F990" s="1">
        <f>'Unformatted Trip Summary'!F988</f>
        <v>0.78488117319999995</v>
      </c>
      <c r="G990" s="1">
        <f>'Unformatted Trip Summary'!G988</f>
        <v>0</v>
      </c>
      <c r="H990" s="1">
        <f>'Unformatted Trip Summary'!H988</f>
        <v>0.3272769854</v>
      </c>
    </row>
    <row r="991" spans="1:8" x14ac:dyDescent="0.2">
      <c r="A991" t="str">
        <f>'Unformatted Trip Summary'!A989</f>
        <v>14 OTAGO</v>
      </c>
      <c r="B991" t="str">
        <f>'Unformatted Trip Summary'!J989</f>
        <v>2012/13</v>
      </c>
      <c r="C991" t="str">
        <f>'Unformatted Trip Summary'!I989</f>
        <v>Air/Non-Local PT</v>
      </c>
      <c r="D991">
        <f>'Unformatted Trip Summary'!D989</f>
        <v>12</v>
      </c>
      <c r="E991">
        <f>'Unformatted Trip Summary'!E989</f>
        <v>16</v>
      </c>
      <c r="F991" s="1">
        <f>'Unformatted Trip Summary'!F989</f>
        <v>0.45393948140000001</v>
      </c>
      <c r="G991" s="1">
        <f>'Unformatted Trip Summary'!G989</f>
        <v>32.668222239000002</v>
      </c>
      <c r="H991" s="1">
        <f>'Unformatted Trip Summary'!H989</f>
        <v>1.0816055304000001</v>
      </c>
    </row>
    <row r="992" spans="1:8" x14ac:dyDescent="0.2">
      <c r="A992" t="str">
        <f>'Unformatted Trip Summary'!A990</f>
        <v>14 OTAGO</v>
      </c>
      <c r="B992" t="str">
        <f>'Unformatted Trip Summary'!J990</f>
        <v>2017/18</v>
      </c>
      <c r="C992" t="str">
        <f>'Unformatted Trip Summary'!I990</f>
        <v>Air/Non-Local PT</v>
      </c>
      <c r="D992">
        <f>'Unformatted Trip Summary'!D990</f>
        <v>12</v>
      </c>
      <c r="E992">
        <f>'Unformatted Trip Summary'!E990</f>
        <v>16</v>
      </c>
      <c r="F992" s="1">
        <f>'Unformatted Trip Summary'!F990</f>
        <v>0.53890568329999999</v>
      </c>
      <c r="G992" s="1">
        <f>'Unformatted Trip Summary'!G990</f>
        <v>39.101606039000004</v>
      </c>
      <c r="H992" s="1">
        <f>'Unformatted Trip Summary'!H990</f>
        <v>1.2734817823</v>
      </c>
    </row>
    <row r="993" spans="1:8" x14ac:dyDescent="0.2">
      <c r="A993" t="str">
        <f>'Unformatted Trip Summary'!A991</f>
        <v>14 OTAGO</v>
      </c>
      <c r="B993" t="str">
        <f>'Unformatted Trip Summary'!J991</f>
        <v>2022/23</v>
      </c>
      <c r="C993" t="str">
        <f>'Unformatted Trip Summary'!I991</f>
        <v>Air/Non-Local PT</v>
      </c>
      <c r="D993">
        <f>'Unformatted Trip Summary'!D991</f>
        <v>12</v>
      </c>
      <c r="E993">
        <f>'Unformatted Trip Summary'!E991</f>
        <v>16</v>
      </c>
      <c r="F993" s="1">
        <f>'Unformatted Trip Summary'!F991</f>
        <v>0.61371571250000001</v>
      </c>
      <c r="G993" s="1">
        <f>'Unformatted Trip Summary'!G991</f>
        <v>43.861029917000003</v>
      </c>
      <c r="H993" s="1">
        <f>'Unformatted Trip Summary'!H991</f>
        <v>1.4288485673</v>
      </c>
    </row>
    <row r="994" spans="1:8" x14ac:dyDescent="0.2">
      <c r="A994" t="str">
        <f>'Unformatted Trip Summary'!A992</f>
        <v>14 OTAGO</v>
      </c>
      <c r="B994" t="str">
        <f>'Unformatted Trip Summary'!J992</f>
        <v>2027/28</v>
      </c>
      <c r="C994" t="str">
        <f>'Unformatted Trip Summary'!I992</f>
        <v>Air/Non-Local PT</v>
      </c>
      <c r="D994">
        <f>'Unformatted Trip Summary'!D992</f>
        <v>12</v>
      </c>
      <c r="E994">
        <f>'Unformatted Trip Summary'!E992</f>
        <v>16</v>
      </c>
      <c r="F994" s="1">
        <f>'Unformatted Trip Summary'!F992</f>
        <v>0.67582164140000001</v>
      </c>
      <c r="G994" s="1">
        <f>'Unformatted Trip Summary'!G992</f>
        <v>47.438063342</v>
      </c>
      <c r="H994" s="1">
        <f>'Unformatted Trip Summary'!H992</f>
        <v>1.5505081098</v>
      </c>
    </row>
    <row r="995" spans="1:8" x14ac:dyDescent="0.2">
      <c r="A995" t="str">
        <f>'Unformatted Trip Summary'!A993</f>
        <v>14 OTAGO</v>
      </c>
      <c r="B995" t="str">
        <f>'Unformatted Trip Summary'!J993</f>
        <v>2032/33</v>
      </c>
      <c r="C995" t="str">
        <f>'Unformatted Trip Summary'!I993</f>
        <v>Air/Non-Local PT</v>
      </c>
      <c r="D995">
        <f>'Unformatted Trip Summary'!D993</f>
        <v>12</v>
      </c>
      <c r="E995">
        <f>'Unformatted Trip Summary'!E993</f>
        <v>16</v>
      </c>
      <c r="F995" s="1">
        <f>'Unformatted Trip Summary'!F993</f>
        <v>0.73171525599999998</v>
      </c>
      <c r="G995" s="1">
        <f>'Unformatted Trip Summary'!G993</f>
        <v>50.580349345000002</v>
      </c>
      <c r="H995" s="1">
        <f>'Unformatted Trip Summary'!H993</f>
        <v>1.6669578105</v>
      </c>
    </row>
    <row r="996" spans="1:8" x14ac:dyDescent="0.2">
      <c r="A996" t="str">
        <f>'Unformatted Trip Summary'!A994</f>
        <v>14 OTAGO</v>
      </c>
      <c r="B996" t="str">
        <f>'Unformatted Trip Summary'!J994</f>
        <v>2037/38</v>
      </c>
      <c r="C996" t="str">
        <f>'Unformatted Trip Summary'!I994</f>
        <v>Air/Non-Local PT</v>
      </c>
      <c r="D996">
        <f>'Unformatted Trip Summary'!D994</f>
        <v>12</v>
      </c>
      <c r="E996">
        <f>'Unformatted Trip Summary'!E994</f>
        <v>16</v>
      </c>
      <c r="F996" s="1">
        <f>'Unformatted Trip Summary'!F994</f>
        <v>0.78029862429999997</v>
      </c>
      <c r="G996" s="1">
        <f>'Unformatted Trip Summary'!G994</f>
        <v>52.963055656999998</v>
      </c>
      <c r="H996" s="1">
        <f>'Unformatted Trip Summary'!H994</f>
        <v>1.7507386259</v>
      </c>
    </row>
    <row r="997" spans="1:8" x14ac:dyDescent="0.2">
      <c r="A997" t="str">
        <f>'Unformatted Trip Summary'!A995</f>
        <v>14 OTAGO</v>
      </c>
      <c r="B997" t="str">
        <f>'Unformatted Trip Summary'!J995</f>
        <v>2042/43</v>
      </c>
      <c r="C997" t="str">
        <f>'Unformatted Trip Summary'!I995</f>
        <v>Air/Non-Local PT</v>
      </c>
      <c r="D997">
        <f>'Unformatted Trip Summary'!D995</f>
        <v>12</v>
      </c>
      <c r="E997">
        <f>'Unformatted Trip Summary'!E995</f>
        <v>16</v>
      </c>
      <c r="F997" s="1">
        <f>'Unformatted Trip Summary'!F995</f>
        <v>0.82722519670000005</v>
      </c>
      <c r="G997" s="1">
        <f>'Unformatted Trip Summary'!G995</f>
        <v>55.066286830000003</v>
      </c>
      <c r="H997" s="1">
        <f>'Unformatted Trip Summary'!H995</f>
        <v>1.828402707</v>
      </c>
    </row>
    <row r="998" spans="1:8" x14ac:dyDescent="0.2">
      <c r="A998" t="str">
        <f>'Unformatted Trip Summary'!A996</f>
        <v>14 OTAGO</v>
      </c>
      <c r="B998" t="str">
        <f>'Unformatted Trip Summary'!J996</f>
        <v>2012/13</v>
      </c>
      <c r="C998" t="str">
        <f>'Unformatted Trip Summary'!I996</f>
        <v>Non-Household Travel</v>
      </c>
      <c r="D998">
        <f>'Unformatted Trip Summary'!D996</f>
        <v>8</v>
      </c>
      <c r="E998">
        <f>'Unformatted Trip Summary'!E996</f>
        <v>23</v>
      </c>
      <c r="F998" s="1">
        <f>'Unformatted Trip Summary'!F996</f>
        <v>0.69501361849999999</v>
      </c>
      <c r="G998" s="1">
        <f>'Unformatted Trip Summary'!G996</f>
        <v>6.1172965614999999</v>
      </c>
      <c r="H998" s="1">
        <f>'Unformatted Trip Summary'!H996</f>
        <v>0.18529166999999999</v>
      </c>
    </row>
    <row r="999" spans="1:8" x14ac:dyDescent="0.2">
      <c r="A999" t="str">
        <f>'Unformatted Trip Summary'!A997</f>
        <v>14 OTAGO</v>
      </c>
      <c r="B999" t="str">
        <f>'Unformatted Trip Summary'!J997</f>
        <v>2017/18</v>
      </c>
      <c r="C999" t="str">
        <f>'Unformatted Trip Summary'!I997</f>
        <v>Non-Household Travel</v>
      </c>
      <c r="D999">
        <f>'Unformatted Trip Summary'!D997</f>
        <v>8</v>
      </c>
      <c r="E999">
        <f>'Unformatted Trip Summary'!E997</f>
        <v>23</v>
      </c>
      <c r="F999" s="1">
        <f>'Unformatted Trip Summary'!F997</f>
        <v>0.80103598789999997</v>
      </c>
      <c r="G999" s="1">
        <f>'Unformatted Trip Summary'!G997</f>
        <v>7.5163182022999999</v>
      </c>
      <c r="H999" s="1">
        <f>'Unformatted Trip Summary'!H997</f>
        <v>0.22538516950000001</v>
      </c>
    </row>
    <row r="1000" spans="1:8" x14ac:dyDescent="0.2">
      <c r="A1000" t="str">
        <f>'Unformatted Trip Summary'!A998</f>
        <v>14 OTAGO</v>
      </c>
      <c r="B1000" t="str">
        <f>'Unformatted Trip Summary'!J998</f>
        <v>2022/23</v>
      </c>
      <c r="C1000" t="str">
        <f>'Unformatted Trip Summary'!I998</f>
        <v>Non-Household Travel</v>
      </c>
      <c r="D1000">
        <f>'Unformatted Trip Summary'!D998</f>
        <v>8</v>
      </c>
      <c r="E1000">
        <f>'Unformatted Trip Summary'!E998</f>
        <v>23</v>
      </c>
      <c r="F1000" s="1">
        <f>'Unformatted Trip Summary'!F998</f>
        <v>0.91871901369999998</v>
      </c>
      <c r="G1000" s="1">
        <f>'Unformatted Trip Summary'!G998</f>
        <v>8.8452489651999997</v>
      </c>
      <c r="H1000" s="1">
        <f>'Unformatted Trip Summary'!H998</f>
        <v>0.26540346970000001</v>
      </c>
    </row>
    <row r="1001" spans="1:8" x14ac:dyDescent="0.2">
      <c r="A1001" t="str">
        <f>'Unformatted Trip Summary'!A999</f>
        <v>14 OTAGO</v>
      </c>
      <c r="B1001" t="str">
        <f>'Unformatted Trip Summary'!J999</f>
        <v>2027/28</v>
      </c>
      <c r="C1001" t="str">
        <f>'Unformatted Trip Summary'!I999</f>
        <v>Non-Household Travel</v>
      </c>
      <c r="D1001">
        <f>'Unformatted Trip Summary'!D999</f>
        <v>8</v>
      </c>
      <c r="E1001">
        <f>'Unformatted Trip Summary'!E999</f>
        <v>23</v>
      </c>
      <c r="F1001" s="1">
        <f>'Unformatted Trip Summary'!F999</f>
        <v>1.0910658514</v>
      </c>
      <c r="G1001" s="1">
        <f>'Unformatted Trip Summary'!G999</f>
        <v>10.257354805</v>
      </c>
      <c r="H1001" s="1">
        <f>'Unformatted Trip Summary'!H999</f>
        <v>0.31446137419999998</v>
      </c>
    </row>
    <row r="1002" spans="1:8" x14ac:dyDescent="0.2">
      <c r="A1002" t="str">
        <f>'Unformatted Trip Summary'!A1000</f>
        <v>14 OTAGO</v>
      </c>
      <c r="B1002" t="str">
        <f>'Unformatted Trip Summary'!J1000</f>
        <v>2032/33</v>
      </c>
      <c r="C1002" t="str">
        <f>'Unformatted Trip Summary'!I1000</f>
        <v>Non-Household Travel</v>
      </c>
      <c r="D1002">
        <f>'Unformatted Trip Summary'!D1000</f>
        <v>8</v>
      </c>
      <c r="E1002">
        <f>'Unformatted Trip Summary'!E1000</f>
        <v>23</v>
      </c>
      <c r="F1002" s="1">
        <f>'Unformatted Trip Summary'!F1000</f>
        <v>1.2325687658</v>
      </c>
      <c r="G1002" s="1">
        <f>'Unformatted Trip Summary'!G1000</f>
        <v>11.206195129999999</v>
      </c>
      <c r="H1002" s="1">
        <f>'Unformatted Trip Summary'!H1000</f>
        <v>0.35294377669999999</v>
      </c>
    </row>
    <row r="1003" spans="1:8" x14ac:dyDescent="0.2">
      <c r="A1003" t="str">
        <f>'Unformatted Trip Summary'!A1001</f>
        <v>14 OTAGO</v>
      </c>
      <c r="B1003" t="str">
        <f>'Unformatted Trip Summary'!J1001</f>
        <v>2037/38</v>
      </c>
      <c r="C1003" t="str">
        <f>'Unformatted Trip Summary'!I1001</f>
        <v>Non-Household Travel</v>
      </c>
      <c r="D1003">
        <f>'Unformatted Trip Summary'!D1001</f>
        <v>8</v>
      </c>
      <c r="E1003">
        <f>'Unformatted Trip Summary'!E1001</f>
        <v>23</v>
      </c>
      <c r="F1003" s="1">
        <f>'Unformatted Trip Summary'!F1001</f>
        <v>1.3244722502999999</v>
      </c>
      <c r="G1003" s="1">
        <f>'Unformatted Trip Summary'!G1001</f>
        <v>11.802789904999999</v>
      </c>
      <c r="H1003" s="1">
        <f>'Unformatted Trip Summary'!H1001</f>
        <v>0.37869174480000001</v>
      </c>
    </row>
    <row r="1004" spans="1:8" x14ac:dyDescent="0.2">
      <c r="A1004" t="str">
        <f>'Unformatted Trip Summary'!A1002</f>
        <v>14 OTAGO</v>
      </c>
      <c r="B1004" t="str">
        <f>'Unformatted Trip Summary'!J1002</f>
        <v>2042/43</v>
      </c>
      <c r="C1004" t="str">
        <f>'Unformatted Trip Summary'!I1002</f>
        <v>Non-Household Travel</v>
      </c>
      <c r="D1004">
        <f>'Unformatted Trip Summary'!D1002</f>
        <v>8</v>
      </c>
      <c r="E1004">
        <f>'Unformatted Trip Summary'!E1002</f>
        <v>23</v>
      </c>
      <c r="F1004" s="1">
        <f>'Unformatted Trip Summary'!F1002</f>
        <v>1.4305867001999999</v>
      </c>
      <c r="G1004" s="1">
        <f>'Unformatted Trip Summary'!G1002</f>
        <v>12.420270113000001</v>
      </c>
      <c r="H1004" s="1">
        <f>'Unformatted Trip Summary'!H1002</f>
        <v>0.40720826770000002</v>
      </c>
    </row>
    <row r="1005" spans="1:8" x14ac:dyDescent="0.2">
      <c r="A1005" t="str">
        <f>'Unformatted Trip Summary'!A1003</f>
        <v>15 SOUTHLAND</v>
      </c>
      <c r="B1005" t="str">
        <f>'Unformatted Trip Summary'!J1003</f>
        <v>2012/13</v>
      </c>
      <c r="C1005" t="str">
        <f>'Unformatted Trip Summary'!I1003</f>
        <v>Pedestrian</v>
      </c>
      <c r="D1005">
        <f>'Unformatted Trip Summary'!D1003</f>
        <v>180</v>
      </c>
      <c r="E1005">
        <f>'Unformatted Trip Summary'!E1003</f>
        <v>617</v>
      </c>
      <c r="F1005" s="1">
        <f>'Unformatted Trip Summary'!F1003</f>
        <v>12.52065131</v>
      </c>
      <c r="G1005" s="1">
        <f>'Unformatted Trip Summary'!G1003</f>
        <v>8.8466785109000003</v>
      </c>
      <c r="H1005" s="1">
        <f>'Unformatted Trip Summary'!H1003</f>
        <v>2.2528617661000001</v>
      </c>
    </row>
    <row r="1006" spans="1:8" x14ac:dyDescent="0.2">
      <c r="A1006" t="str">
        <f>'Unformatted Trip Summary'!A1004</f>
        <v>15 SOUTHLAND</v>
      </c>
      <c r="B1006" t="str">
        <f>'Unformatted Trip Summary'!J1004</f>
        <v>2017/18</v>
      </c>
      <c r="C1006" t="str">
        <f>'Unformatted Trip Summary'!I1004</f>
        <v>Pedestrian</v>
      </c>
      <c r="D1006">
        <f>'Unformatted Trip Summary'!D1004</f>
        <v>180</v>
      </c>
      <c r="E1006">
        <f>'Unformatted Trip Summary'!E1004</f>
        <v>617</v>
      </c>
      <c r="F1006" s="1">
        <f>'Unformatted Trip Summary'!F1004</f>
        <v>12.667644591</v>
      </c>
      <c r="G1006" s="1">
        <f>'Unformatted Trip Summary'!G1004</f>
        <v>8.9957056555000001</v>
      </c>
      <c r="H1006" s="1">
        <f>'Unformatted Trip Summary'!H1004</f>
        <v>2.2900007799000002</v>
      </c>
    </row>
    <row r="1007" spans="1:8" x14ac:dyDescent="0.2">
      <c r="A1007" t="str">
        <f>'Unformatted Trip Summary'!A1005</f>
        <v>15 SOUTHLAND</v>
      </c>
      <c r="B1007" t="str">
        <f>'Unformatted Trip Summary'!J1005</f>
        <v>2022/23</v>
      </c>
      <c r="C1007" t="str">
        <f>'Unformatted Trip Summary'!I1005</f>
        <v>Pedestrian</v>
      </c>
      <c r="D1007">
        <f>'Unformatted Trip Summary'!D1005</f>
        <v>180</v>
      </c>
      <c r="E1007">
        <f>'Unformatted Trip Summary'!E1005</f>
        <v>617</v>
      </c>
      <c r="F1007" s="1">
        <f>'Unformatted Trip Summary'!F1005</f>
        <v>12.657703605</v>
      </c>
      <c r="G1007" s="1">
        <f>'Unformatted Trip Summary'!G1005</f>
        <v>9.0015569693999993</v>
      </c>
      <c r="H1007" s="1">
        <f>'Unformatted Trip Summary'!H1005</f>
        <v>2.2881543997999998</v>
      </c>
    </row>
    <row r="1008" spans="1:8" x14ac:dyDescent="0.2">
      <c r="A1008" t="str">
        <f>'Unformatted Trip Summary'!A1006</f>
        <v>15 SOUTHLAND</v>
      </c>
      <c r="B1008" t="str">
        <f>'Unformatted Trip Summary'!J1006</f>
        <v>2027/28</v>
      </c>
      <c r="C1008" t="str">
        <f>'Unformatted Trip Summary'!I1006</f>
        <v>Pedestrian</v>
      </c>
      <c r="D1008">
        <f>'Unformatted Trip Summary'!D1006</f>
        <v>180</v>
      </c>
      <c r="E1008">
        <f>'Unformatted Trip Summary'!E1006</f>
        <v>617</v>
      </c>
      <c r="F1008" s="1">
        <f>'Unformatted Trip Summary'!F1006</f>
        <v>12.664428055</v>
      </c>
      <c r="G1008" s="1">
        <f>'Unformatted Trip Summary'!G1006</f>
        <v>9.0300708151000002</v>
      </c>
      <c r="H1008" s="1">
        <f>'Unformatted Trip Summary'!H1006</f>
        <v>2.2681329990000001</v>
      </c>
    </row>
    <row r="1009" spans="1:8" x14ac:dyDescent="0.2">
      <c r="A1009" t="str">
        <f>'Unformatted Trip Summary'!A1007</f>
        <v>15 SOUTHLAND</v>
      </c>
      <c r="B1009" t="str">
        <f>'Unformatted Trip Summary'!J1007</f>
        <v>2032/33</v>
      </c>
      <c r="C1009" t="str">
        <f>'Unformatted Trip Summary'!I1007</f>
        <v>Pedestrian</v>
      </c>
      <c r="D1009">
        <f>'Unformatted Trip Summary'!D1007</f>
        <v>180</v>
      </c>
      <c r="E1009">
        <f>'Unformatted Trip Summary'!E1007</f>
        <v>617</v>
      </c>
      <c r="F1009" s="1">
        <f>'Unformatted Trip Summary'!F1007</f>
        <v>12.47125505</v>
      </c>
      <c r="G1009" s="1">
        <f>'Unformatted Trip Summary'!G1007</f>
        <v>8.8574022688999996</v>
      </c>
      <c r="H1009" s="1">
        <f>'Unformatted Trip Summary'!H1007</f>
        <v>2.2186663391999999</v>
      </c>
    </row>
    <row r="1010" spans="1:8" x14ac:dyDescent="0.2">
      <c r="A1010" t="str">
        <f>'Unformatted Trip Summary'!A1008</f>
        <v>15 SOUTHLAND</v>
      </c>
      <c r="B1010" t="str">
        <f>'Unformatted Trip Summary'!J1008</f>
        <v>2037/38</v>
      </c>
      <c r="C1010" t="str">
        <f>'Unformatted Trip Summary'!I1008</f>
        <v>Pedestrian</v>
      </c>
      <c r="D1010">
        <f>'Unformatted Trip Summary'!D1008</f>
        <v>180</v>
      </c>
      <c r="E1010">
        <f>'Unformatted Trip Summary'!E1008</f>
        <v>617</v>
      </c>
      <c r="F1010" s="1">
        <f>'Unformatted Trip Summary'!F1008</f>
        <v>12.125144562999999</v>
      </c>
      <c r="G1010" s="1">
        <f>'Unformatted Trip Summary'!G1008</f>
        <v>8.6701639248000006</v>
      </c>
      <c r="H1010" s="1">
        <f>'Unformatted Trip Summary'!H1008</f>
        <v>2.1547176957</v>
      </c>
    </row>
    <row r="1011" spans="1:8" x14ac:dyDescent="0.2">
      <c r="A1011" t="str">
        <f>'Unformatted Trip Summary'!A1009</f>
        <v>15 SOUTHLAND</v>
      </c>
      <c r="B1011" t="str">
        <f>'Unformatted Trip Summary'!J1009</f>
        <v>2042/43</v>
      </c>
      <c r="C1011" t="str">
        <f>'Unformatted Trip Summary'!I1009</f>
        <v>Pedestrian</v>
      </c>
      <c r="D1011">
        <f>'Unformatted Trip Summary'!D1009</f>
        <v>180</v>
      </c>
      <c r="E1011">
        <f>'Unformatted Trip Summary'!E1009</f>
        <v>617</v>
      </c>
      <c r="F1011" s="1">
        <f>'Unformatted Trip Summary'!F1009</f>
        <v>11.718073206</v>
      </c>
      <c r="G1011" s="1">
        <f>'Unformatted Trip Summary'!G1009</f>
        <v>8.4224381205000007</v>
      </c>
      <c r="H1011" s="1">
        <f>'Unformatted Trip Summary'!H1009</f>
        <v>2.0776072186999999</v>
      </c>
    </row>
    <row r="1012" spans="1:8" x14ac:dyDescent="0.2">
      <c r="A1012" t="str">
        <f>'Unformatted Trip Summary'!A1010</f>
        <v>15 SOUTHLAND</v>
      </c>
      <c r="B1012" t="str">
        <f>'Unformatted Trip Summary'!J1010</f>
        <v>2012/13</v>
      </c>
      <c r="C1012" t="str">
        <f>'Unformatted Trip Summary'!I1010</f>
        <v>Cyclist</v>
      </c>
      <c r="D1012">
        <f>'Unformatted Trip Summary'!D1010</f>
        <v>19</v>
      </c>
      <c r="E1012">
        <f>'Unformatted Trip Summary'!E1010</f>
        <v>72</v>
      </c>
      <c r="F1012" s="1">
        <f>'Unformatted Trip Summary'!F1010</f>
        <v>1.0312878256</v>
      </c>
      <c r="G1012" s="1">
        <f>'Unformatted Trip Summary'!G1010</f>
        <v>7.5402861329000004</v>
      </c>
      <c r="H1012" s="1">
        <f>'Unformatted Trip Summary'!H1010</f>
        <v>0.50294231479999996</v>
      </c>
    </row>
    <row r="1013" spans="1:8" x14ac:dyDescent="0.2">
      <c r="A1013" t="str">
        <f>'Unformatted Trip Summary'!A1011</f>
        <v>15 SOUTHLAND</v>
      </c>
      <c r="B1013" t="str">
        <f>'Unformatted Trip Summary'!J1011</f>
        <v>2017/18</v>
      </c>
      <c r="C1013" t="str">
        <f>'Unformatted Trip Summary'!I1011</f>
        <v>Cyclist</v>
      </c>
      <c r="D1013">
        <f>'Unformatted Trip Summary'!D1011</f>
        <v>19</v>
      </c>
      <c r="E1013">
        <f>'Unformatted Trip Summary'!E1011</f>
        <v>72</v>
      </c>
      <c r="F1013" s="1">
        <f>'Unformatted Trip Summary'!F1011</f>
        <v>1.0673430641999999</v>
      </c>
      <c r="G1013" s="1">
        <f>'Unformatted Trip Summary'!G1011</f>
        <v>8.2755531411999996</v>
      </c>
      <c r="H1013" s="1">
        <f>'Unformatted Trip Summary'!H1011</f>
        <v>0.54327120949999996</v>
      </c>
    </row>
    <row r="1014" spans="1:8" x14ac:dyDescent="0.2">
      <c r="A1014" t="str">
        <f>'Unformatted Trip Summary'!A1012</f>
        <v>15 SOUTHLAND</v>
      </c>
      <c r="B1014" t="str">
        <f>'Unformatted Trip Summary'!J1012</f>
        <v>2022/23</v>
      </c>
      <c r="C1014" t="str">
        <f>'Unformatted Trip Summary'!I1012</f>
        <v>Cyclist</v>
      </c>
      <c r="D1014">
        <f>'Unformatted Trip Summary'!D1012</f>
        <v>19</v>
      </c>
      <c r="E1014">
        <f>'Unformatted Trip Summary'!E1012</f>
        <v>72</v>
      </c>
      <c r="F1014" s="1">
        <f>'Unformatted Trip Summary'!F1012</f>
        <v>1.0565883277999999</v>
      </c>
      <c r="G1014" s="1">
        <f>'Unformatted Trip Summary'!G1012</f>
        <v>8.3934888316999992</v>
      </c>
      <c r="H1014" s="1">
        <f>'Unformatted Trip Summary'!H1012</f>
        <v>0.54985889669999999</v>
      </c>
    </row>
    <row r="1015" spans="1:8" x14ac:dyDescent="0.2">
      <c r="A1015" t="str">
        <f>'Unformatted Trip Summary'!A1013</f>
        <v>15 SOUTHLAND</v>
      </c>
      <c r="B1015" t="str">
        <f>'Unformatted Trip Summary'!J1013</f>
        <v>2027/28</v>
      </c>
      <c r="C1015" t="str">
        <f>'Unformatted Trip Summary'!I1013</f>
        <v>Cyclist</v>
      </c>
      <c r="D1015">
        <f>'Unformatted Trip Summary'!D1013</f>
        <v>19</v>
      </c>
      <c r="E1015">
        <f>'Unformatted Trip Summary'!E1013</f>
        <v>72</v>
      </c>
      <c r="F1015" s="1">
        <f>'Unformatted Trip Summary'!F1013</f>
        <v>1.0488258159999999</v>
      </c>
      <c r="G1015" s="1">
        <f>'Unformatted Trip Summary'!G1013</f>
        <v>7.6747968747000002</v>
      </c>
      <c r="H1015" s="1">
        <f>'Unformatted Trip Summary'!H1013</f>
        <v>0.51841312399999995</v>
      </c>
    </row>
    <row r="1016" spans="1:8" x14ac:dyDescent="0.2">
      <c r="A1016" t="str">
        <f>'Unformatted Trip Summary'!A1014</f>
        <v>15 SOUTHLAND</v>
      </c>
      <c r="B1016" t="str">
        <f>'Unformatted Trip Summary'!J1014</f>
        <v>2032/33</v>
      </c>
      <c r="C1016" t="str">
        <f>'Unformatted Trip Summary'!I1014</f>
        <v>Cyclist</v>
      </c>
      <c r="D1016">
        <f>'Unformatted Trip Summary'!D1014</f>
        <v>19</v>
      </c>
      <c r="E1016">
        <f>'Unformatted Trip Summary'!E1014</f>
        <v>72</v>
      </c>
      <c r="F1016" s="1">
        <f>'Unformatted Trip Summary'!F1014</f>
        <v>1.0456659862</v>
      </c>
      <c r="G1016" s="1">
        <f>'Unformatted Trip Summary'!G1014</f>
        <v>7.1655216314999999</v>
      </c>
      <c r="H1016" s="1">
        <f>'Unformatted Trip Summary'!H1014</f>
        <v>0.49338115529999998</v>
      </c>
    </row>
    <row r="1017" spans="1:8" x14ac:dyDescent="0.2">
      <c r="A1017" t="str">
        <f>'Unformatted Trip Summary'!A1015</f>
        <v>15 SOUTHLAND</v>
      </c>
      <c r="B1017" t="str">
        <f>'Unformatted Trip Summary'!J1015</f>
        <v>2037/38</v>
      </c>
      <c r="C1017" t="str">
        <f>'Unformatted Trip Summary'!I1015</f>
        <v>Cyclist</v>
      </c>
      <c r="D1017">
        <f>'Unformatted Trip Summary'!D1015</f>
        <v>19</v>
      </c>
      <c r="E1017">
        <f>'Unformatted Trip Summary'!E1015</f>
        <v>72</v>
      </c>
      <c r="F1017" s="1">
        <f>'Unformatted Trip Summary'!F1015</f>
        <v>0.99443644929999997</v>
      </c>
      <c r="G1017" s="1">
        <f>'Unformatted Trip Summary'!G1015</f>
        <v>6.7471961906000004</v>
      </c>
      <c r="H1017" s="1">
        <f>'Unformatted Trip Summary'!H1015</f>
        <v>0.4648141341</v>
      </c>
    </row>
    <row r="1018" spans="1:8" x14ac:dyDescent="0.2">
      <c r="A1018" t="str">
        <f>'Unformatted Trip Summary'!A1016</f>
        <v>15 SOUTHLAND</v>
      </c>
      <c r="B1018" t="str">
        <f>'Unformatted Trip Summary'!J1016</f>
        <v>2042/43</v>
      </c>
      <c r="C1018" t="str">
        <f>'Unformatted Trip Summary'!I1016</f>
        <v>Cyclist</v>
      </c>
      <c r="D1018">
        <f>'Unformatted Trip Summary'!D1016</f>
        <v>19</v>
      </c>
      <c r="E1018">
        <f>'Unformatted Trip Summary'!E1016</f>
        <v>72</v>
      </c>
      <c r="F1018" s="1">
        <f>'Unformatted Trip Summary'!F1016</f>
        <v>0.9383920805</v>
      </c>
      <c r="G1018" s="1">
        <f>'Unformatted Trip Summary'!G1016</f>
        <v>6.3207250162999999</v>
      </c>
      <c r="H1018" s="1">
        <f>'Unformatted Trip Summary'!H1016</f>
        <v>0.43566768230000003</v>
      </c>
    </row>
    <row r="1019" spans="1:8" x14ac:dyDescent="0.2">
      <c r="A1019" t="str">
        <f>'Unformatted Trip Summary'!A1017</f>
        <v>15 SOUTHLAND</v>
      </c>
      <c r="B1019" t="str">
        <f>'Unformatted Trip Summary'!J1017</f>
        <v>2012/13</v>
      </c>
      <c r="C1019" t="str">
        <f>'Unformatted Trip Summary'!I1017</f>
        <v>Light Vehicle Driver</v>
      </c>
      <c r="D1019">
        <f>'Unformatted Trip Summary'!D1017</f>
        <v>442</v>
      </c>
      <c r="E1019">
        <f>'Unformatted Trip Summary'!E1017</f>
        <v>3080</v>
      </c>
      <c r="F1019" s="1">
        <f>'Unformatted Trip Summary'!F1017</f>
        <v>66.981547285000005</v>
      </c>
      <c r="G1019" s="1">
        <f>'Unformatted Trip Summary'!G1017</f>
        <v>657.74873722999996</v>
      </c>
      <c r="H1019" s="1">
        <f>'Unformatted Trip Summary'!H1017</f>
        <v>14.603785903</v>
      </c>
    </row>
    <row r="1020" spans="1:8" x14ac:dyDescent="0.2">
      <c r="A1020" t="str">
        <f>'Unformatted Trip Summary'!A1018</f>
        <v>15 SOUTHLAND</v>
      </c>
      <c r="B1020" t="str">
        <f>'Unformatted Trip Summary'!J1018</f>
        <v>2017/18</v>
      </c>
      <c r="C1020" t="str">
        <f>'Unformatted Trip Summary'!I1018</f>
        <v>Light Vehicle Driver</v>
      </c>
      <c r="D1020">
        <f>'Unformatted Trip Summary'!D1018</f>
        <v>442</v>
      </c>
      <c r="E1020">
        <f>'Unformatted Trip Summary'!E1018</f>
        <v>3080</v>
      </c>
      <c r="F1020" s="1">
        <f>'Unformatted Trip Summary'!F1018</f>
        <v>70.126568223999996</v>
      </c>
      <c r="G1020" s="1">
        <f>'Unformatted Trip Summary'!G1018</f>
        <v>708.65514853000002</v>
      </c>
      <c r="H1020" s="1">
        <f>'Unformatted Trip Summary'!H1018</f>
        <v>15.598775570999999</v>
      </c>
    </row>
    <row r="1021" spans="1:8" x14ac:dyDescent="0.2">
      <c r="A1021" t="str">
        <f>'Unformatted Trip Summary'!A1019</f>
        <v>15 SOUTHLAND</v>
      </c>
      <c r="B1021" t="str">
        <f>'Unformatted Trip Summary'!J1019</f>
        <v>2022/23</v>
      </c>
      <c r="C1021" t="str">
        <f>'Unformatted Trip Summary'!I1019</f>
        <v>Light Vehicle Driver</v>
      </c>
      <c r="D1021">
        <f>'Unformatted Trip Summary'!D1019</f>
        <v>442</v>
      </c>
      <c r="E1021">
        <f>'Unformatted Trip Summary'!E1019</f>
        <v>3080</v>
      </c>
      <c r="F1021" s="1">
        <f>'Unformatted Trip Summary'!F1019</f>
        <v>70.748154123000006</v>
      </c>
      <c r="G1021" s="1">
        <f>'Unformatted Trip Summary'!G1019</f>
        <v>733.40189199999998</v>
      </c>
      <c r="H1021" s="1">
        <f>'Unformatted Trip Summary'!H1019</f>
        <v>16.006946580000001</v>
      </c>
    </row>
    <row r="1022" spans="1:8" x14ac:dyDescent="0.2">
      <c r="A1022" t="str">
        <f>'Unformatted Trip Summary'!A1020</f>
        <v>15 SOUTHLAND</v>
      </c>
      <c r="B1022" t="str">
        <f>'Unformatted Trip Summary'!J1020</f>
        <v>2027/28</v>
      </c>
      <c r="C1022" t="str">
        <f>'Unformatted Trip Summary'!I1020</f>
        <v>Light Vehicle Driver</v>
      </c>
      <c r="D1022">
        <f>'Unformatted Trip Summary'!D1020</f>
        <v>442</v>
      </c>
      <c r="E1022">
        <f>'Unformatted Trip Summary'!E1020</f>
        <v>3080</v>
      </c>
      <c r="F1022" s="1">
        <f>'Unformatted Trip Summary'!F1020</f>
        <v>70.956558876000003</v>
      </c>
      <c r="G1022" s="1">
        <f>'Unformatted Trip Summary'!G1020</f>
        <v>746.06199043000004</v>
      </c>
      <c r="H1022" s="1">
        <f>'Unformatted Trip Summary'!H1020</f>
        <v>16.18229517</v>
      </c>
    </row>
    <row r="1023" spans="1:8" x14ac:dyDescent="0.2">
      <c r="A1023" t="str">
        <f>'Unformatted Trip Summary'!A1021</f>
        <v>15 SOUTHLAND</v>
      </c>
      <c r="B1023" t="str">
        <f>'Unformatted Trip Summary'!J1021</f>
        <v>2032/33</v>
      </c>
      <c r="C1023" t="str">
        <f>'Unformatted Trip Summary'!I1021</f>
        <v>Light Vehicle Driver</v>
      </c>
      <c r="D1023">
        <f>'Unformatted Trip Summary'!D1021</f>
        <v>442</v>
      </c>
      <c r="E1023">
        <f>'Unformatted Trip Summary'!E1021</f>
        <v>3080</v>
      </c>
      <c r="F1023" s="1">
        <f>'Unformatted Trip Summary'!F1021</f>
        <v>71.481589532000001</v>
      </c>
      <c r="G1023" s="1">
        <f>'Unformatted Trip Summary'!G1021</f>
        <v>757.49917452</v>
      </c>
      <c r="H1023" s="1">
        <f>'Unformatted Trip Summary'!H1021</f>
        <v>16.369363885999999</v>
      </c>
    </row>
    <row r="1024" spans="1:8" x14ac:dyDescent="0.2">
      <c r="A1024" t="str">
        <f>'Unformatted Trip Summary'!A1022</f>
        <v>15 SOUTHLAND</v>
      </c>
      <c r="B1024" t="str">
        <f>'Unformatted Trip Summary'!J1022</f>
        <v>2037/38</v>
      </c>
      <c r="C1024" t="str">
        <f>'Unformatted Trip Summary'!I1022</f>
        <v>Light Vehicle Driver</v>
      </c>
      <c r="D1024">
        <f>'Unformatted Trip Summary'!D1022</f>
        <v>442</v>
      </c>
      <c r="E1024">
        <f>'Unformatted Trip Summary'!E1022</f>
        <v>3080</v>
      </c>
      <c r="F1024" s="1">
        <f>'Unformatted Trip Summary'!F1022</f>
        <v>71.425055908000004</v>
      </c>
      <c r="G1024" s="1">
        <f>'Unformatted Trip Summary'!G1022</f>
        <v>760.77190142999996</v>
      </c>
      <c r="H1024" s="1">
        <f>'Unformatted Trip Summary'!H1022</f>
        <v>16.413260587</v>
      </c>
    </row>
    <row r="1025" spans="1:8" x14ac:dyDescent="0.2">
      <c r="A1025" t="str">
        <f>'Unformatted Trip Summary'!A1023</f>
        <v>15 SOUTHLAND</v>
      </c>
      <c r="B1025" t="str">
        <f>'Unformatted Trip Summary'!J1023</f>
        <v>2042/43</v>
      </c>
      <c r="C1025" t="str">
        <f>'Unformatted Trip Summary'!I1023</f>
        <v>Light Vehicle Driver</v>
      </c>
      <c r="D1025">
        <f>'Unformatted Trip Summary'!D1023</f>
        <v>442</v>
      </c>
      <c r="E1025">
        <f>'Unformatted Trip Summary'!E1023</f>
        <v>3080</v>
      </c>
      <c r="F1025" s="1">
        <f>'Unformatted Trip Summary'!F1023</f>
        <v>71.154502398999995</v>
      </c>
      <c r="G1025" s="1">
        <f>'Unformatted Trip Summary'!G1023</f>
        <v>762.31819558999996</v>
      </c>
      <c r="H1025" s="1">
        <f>'Unformatted Trip Summary'!H1023</f>
        <v>16.406186461000001</v>
      </c>
    </row>
    <row r="1026" spans="1:8" x14ac:dyDescent="0.2">
      <c r="A1026" t="str">
        <f>'Unformatted Trip Summary'!A1024</f>
        <v>15 SOUTHLAND</v>
      </c>
      <c r="B1026" t="str">
        <f>'Unformatted Trip Summary'!J1024</f>
        <v>2012/13</v>
      </c>
      <c r="C1026" t="str">
        <f>'Unformatted Trip Summary'!I1024</f>
        <v>Light Vehicle Passenger</v>
      </c>
      <c r="D1026">
        <f>'Unformatted Trip Summary'!D1024</f>
        <v>289</v>
      </c>
      <c r="E1026">
        <f>'Unformatted Trip Summary'!E1024</f>
        <v>1411</v>
      </c>
      <c r="F1026" s="1">
        <f>'Unformatted Trip Summary'!F1024</f>
        <v>28.419434702</v>
      </c>
      <c r="G1026" s="1">
        <f>'Unformatted Trip Summary'!G1024</f>
        <v>380.70733008000002</v>
      </c>
      <c r="H1026" s="1">
        <f>'Unformatted Trip Summary'!H1024</f>
        <v>7.5859087797999996</v>
      </c>
    </row>
    <row r="1027" spans="1:8" x14ac:dyDescent="0.2">
      <c r="A1027" t="str">
        <f>'Unformatted Trip Summary'!A1025</f>
        <v>15 SOUTHLAND</v>
      </c>
      <c r="B1027" t="str">
        <f>'Unformatted Trip Summary'!J1025</f>
        <v>2017/18</v>
      </c>
      <c r="C1027" t="str">
        <f>'Unformatted Trip Summary'!I1025</f>
        <v>Light Vehicle Passenger</v>
      </c>
      <c r="D1027">
        <f>'Unformatted Trip Summary'!D1025</f>
        <v>289</v>
      </c>
      <c r="E1027">
        <f>'Unformatted Trip Summary'!E1025</f>
        <v>1411</v>
      </c>
      <c r="F1027" s="1">
        <f>'Unformatted Trip Summary'!F1025</f>
        <v>27.382620130999999</v>
      </c>
      <c r="G1027" s="1">
        <f>'Unformatted Trip Summary'!G1025</f>
        <v>391.38806614999999</v>
      </c>
      <c r="H1027" s="1">
        <f>'Unformatted Trip Summary'!H1025</f>
        <v>7.6428176813000004</v>
      </c>
    </row>
    <row r="1028" spans="1:8" x14ac:dyDescent="0.2">
      <c r="A1028" t="str">
        <f>'Unformatted Trip Summary'!A1026</f>
        <v>15 SOUTHLAND</v>
      </c>
      <c r="B1028" t="str">
        <f>'Unformatted Trip Summary'!J1026</f>
        <v>2022/23</v>
      </c>
      <c r="C1028" t="str">
        <f>'Unformatted Trip Summary'!I1026</f>
        <v>Light Vehicle Passenger</v>
      </c>
      <c r="D1028">
        <f>'Unformatted Trip Summary'!D1026</f>
        <v>289</v>
      </c>
      <c r="E1028">
        <f>'Unformatted Trip Summary'!E1026</f>
        <v>1411</v>
      </c>
      <c r="F1028" s="1">
        <f>'Unformatted Trip Summary'!F1026</f>
        <v>26.292487388000001</v>
      </c>
      <c r="G1028" s="1">
        <f>'Unformatted Trip Summary'!G1026</f>
        <v>397.47824809999997</v>
      </c>
      <c r="H1028" s="1">
        <f>'Unformatted Trip Summary'!H1026</f>
        <v>7.6474535119000002</v>
      </c>
    </row>
    <row r="1029" spans="1:8" x14ac:dyDescent="0.2">
      <c r="A1029" t="str">
        <f>'Unformatted Trip Summary'!A1027</f>
        <v>15 SOUTHLAND</v>
      </c>
      <c r="B1029" t="str">
        <f>'Unformatted Trip Summary'!J1027</f>
        <v>2027/28</v>
      </c>
      <c r="C1029" t="str">
        <f>'Unformatted Trip Summary'!I1027</f>
        <v>Light Vehicle Passenger</v>
      </c>
      <c r="D1029">
        <f>'Unformatted Trip Summary'!D1027</f>
        <v>289</v>
      </c>
      <c r="E1029">
        <f>'Unformatted Trip Summary'!E1027</f>
        <v>1411</v>
      </c>
      <c r="F1029" s="1">
        <f>'Unformatted Trip Summary'!F1027</f>
        <v>25.427439524</v>
      </c>
      <c r="G1029" s="1">
        <f>'Unformatted Trip Summary'!G1027</f>
        <v>397.78660053999999</v>
      </c>
      <c r="H1029" s="1">
        <f>'Unformatted Trip Summary'!H1027</f>
        <v>7.5969260532999998</v>
      </c>
    </row>
    <row r="1030" spans="1:8" x14ac:dyDescent="0.2">
      <c r="A1030" t="str">
        <f>'Unformatted Trip Summary'!A1028</f>
        <v>15 SOUTHLAND</v>
      </c>
      <c r="B1030" t="str">
        <f>'Unformatted Trip Summary'!J1028</f>
        <v>2032/33</v>
      </c>
      <c r="C1030" t="str">
        <f>'Unformatted Trip Summary'!I1028</f>
        <v>Light Vehicle Passenger</v>
      </c>
      <c r="D1030">
        <f>'Unformatted Trip Summary'!D1028</f>
        <v>289</v>
      </c>
      <c r="E1030">
        <f>'Unformatted Trip Summary'!E1028</f>
        <v>1411</v>
      </c>
      <c r="F1030" s="1">
        <f>'Unformatted Trip Summary'!F1028</f>
        <v>24.471006232000001</v>
      </c>
      <c r="G1030" s="1">
        <f>'Unformatted Trip Summary'!G1028</f>
        <v>392.34199265000001</v>
      </c>
      <c r="H1030" s="1">
        <f>'Unformatted Trip Summary'!H1028</f>
        <v>7.4576810847999999</v>
      </c>
    </row>
    <row r="1031" spans="1:8" x14ac:dyDescent="0.2">
      <c r="A1031" t="str">
        <f>'Unformatted Trip Summary'!A1029</f>
        <v>15 SOUTHLAND</v>
      </c>
      <c r="B1031" t="str">
        <f>'Unformatted Trip Summary'!J1029</f>
        <v>2037/38</v>
      </c>
      <c r="C1031" t="str">
        <f>'Unformatted Trip Summary'!I1029</f>
        <v>Light Vehicle Passenger</v>
      </c>
      <c r="D1031">
        <f>'Unformatted Trip Summary'!D1029</f>
        <v>289</v>
      </c>
      <c r="E1031">
        <f>'Unformatted Trip Summary'!E1029</f>
        <v>1411</v>
      </c>
      <c r="F1031" s="1">
        <f>'Unformatted Trip Summary'!F1029</f>
        <v>23.383114912</v>
      </c>
      <c r="G1031" s="1">
        <f>'Unformatted Trip Summary'!G1029</f>
        <v>381.92092364000001</v>
      </c>
      <c r="H1031" s="1">
        <f>'Unformatted Trip Summary'!H1029</f>
        <v>7.2276557249</v>
      </c>
    </row>
    <row r="1032" spans="1:8" x14ac:dyDescent="0.2">
      <c r="A1032" t="str">
        <f>'Unformatted Trip Summary'!A1030</f>
        <v>15 SOUTHLAND</v>
      </c>
      <c r="B1032" t="str">
        <f>'Unformatted Trip Summary'!J1030</f>
        <v>2042/43</v>
      </c>
      <c r="C1032" t="str">
        <f>'Unformatted Trip Summary'!I1030</f>
        <v>Light Vehicle Passenger</v>
      </c>
      <c r="D1032">
        <f>'Unformatted Trip Summary'!D1030</f>
        <v>289</v>
      </c>
      <c r="E1032">
        <f>'Unformatted Trip Summary'!E1030</f>
        <v>1411</v>
      </c>
      <c r="F1032" s="1">
        <f>'Unformatted Trip Summary'!F1030</f>
        <v>22.181627466999998</v>
      </c>
      <c r="G1032" s="1">
        <f>'Unformatted Trip Summary'!G1030</f>
        <v>368.90422524000002</v>
      </c>
      <c r="H1032" s="1">
        <f>'Unformatted Trip Summary'!H1030</f>
        <v>6.9476836906999999</v>
      </c>
    </row>
    <row r="1033" spans="1:8" x14ac:dyDescent="0.2">
      <c r="A1033" t="str">
        <f>'Unformatted Trip Summary'!A1031</f>
        <v>15 SOUTHLAND</v>
      </c>
      <c r="B1033" t="str">
        <f>'Unformatted Trip Summary'!J1031</f>
        <v>2012/13</v>
      </c>
      <c r="C1033" t="str">
        <f>'Unformatted Trip Summary'!I1031</f>
        <v>Taxi/Vehicle Share</v>
      </c>
      <c r="D1033">
        <f>'Unformatted Trip Summary'!D1031</f>
        <v>4</v>
      </c>
      <c r="E1033">
        <f>'Unformatted Trip Summary'!E1031</f>
        <v>15</v>
      </c>
      <c r="F1033" s="1">
        <f>'Unformatted Trip Summary'!F1031</f>
        <v>0.47613164409999997</v>
      </c>
      <c r="G1033" s="1">
        <f>'Unformatted Trip Summary'!G1031</f>
        <v>1.2430116738999999</v>
      </c>
      <c r="H1033" s="1">
        <f>'Unformatted Trip Summary'!H1031</f>
        <v>6.6688903300000005E-2</v>
      </c>
    </row>
    <row r="1034" spans="1:8" x14ac:dyDescent="0.2">
      <c r="A1034" t="str">
        <f>'Unformatted Trip Summary'!A1032</f>
        <v>15 SOUTHLAND</v>
      </c>
      <c r="B1034" t="str">
        <f>'Unformatted Trip Summary'!J1032</f>
        <v>2017/18</v>
      </c>
      <c r="C1034" t="str">
        <f>'Unformatted Trip Summary'!I1032</f>
        <v>Taxi/Vehicle Share</v>
      </c>
      <c r="D1034">
        <f>'Unformatted Trip Summary'!D1032</f>
        <v>4</v>
      </c>
      <c r="E1034">
        <f>'Unformatted Trip Summary'!E1032</f>
        <v>15</v>
      </c>
      <c r="F1034" s="1">
        <f>'Unformatted Trip Summary'!F1032</f>
        <v>0.51433755179999996</v>
      </c>
      <c r="G1034" s="1">
        <f>'Unformatted Trip Summary'!G1032</f>
        <v>1.4468927301000001</v>
      </c>
      <c r="H1034" s="1">
        <f>'Unformatted Trip Summary'!H1032</f>
        <v>7.6017160099999995E-2</v>
      </c>
    </row>
    <row r="1035" spans="1:8" x14ac:dyDescent="0.2">
      <c r="A1035" t="str">
        <f>'Unformatted Trip Summary'!A1033</f>
        <v>15 SOUTHLAND</v>
      </c>
      <c r="B1035" t="str">
        <f>'Unformatted Trip Summary'!J1033</f>
        <v>2022/23</v>
      </c>
      <c r="C1035" t="str">
        <f>'Unformatted Trip Summary'!I1033</f>
        <v>Taxi/Vehicle Share</v>
      </c>
      <c r="D1035">
        <f>'Unformatted Trip Summary'!D1033</f>
        <v>4</v>
      </c>
      <c r="E1035">
        <f>'Unformatted Trip Summary'!E1033</f>
        <v>15</v>
      </c>
      <c r="F1035" s="1">
        <f>'Unformatted Trip Summary'!F1033</f>
        <v>0.5400614976</v>
      </c>
      <c r="G1035" s="1">
        <f>'Unformatted Trip Summary'!G1033</f>
        <v>1.5849125657000001</v>
      </c>
      <c r="H1035" s="1">
        <f>'Unformatted Trip Summary'!H1033</f>
        <v>8.2276099399999997E-2</v>
      </c>
    </row>
    <row r="1036" spans="1:8" x14ac:dyDescent="0.2">
      <c r="A1036" t="str">
        <f>'Unformatted Trip Summary'!A1034</f>
        <v>15 SOUTHLAND</v>
      </c>
      <c r="B1036" t="str">
        <f>'Unformatted Trip Summary'!J1034</f>
        <v>2027/28</v>
      </c>
      <c r="C1036" t="str">
        <f>'Unformatted Trip Summary'!I1034</f>
        <v>Taxi/Vehicle Share</v>
      </c>
      <c r="D1036">
        <f>'Unformatted Trip Summary'!D1034</f>
        <v>4</v>
      </c>
      <c r="E1036">
        <f>'Unformatted Trip Summary'!E1034</f>
        <v>15</v>
      </c>
      <c r="F1036" s="1">
        <f>'Unformatted Trip Summary'!F1034</f>
        <v>0.56883864510000004</v>
      </c>
      <c r="G1036" s="1">
        <f>'Unformatted Trip Summary'!G1034</f>
        <v>1.6771185751</v>
      </c>
      <c r="H1036" s="1">
        <f>'Unformatted Trip Summary'!H1034</f>
        <v>8.6782568000000004E-2</v>
      </c>
    </row>
    <row r="1037" spans="1:8" x14ac:dyDescent="0.2">
      <c r="A1037" t="str">
        <f>'Unformatted Trip Summary'!A1035</f>
        <v>15 SOUTHLAND</v>
      </c>
      <c r="B1037" t="str">
        <f>'Unformatted Trip Summary'!J1035</f>
        <v>2032/33</v>
      </c>
      <c r="C1037" t="str">
        <f>'Unformatted Trip Summary'!I1035</f>
        <v>Taxi/Vehicle Share</v>
      </c>
      <c r="D1037">
        <f>'Unformatted Trip Summary'!D1035</f>
        <v>4</v>
      </c>
      <c r="E1037">
        <f>'Unformatted Trip Summary'!E1035</f>
        <v>15</v>
      </c>
      <c r="F1037" s="1">
        <f>'Unformatted Trip Summary'!F1035</f>
        <v>0.59830382410000005</v>
      </c>
      <c r="G1037" s="1">
        <f>'Unformatted Trip Summary'!G1035</f>
        <v>1.7435628013</v>
      </c>
      <c r="H1037" s="1">
        <f>'Unformatted Trip Summary'!H1035</f>
        <v>9.0326621600000004E-2</v>
      </c>
    </row>
    <row r="1038" spans="1:8" x14ac:dyDescent="0.2">
      <c r="A1038" t="str">
        <f>'Unformatted Trip Summary'!A1036</f>
        <v>15 SOUTHLAND</v>
      </c>
      <c r="B1038" t="str">
        <f>'Unformatted Trip Summary'!J1036</f>
        <v>2037/38</v>
      </c>
      <c r="C1038" t="str">
        <f>'Unformatted Trip Summary'!I1036</f>
        <v>Taxi/Vehicle Share</v>
      </c>
      <c r="D1038">
        <f>'Unformatted Trip Summary'!D1036</f>
        <v>4</v>
      </c>
      <c r="E1038">
        <f>'Unformatted Trip Summary'!E1036</f>
        <v>15</v>
      </c>
      <c r="F1038" s="1">
        <f>'Unformatted Trip Summary'!F1036</f>
        <v>0.61560851770000002</v>
      </c>
      <c r="G1038" s="1">
        <f>'Unformatted Trip Summary'!G1036</f>
        <v>1.7703823165000001</v>
      </c>
      <c r="H1038" s="1">
        <f>'Unformatted Trip Summary'!H1036</f>
        <v>9.1902642100000001E-2</v>
      </c>
    </row>
    <row r="1039" spans="1:8" x14ac:dyDescent="0.2">
      <c r="A1039" t="str">
        <f>'Unformatted Trip Summary'!A1037</f>
        <v>15 SOUTHLAND</v>
      </c>
      <c r="B1039" t="str">
        <f>'Unformatted Trip Summary'!J1037</f>
        <v>2042/43</v>
      </c>
      <c r="C1039" t="str">
        <f>'Unformatted Trip Summary'!I1037</f>
        <v>Taxi/Vehicle Share</v>
      </c>
      <c r="D1039">
        <f>'Unformatted Trip Summary'!D1037</f>
        <v>4</v>
      </c>
      <c r="E1039">
        <f>'Unformatted Trip Summary'!E1037</f>
        <v>15</v>
      </c>
      <c r="F1039" s="1">
        <f>'Unformatted Trip Summary'!F1037</f>
        <v>0.63174146689999999</v>
      </c>
      <c r="G1039" s="1">
        <f>'Unformatted Trip Summary'!G1037</f>
        <v>1.791808281</v>
      </c>
      <c r="H1039" s="1">
        <f>'Unformatted Trip Summary'!H1037</f>
        <v>9.3230077100000003E-2</v>
      </c>
    </row>
    <row r="1040" spans="1:8" x14ac:dyDescent="0.2">
      <c r="A1040" t="str">
        <f>'Unformatted Trip Summary'!A1038</f>
        <v>15 SOUTHLAND</v>
      </c>
      <c r="B1040" t="str">
        <f>'Unformatted Trip Summary'!J1038</f>
        <v>2012/13</v>
      </c>
      <c r="C1040" t="str">
        <f>'Unformatted Trip Summary'!I1038</f>
        <v>Motorcyclist</v>
      </c>
      <c r="D1040">
        <f>'Unformatted Trip Summary'!D1038</f>
        <v>8</v>
      </c>
      <c r="E1040">
        <f>'Unformatted Trip Summary'!E1038</f>
        <v>32</v>
      </c>
      <c r="F1040" s="1">
        <f>'Unformatted Trip Summary'!F1038</f>
        <v>0.62652592730000001</v>
      </c>
      <c r="G1040" s="1">
        <f>'Unformatted Trip Summary'!G1038</f>
        <v>18.926640866</v>
      </c>
      <c r="H1040" s="1">
        <f>'Unformatted Trip Summary'!H1038</f>
        <v>0.2609239458</v>
      </c>
    </row>
    <row r="1041" spans="1:8" x14ac:dyDescent="0.2">
      <c r="A1041" t="str">
        <f>'Unformatted Trip Summary'!A1039</f>
        <v>15 SOUTHLAND</v>
      </c>
      <c r="B1041" t="str">
        <f>'Unformatted Trip Summary'!J1039</f>
        <v>2017/18</v>
      </c>
      <c r="C1041" t="str">
        <f>'Unformatted Trip Summary'!I1039</f>
        <v>Motorcyclist</v>
      </c>
      <c r="D1041">
        <f>'Unformatted Trip Summary'!D1039</f>
        <v>8</v>
      </c>
      <c r="E1041">
        <f>'Unformatted Trip Summary'!E1039</f>
        <v>32</v>
      </c>
      <c r="F1041" s="1">
        <f>'Unformatted Trip Summary'!F1039</f>
        <v>0.71649916489999999</v>
      </c>
      <c r="G1041" s="1">
        <f>'Unformatted Trip Summary'!G1039</f>
        <v>24.509459960000001</v>
      </c>
      <c r="H1041" s="1">
        <f>'Unformatted Trip Summary'!H1039</f>
        <v>0.32989250710000001</v>
      </c>
    </row>
    <row r="1042" spans="1:8" x14ac:dyDescent="0.2">
      <c r="A1042" t="str">
        <f>'Unformatted Trip Summary'!A1040</f>
        <v>15 SOUTHLAND</v>
      </c>
      <c r="B1042" t="str">
        <f>'Unformatted Trip Summary'!J1040</f>
        <v>2022/23</v>
      </c>
      <c r="C1042" t="str">
        <f>'Unformatted Trip Summary'!I1040</f>
        <v>Motorcyclist</v>
      </c>
      <c r="D1042">
        <f>'Unformatted Trip Summary'!D1040</f>
        <v>8</v>
      </c>
      <c r="E1042">
        <f>'Unformatted Trip Summary'!E1040</f>
        <v>32</v>
      </c>
      <c r="F1042" s="1">
        <f>'Unformatted Trip Summary'!F1040</f>
        <v>0.77478135349999999</v>
      </c>
      <c r="G1042" s="1">
        <f>'Unformatted Trip Summary'!G1040</f>
        <v>28.462558275999999</v>
      </c>
      <c r="H1042" s="1">
        <f>'Unformatted Trip Summary'!H1040</f>
        <v>0.37843133969999998</v>
      </c>
    </row>
    <row r="1043" spans="1:8" x14ac:dyDescent="0.2">
      <c r="A1043" t="str">
        <f>'Unformatted Trip Summary'!A1041</f>
        <v>15 SOUTHLAND</v>
      </c>
      <c r="B1043" t="str">
        <f>'Unformatted Trip Summary'!J1041</f>
        <v>2027/28</v>
      </c>
      <c r="C1043" t="str">
        <f>'Unformatted Trip Summary'!I1041</f>
        <v>Motorcyclist</v>
      </c>
      <c r="D1043">
        <f>'Unformatted Trip Summary'!D1041</f>
        <v>8</v>
      </c>
      <c r="E1043">
        <f>'Unformatted Trip Summary'!E1041</f>
        <v>32</v>
      </c>
      <c r="F1043" s="1">
        <f>'Unformatted Trip Summary'!F1041</f>
        <v>0.80009175539999999</v>
      </c>
      <c r="G1043" s="1">
        <f>'Unformatted Trip Summary'!G1041</f>
        <v>30.172427308</v>
      </c>
      <c r="H1043" s="1">
        <f>'Unformatted Trip Summary'!H1041</f>
        <v>0.39929780209999999</v>
      </c>
    </row>
    <row r="1044" spans="1:8" x14ac:dyDescent="0.2">
      <c r="A1044" t="str">
        <f>'Unformatted Trip Summary'!A1042</f>
        <v>15 SOUTHLAND</v>
      </c>
      <c r="B1044" t="str">
        <f>'Unformatted Trip Summary'!J1042</f>
        <v>2032/33</v>
      </c>
      <c r="C1044" t="str">
        <f>'Unformatted Trip Summary'!I1042</f>
        <v>Motorcyclist</v>
      </c>
      <c r="D1044">
        <f>'Unformatted Trip Summary'!D1042</f>
        <v>8</v>
      </c>
      <c r="E1044">
        <f>'Unformatted Trip Summary'!E1042</f>
        <v>32</v>
      </c>
      <c r="F1044" s="1">
        <f>'Unformatted Trip Summary'!F1042</f>
        <v>0.79729143449999995</v>
      </c>
      <c r="G1044" s="1">
        <f>'Unformatted Trip Summary'!G1042</f>
        <v>30.656191089</v>
      </c>
      <c r="H1044" s="1">
        <f>'Unformatted Trip Summary'!H1042</f>
        <v>0.4043519605</v>
      </c>
    </row>
    <row r="1045" spans="1:8" x14ac:dyDescent="0.2">
      <c r="A1045" t="str">
        <f>'Unformatted Trip Summary'!A1043</f>
        <v>15 SOUTHLAND</v>
      </c>
      <c r="B1045" t="str">
        <f>'Unformatted Trip Summary'!J1043</f>
        <v>2037/38</v>
      </c>
      <c r="C1045" t="str">
        <f>'Unformatted Trip Summary'!I1043</f>
        <v>Motorcyclist</v>
      </c>
      <c r="D1045">
        <f>'Unformatted Trip Summary'!D1043</f>
        <v>8</v>
      </c>
      <c r="E1045">
        <f>'Unformatted Trip Summary'!E1043</f>
        <v>32</v>
      </c>
      <c r="F1045" s="1">
        <f>'Unformatted Trip Summary'!F1043</f>
        <v>0.77747879789999996</v>
      </c>
      <c r="G1045" s="1">
        <f>'Unformatted Trip Summary'!G1043</f>
        <v>30.290266729999999</v>
      </c>
      <c r="H1045" s="1">
        <f>'Unformatted Trip Summary'!H1043</f>
        <v>0.39878826319999999</v>
      </c>
    </row>
    <row r="1046" spans="1:8" x14ac:dyDescent="0.2">
      <c r="A1046" t="str">
        <f>'Unformatted Trip Summary'!A1044</f>
        <v>15 SOUTHLAND</v>
      </c>
      <c r="B1046" t="str">
        <f>'Unformatted Trip Summary'!J1044</f>
        <v>2042/43</v>
      </c>
      <c r="C1046" t="str">
        <f>'Unformatted Trip Summary'!I1044</f>
        <v>Motorcyclist</v>
      </c>
      <c r="D1046">
        <f>'Unformatted Trip Summary'!D1044</f>
        <v>8</v>
      </c>
      <c r="E1046">
        <f>'Unformatted Trip Summary'!E1044</f>
        <v>32</v>
      </c>
      <c r="F1046" s="1">
        <f>'Unformatted Trip Summary'!F1044</f>
        <v>0.75087674800000004</v>
      </c>
      <c r="G1046" s="1">
        <f>'Unformatted Trip Summary'!G1044</f>
        <v>29.708229423999999</v>
      </c>
      <c r="H1046" s="1">
        <f>'Unformatted Trip Summary'!H1044</f>
        <v>0.3902659872</v>
      </c>
    </row>
    <row r="1047" spans="1:8" x14ac:dyDescent="0.2">
      <c r="A1047" t="str">
        <f>'Unformatted Trip Summary'!A1045</f>
        <v>15 SOUTHLAND</v>
      </c>
      <c r="B1047" t="str">
        <f>'Unformatted Trip Summary'!J1045</f>
        <v>2012/13</v>
      </c>
      <c r="C1047" t="str">
        <f>'Unformatted Trip Summary'!I1045</f>
        <v>Local Bus</v>
      </c>
      <c r="D1047">
        <f>'Unformatted Trip Summary'!D1045</f>
        <v>37</v>
      </c>
      <c r="E1047">
        <f>'Unformatted Trip Summary'!E1045</f>
        <v>119</v>
      </c>
      <c r="F1047" s="1">
        <f>'Unformatted Trip Summary'!F1045</f>
        <v>2.6369167839999998</v>
      </c>
      <c r="G1047" s="1">
        <f>'Unformatted Trip Summary'!G1045</f>
        <v>30.182609224</v>
      </c>
      <c r="H1047" s="1">
        <f>'Unformatted Trip Summary'!H1045</f>
        <v>1.2152660816</v>
      </c>
    </row>
    <row r="1048" spans="1:8" x14ac:dyDescent="0.2">
      <c r="A1048" t="str">
        <f>'Unformatted Trip Summary'!A1046</f>
        <v>15 SOUTHLAND</v>
      </c>
      <c r="B1048" t="str">
        <f>'Unformatted Trip Summary'!J1046</f>
        <v>2017/18</v>
      </c>
      <c r="C1048" t="str">
        <f>'Unformatted Trip Summary'!I1046</f>
        <v>Local Bus</v>
      </c>
      <c r="D1048">
        <f>'Unformatted Trip Summary'!D1046</f>
        <v>37</v>
      </c>
      <c r="E1048">
        <f>'Unformatted Trip Summary'!E1046</f>
        <v>119</v>
      </c>
      <c r="F1048" s="1">
        <f>'Unformatted Trip Summary'!F1046</f>
        <v>2.6522461971000002</v>
      </c>
      <c r="G1048" s="1">
        <f>'Unformatted Trip Summary'!G1046</f>
        <v>30.176377896000002</v>
      </c>
      <c r="H1048" s="1">
        <f>'Unformatted Trip Summary'!H1046</f>
        <v>1.2126964949000001</v>
      </c>
    </row>
    <row r="1049" spans="1:8" x14ac:dyDescent="0.2">
      <c r="A1049" t="str">
        <f>'Unformatted Trip Summary'!A1047</f>
        <v>15 SOUTHLAND</v>
      </c>
      <c r="B1049" t="str">
        <f>'Unformatted Trip Summary'!J1047</f>
        <v>2022/23</v>
      </c>
      <c r="C1049" t="str">
        <f>'Unformatted Trip Summary'!I1047</f>
        <v>Local Bus</v>
      </c>
      <c r="D1049">
        <f>'Unformatted Trip Summary'!D1047</f>
        <v>37</v>
      </c>
      <c r="E1049">
        <f>'Unformatted Trip Summary'!E1047</f>
        <v>119</v>
      </c>
      <c r="F1049" s="1">
        <f>'Unformatted Trip Summary'!F1047</f>
        <v>2.6669033813</v>
      </c>
      <c r="G1049" s="1">
        <f>'Unformatted Trip Summary'!G1047</f>
        <v>30.524485877</v>
      </c>
      <c r="H1049" s="1">
        <f>'Unformatted Trip Summary'!H1047</f>
        <v>1.2298861237000001</v>
      </c>
    </row>
    <row r="1050" spans="1:8" x14ac:dyDescent="0.2">
      <c r="A1050" t="str">
        <f>'Unformatted Trip Summary'!A1048</f>
        <v>15 SOUTHLAND</v>
      </c>
      <c r="B1050" t="str">
        <f>'Unformatted Trip Summary'!J1048</f>
        <v>2027/28</v>
      </c>
      <c r="C1050" t="str">
        <f>'Unformatted Trip Summary'!I1048</f>
        <v>Local Bus</v>
      </c>
      <c r="D1050">
        <f>'Unformatted Trip Summary'!D1048</f>
        <v>37</v>
      </c>
      <c r="E1050">
        <f>'Unformatted Trip Summary'!E1048</f>
        <v>119</v>
      </c>
      <c r="F1050" s="1">
        <f>'Unformatted Trip Summary'!F1048</f>
        <v>2.6967261397</v>
      </c>
      <c r="G1050" s="1">
        <f>'Unformatted Trip Summary'!G1048</f>
        <v>30.877759248</v>
      </c>
      <c r="H1050" s="1">
        <f>'Unformatted Trip Summary'!H1048</f>
        <v>1.2547103308000001</v>
      </c>
    </row>
    <row r="1051" spans="1:8" x14ac:dyDescent="0.2">
      <c r="A1051" t="str">
        <f>'Unformatted Trip Summary'!A1049</f>
        <v>15 SOUTHLAND</v>
      </c>
      <c r="B1051" t="str">
        <f>'Unformatted Trip Summary'!J1049</f>
        <v>2032/33</v>
      </c>
      <c r="C1051" t="str">
        <f>'Unformatted Trip Summary'!I1049</f>
        <v>Local Bus</v>
      </c>
      <c r="D1051">
        <f>'Unformatted Trip Summary'!D1049</f>
        <v>37</v>
      </c>
      <c r="E1051">
        <f>'Unformatted Trip Summary'!E1049</f>
        <v>119</v>
      </c>
      <c r="F1051" s="1">
        <f>'Unformatted Trip Summary'!F1049</f>
        <v>2.6090905865999998</v>
      </c>
      <c r="G1051" s="1">
        <f>'Unformatted Trip Summary'!G1049</f>
        <v>29.801901313999998</v>
      </c>
      <c r="H1051" s="1">
        <f>'Unformatted Trip Summary'!H1049</f>
        <v>1.2230257926000001</v>
      </c>
    </row>
    <row r="1052" spans="1:8" x14ac:dyDescent="0.2">
      <c r="A1052" t="str">
        <f>'Unformatted Trip Summary'!A1050</f>
        <v>15 SOUTHLAND</v>
      </c>
      <c r="B1052" t="str">
        <f>'Unformatted Trip Summary'!J1050</f>
        <v>2037/38</v>
      </c>
      <c r="C1052" t="str">
        <f>'Unformatted Trip Summary'!I1050</f>
        <v>Local Bus</v>
      </c>
      <c r="D1052">
        <f>'Unformatted Trip Summary'!D1050</f>
        <v>37</v>
      </c>
      <c r="E1052">
        <f>'Unformatted Trip Summary'!E1050</f>
        <v>119</v>
      </c>
      <c r="F1052" s="1">
        <f>'Unformatted Trip Summary'!F1050</f>
        <v>2.5063507006000001</v>
      </c>
      <c r="G1052" s="1">
        <f>'Unformatted Trip Summary'!G1050</f>
        <v>28.310776477000001</v>
      </c>
      <c r="H1052" s="1">
        <f>'Unformatted Trip Summary'!H1050</f>
        <v>1.1808230655</v>
      </c>
    </row>
    <row r="1053" spans="1:8" x14ac:dyDescent="0.2">
      <c r="A1053" t="str">
        <f>'Unformatted Trip Summary'!A1051</f>
        <v>15 SOUTHLAND</v>
      </c>
      <c r="B1053" t="str">
        <f>'Unformatted Trip Summary'!J1051</f>
        <v>2042/43</v>
      </c>
      <c r="C1053" t="str">
        <f>'Unformatted Trip Summary'!I1051</f>
        <v>Local Bus</v>
      </c>
      <c r="D1053">
        <f>'Unformatted Trip Summary'!D1051</f>
        <v>37</v>
      </c>
      <c r="E1053">
        <f>'Unformatted Trip Summary'!E1051</f>
        <v>119</v>
      </c>
      <c r="F1053" s="1">
        <f>'Unformatted Trip Summary'!F1051</f>
        <v>2.3857704051000002</v>
      </c>
      <c r="G1053" s="1">
        <f>'Unformatted Trip Summary'!G1051</f>
        <v>26.651421865</v>
      </c>
      <c r="H1053" s="1">
        <f>'Unformatted Trip Summary'!H1051</f>
        <v>1.1314962729</v>
      </c>
    </row>
    <row r="1054" spans="1:8" x14ac:dyDescent="0.2">
      <c r="A1054" t="str">
        <f>'Unformatted Trip Summary'!A1052</f>
        <v>15 SOUTHLAND</v>
      </c>
      <c r="B1054" t="str">
        <f>'Unformatted Trip Summary'!J1052</f>
        <v>2012/13</v>
      </c>
      <c r="C1054" t="str">
        <f>'Unformatted Trip Summary'!I1052</f>
        <v>Other Household Travel</v>
      </c>
      <c r="D1054">
        <f>'Unformatted Trip Summary'!D1052</f>
        <v>3</v>
      </c>
      <c r="E1054">
        <f>'Unformatted Trip Summary'!E1052</f>
        <v>20</v>
      </c>
      <c r="F1054" s="1">
        <f>'Unformatted Trip Summary'!F1052</f>
        <v>0.42937289560000003</v>
      </c>
      <c r="G1054" s="1">
        <f>'Unformatted Trip Summary'!G1052</f>
        <v>0</v>
      </c>
      <c r="H1054" s="1">
        <f>'Unformatted Trip Summary'!H1052</f>
        <v>8.5162673699999997E-2</v>
      </c>
    </row>
    <row r="1055" spans="1:8" x14ac:dyDescent="0.2">
      <c r="A1055" t="str">
        <f>'Unformatted Trip Summary'!A1053</f>
        <v>15 SOUTHLAND</v>
      </c>
      <c r="B1055" t="str">
        <f>'Unformatted Trip Summary'!J1053</f>
        <v>2017/18</v>
      </c>
      <c r="C1055" t="str">
        <f>'Unformatted Trip Summary'!I1053</f>
        <v>Other Household Travel</v>
      </c>
      <c r="D1055">
        <f>'Unformatted Trip Summary'!D1053</f>
        <v>3</v>
      </c>
      <c r="E1055">
        <f>'Unformatted Trip Summary'!E1053</f>
        <v>20</v>
      </c>
      <c r="F1055" s="1">
        <f>'Unformatted Trip Summary'!F1053</f>
        <v>0.4747555692</v>
      </c>
      <c r="G1055" s="1">
        <f>'Unformatted Trip Summary'!G1053</f>
        <v>0</v>
      </c>
      <c r="H1055" s="1">
        <f>'Unformatted Trip Summary'!H1053</f>
        <v>9.4453581300000006E-2</v>
      </c>
    </row>
    <row r="1056" spans="1:8" x14ac:dyDescent="0.2">
      <c r="A1056" t="str">
        <f>'Unformatted Trip Summary'!A1054</f>
        <v>15 SOUTHLAND</v>
      </c>
      <c r="B1056" t="str">
        <f>'Unformatted Trip Summary'!J1054</f>
        <v>2022/23</v>
      </c>
      <c r="C1056" t="str">
        <f>'Unformatted Trip Summary'!I1054</f>
        <v>Other Household Travel</v>
      </c>
      <c r="D1056">
        <f>'Unformatted Trip Summary'!D1054</f>
        <v>3</v>
      </c>
      <c r="E1056">
        <f>'Unformatted Trip Summary'!E1054</f>
        <v>20</v>
      </c>
      <c r="F1056" s="1">
        <f>'Unformatted Trip Summary'!F1054</f>
        <v>0.50353461129999999</v>
      </c>
      <c r="G1056" s="1">
        <f>'Unformatted Trip Summary'!G1054</f>
        <v>0</v>
      </c>
      <c r="H1056" s="1">
        <f>'Unformatted Trip Summary'!H1054</f>
        <v>0.1006842183</v>
      </c>
    </row>
    <row r="1057" spans="1:8" x14ac:dyDescent="0.2">
      <c r="A1057" t="str">
        <f>'Unformatted Trip Summary'!A1055</f>
        <v>15 SOUTHLAND</v>
      </c>
      <c r="B1057" t="str">
        <f>'Unformatted Trip Summary'!J1055</f>
        <v>2027/28</v>
      </c>
      <c r="C1057" t="str">
        <f>'Unformatted Trip Summary'!I1055</f>
        <v>Other Household Travel</v>
      </c>
      <c r="D1057">
        <f>'Unformatted Trip Summary'!D1055</f>
        <v>3</v>
      </c>
      <c r="E1057">
        <f>'Unformatted Trip Summary'!E1055</f>
        <v>20</v>
      </c>
      <c r="F1057" s="1">
        <f>'Unformatted Trip Summary'!F1055</f>
        <v>0.532821973</v>
      </c>
      <c r="G1057" s="1">
        <f>'Unformatted Trip Summary'!G1055</f>
        <v>0</v>
      </c>
      <c r="H1057" s="1">
        <f>'Unformatted Trip Summary'!H1055</f>
        <v>0.1067805802</v>
      </c>
    </row>
    <row r="1058" spans="1:8" x14ac:dyDescent="0.2">
      <c r="A1058" t="str">
        <f>'Unformatted Trip Summary'!A1056</f>
        <v>15 SOUTHLAND</v>
      </c>
      <c r="B1058" t="str">
        <f>'Unformatted Trip Summary'!J1056</f>
        <v>2032/33</v>
      </c>
      <c r="C1058" t="str">
        <f>'Unformatted Trip Summary'!I1056</f>
        <v>Other Household Travel</v>
      </c>
      <c r="D1058">
        <f>'Unformatted Trip Summary'!D1056</f>
        <v>3</v>
      </c>
      <c r="E1058">
        <f>'Unformatted Trip Summary'!E1056</f>
        <v>20</v>
      </c>
      <c r="F1058" s="1">
        <f>'Unformatted Trip Summary'!F1056</f>
        <v>0.55929527649999999</v>
      </c>
      <c r="G1058" s="1">
        <f>'Unformatted Trip Summary'!G1056</f>
        <v>0</v>
      </c>
      <c r="H1058" s="1">
        <f>'Unformatted Trip Summary'!H1056</f>
        <v>0.11265477459999999</v>
      </c>
    </row>
    <row r="1059" spans="1:8" x14ac:dyDescent="0.2">
      <c r="A1059" t="str">
        <f>'Unformatted Trip Summary'!A1057</f>
        <v>15 SOUTHLAND</v>
      </c>
      <c r="B1059" t="str">
        <f>'Unformatted Trip Summary'!J1057</f>
        <v>2037/38</v>
      </c>
      <c r="C1059" t="str">
        <f>'Unformatted Trip Summary'!I1057</f>
        <v>Other Household Travel</v>
      </c>
      <c r="D1059">
        <f>'Unformatted Trip Summary'!D1057</f>
        <v>3</v>
      </c>
      <c r="E1059">
        <f>'Unformatted Trip Summary'!E1057</f>
        <v>20</v>
      </c>
      <c r="F1059" s="1">
        <f>'Unformatted Trip Summary'!F1057</f>
        <v>0.56388493200000001</v>
      </c>
      <c r="G1059" s="1">
        <f>'Unformatted Trip Summary'!G1057</f>
        <v>0</v>
      </c>
      <c r="H1059" s="1">
        <f>'Unformatted Trip Summary'!H1057</f>
        <v>0.1137228052</v>
      </c>
    </row>
    <row r="1060" spans="1:8" x14ac:dyDescent="0.2">
      <c r="A1060" t="str">
        <f>'Unformatted Trip Summary'!A1058</f>
        <v>15 SOUTHLAND</v>
      </c>
      <c r="B1060" t="str">
        <f>'Unformatted Trip Summary'!J1058</f>
        <v>2042/43</v>
      </c>
      <c r="C1060" t="str">
        <f>'Unformatted Trip Summary'!I1058</f>
        <v>Other Household Travel</v>
      </c>
      <c r="D1060">
        <f>'Unformatted Trip Summary'!D1058</f>
        <v>3</v>
      </c>
      <c r="E1060">
        <f>'Unformatted Trip Summary'!E1058</f>
        <v>20</v>
      </c>
      <c r="F1060" s="1">
        <f>'Unformatted Trip Summary'!F1058</f>
        <v>0.5574157636</v>
      </c>
      <c r="G1060" s="1">
        <f>'Unformatted Trip Summary'!G1058</f>
        <v>0</v>
      </c>
      <c r="H1060" s="1">
        <f>'Unformatted Trip Summary'!H1058</f>
        <v>0.11215507199999999</v>
      </c>
    </row>
    <row r="1061" spans="1:8" x14ac:dyDescent="0.2">
      <c r="A1061" t="str">
        <f>'Unformatted Trip Summary'!A1059</f>
        <v>15 SOUTHLAND</v>
      </c>
      <c r="B1061" t="str">
        <f>'Unformatted Trip Summary'!J1059</f>
        <v>2012/13</v>
      </c>
      <c r="C1061" t="str">
        <f>'Unformatted Trip Summary'!I1059</f>
        <v>Air/Non-Local PT</v>
      </c>
      <c r="D1061">
        <f>'Unformatted Trip Summary'!D1059</f>
        <v>4</v>
      </c>
      <c r="E1061">
        <f>'Unformatted Trip Summary'!E1059</f>
        <v>5</v>
      </c>
      <c r="F1061" s="1">
        <f>'Unformatted Trip Summary'!F1059</f>
        <v>0.11858970739999999</v>
      </c>
      <c r="G1061" s="1">
        <f>'Unformatted Trip Summary'!G1059</f>
        <v>7.7216256564999997</v>
      </c>
      <c r="H1061" s="1">
        <f>'Unformatted Trip Summary'!H1059</f>
        <v>0.2054826143</v>
      </c>
    </row>
    <row r="1062" spans="1:8" x14ac:dyDescent="0.2">
      <c r="A1062" t="str">
        <f>'Unformatted Trip Summary'!A1060</f>
        <v>15 SOUTHLAND</v>
      </c>
      <c r="B1062" t="str">
        <f>'Unformatted Trip Summary'!J1060</f>
        <v>2017/18</v>
      </c>
      <c r="C1062" t="str">
        <f>'Unformatted Trip Summary'!I1060</f>
        <v>Air/Non-Local PT</v>
      </c>
      <c r="D1062">
        <f>'Unformatted Trip Summary'!D1060</f>
        <v>4</v>
      </c>
      <c r="E1062">
        <f>'Unformatted Trip Summary'!E1060</f>
        <v>5</v>
      </c>
      <c r="F1062" s="1">
        <f>'Unformatted Trip Summary'!F1060</f>
        <v>0.14338578669999999</v>
      </c>
      <c r="G1062" s="1">
        <f>'Unformatted Trip Summary'!G1060</f>
        <v>7.9601712852000004</v>
      </c>
      <c r="H1062" s="1">
        <f>'Unformatted Trip Summary'!H1060</f>
        <v>0.23899103020000001</v>
      </c>
    </row>
    <row r="1063" spans="1:8" x14ac:dyDescent="0.2">
      <c r="A1063" t="str">
        <f>'Unformatted Trip Summary'!A1061</f>
        <v>15 SOUTHLAND</v>
      </c>
      <c r="B1063" t="str">
        <f>'Unformatted Trip Summary'!J1061</f>
        <v>2022/23</v>
      </c>
      <c r="C1063" t="str">
        <f>'Unformatted Trip Summary'!I1061</f>
        <v>Air/Non-Local PT</v>
      </c>
      <c r="D1063">
        <f>'Unformatted Trip Summary'!D1061</f>
        <v>4</v>
      </c>
      <c r="E1063">
        <f>'Unformatted Trip Summary'!E1061</f>
        <v>5</v>
      </c>
      <c r="F1063" s="1">
        <f>'Unformatted Trip Summary'!F1061</f>
        <v>0.15683271200000001</v>
      </c>
      <c r="G1063" s="1">
        <f>'Unformatted Trip Summary'!G1061</f>
        <v>7.5530780855000001</v>
      </c>
      <c r="H1063" s="1">
        <f>'Unformatted Trip Summary'!H1061</f>
        <v>0.25381557269999999</v>
      </c>
    </row>
    <row r="1064" spans="1:8" x14ac:dyDescent="0.2">
      <c r="A1064" t="str">
        <f>'Unformatted Trip Summary'!A1062</f>
        <v>15 SOUTHLAND</v>
      </c>
      <c r="B1064" t="str">
        <f>'Unformatted Trip Summary'!J1062</f>
        <v>2027/28</v>
      </c>
      <c r="C1064" t="str">
        <f>'Unformatted Trip Summary'!I1062</f>
        <v>Air/Non-Local PT</v>
      </c>
      <c r="D1064">
        <f>'Unformatted Trip Summary'!D1062</f>
        <v>4</v>
      </c>
      <c r="E1064">
        <f>'Unformatted Trip Summary'!E1062</f>
        <v>5</v>
      </c>
      <c r="F1064" s="1">
        <f>'Unformatted Trip Summary'!F1062</f>
        <v>0.16684299089999999</v>
      </c>
      <c r="G1064" s="1">
        <f>'Unformatted Trip Summary'!G1062</f>
        <v>7.1747905595999999</v>
      </c>
      <c r="H1064" s="1">
        <f>'Unformatted Trip Summary'!H1062</f>
        <v>0.26408762889999998</v>
      </c>
    </row>
    <row r="1065" spans="1:8" x14ac:dyDescent="0.2">
      <c r="A1065" t="str">
        <f>'Unformatted Trip Summary'!A1063</f>
        <v>15 SOUTHLAND</v>
      </c>
      <c r="B1065" t="str">
        <f>'Unformatted Trip Summary'!J1063</f>
        <v>2032/33</v>
      </c>
      <c r="C1065" t="str">
        <f>'Unformatted Trip Summary'!I1063</f>
        <v>Air/Non-Local PT</v>
      </c>
      <c r="D1065">
        <f>'Unformatted Trip Summary'!D1063</f>
        <v>4</v>
      </c>
      <c r="E1065">
        <f>'Unformatted Trip Summary'!E1063</f>
        <v>5</v>
      </c>
      <c r="F1065" s="1">
        <f>'Unformatted Trip Summary'!F1063</f>
        <v>0.17156906059999999</v>
      </c>
      <c r="G1065" s="1">
        <f>'Unformatted Trip Summary'!G1063</f>
        <v>7.4432654508000002</v>
      </c>
      <c r="H1065" s="1">
        <f>'Unformatted Trip Summary'!H1063</f>
        <v>0.2722777093</v>
      </c>
    </row>
    <row r="1066" spans="1:8" x14ac:dyDescent="0.2">
      <c r="A1066" t="str">
        <f>'Unformatted Trip Summary'!A1064</f>
        <v>15 SOUTHLAND</v>
      </c>
      <c r="B1066" t="str">
        <f>'Unformatted Trip Summary'!J1064</f>
        <v>2037/38</v>
      </c>
      <c r="C1066" t="str">
        <f>'Unformatted Trip Summary'!I1064</f>
        <v>Air/Non-Local PT</v>
      </c>
      <c r="D1066">
        <f>'Unformatted Trip Summary'!D1064</f>
        <v>4</v>
      </c>
      <c r="E1066">
        <f>'Unformatted Trip Summary'!E1064</f>
        <v>5</v>
      </c>
      <c r="F1066" s="1">
        <f>'Unformatted Trip Summary'!F1064</f>
        <v>0.17730374800000001</v>
      </c>
      <c r="G1066" s="1">
        <f>'Unformatted Trip Summary'!G1064</f>
        <v>7.7172824696999998</v>
      </c>
      <c r="H1066" s="1">
        <f>'Unformatted Trip Summary'!H1064</f>
        <v>0.2834059874</v>
      </c>
    </row>
    <row r="1067" spans="1:8" x14ac:dyDescent="0.2">
      <c r="A1067" t="str">
        <f>'Unformatted Trip Summary'!A1065</f>
        <v>15 SOUTHLAND</v>
      </c>
      <c r="B1067" t="str">
        <f>'Unformatted Trip Summary'!J1065</f>
        <v>2042/43</v>
      </c>
      <c r="C1067" t="str">
        <f>'Unformatted Trip Summary'!I1065</f>
        <v>Air/Non-Local PT</v>
      </c>
      <c r="D1067">
        <f>'Unformatted Trip Summary'!D1065</f>
        <v>4</v>
      </c>
      <c r="E1067">
        <f>'Unformatted Trip Summary'!E1065</f>
        <v>5</v>
      </c>
      <c r="F1067" s="1">
        <f>'Unformatted Trip Summary'!F1065</f>
        <v>0.18245423569999999</v>
      </c>
      <c r="G1067" s="1">
        <f>'Unformatted Trip Summary'!G1065</f>
        <v>7.9508726060999999</v>
      </c>
      <c r="H1067" s="1">
        <f>'Unformatted Trip Summary'!H1065</f>
        <v>0.29339433050000002</v>
      </c>
    </row>
    <row r="1068" spans="1:8" x14ac:dyDescent="0.2">
      <c r="A1068" t="str">
        <f>'Unformatted Trip Summary'!A1066</f>
        <v>15 SOUTHLAND</v>
      </c>
      <c r="B1068" t="str">
        <f>'Unformatted Trip Summary'!J1066</f>
        <v>2012/13</v>
      </c>
      <c r="C1068" t="str">
        <f>'Unformatted Trip Summary'!I1066</f>
        <v>Non-Household Travel</v>
      </c>
      <c r="D1068">
        <f>'Unformatted Trip Summary'!D1066</f>
        <v>3</v>
      </c>
      <c r="E1068">
        <f>'Unformatted Trip Summary'!E1066</f>
        <v>9</v>
      </c>
      <c r="F1068" s="1">
        <f>'Unformatted Trip Summary'!F1066</f>
        <v>0.1918163457</v>
      </c>
      <c r="G1068" s="1">
        <f>'Unformatted Trip Summary'!G1066</f>
        <v>7.2518167408999998</v>
      </c>
      <c r="H1068" s="1">
        <f>'Unformatted Trip Summary'!H1066</f>
        <v>0.26579174360000002</v>
      </c>
    </row>
    <row r="1069" spans="1:8" x14ac:dyDescent="0.2">
      <c r="A1069" t="str">
        <f>'Unformatted Trip Summary'!A1067</f>
        <v>15 SOUTHLAND</v>
      </c>
      <c r="B1069" t="str">
        <f>'Unformatted Trip Summary'!J1067</f>
        <v>2017/18</v>
      </c>
      <c r="C1069" t="str">
        <f>'Unformatted Trip Summary'!I1067</f>
        <v>Non-Household Travel</v>
      </c>
      <c r="D1069">
        <f>'Unformatted Trip Summary'!D1067</f>
        <v>3</v>
      </c>
      <c r="E1069">
        <f>'Unformatted Trip Summary'!E1067</f>
        <v>9</v>
      </c>
      <c r="F1069" s="1">
        <f>'Unformatted Trip Summary'!F1067</f>
        <v>0.20413120039999999</v>
      </c>
      <c r="G1069" s="1">
        <f>'Unformatted Trip Summary'!G1067</f>
        <v>8.7392549418000005</v>
      </c>
      <c r="H1069" s="1">
        <f>'Unformatted Trip Summary'!H1067</f>
        <v>0.36389181939999998</v>
      </c>
    </row>
    <row r="1070" spans="1:8" x14ac:dyDescent="0.2">
      <c r="A1070" t="str">
        <f>'Unformatted Trip Summary'!A1068</f>
        <v>15 SOUTHLAND</v>
      </c>
      <c r="B1070" t="str">
        <f>'Unformatted Trip Summary'!J1068</f>
        <v>2022/23</v>
      </c>
      <c r="C1070" t="str">
        <f>'Unformatted Trip Summary'!I1068</f>
        <v>Non-Household Travel</v>
      </c>
      <c r="D1070">
        <f>'Unformatted Trip Summary'!D1068</f>
        <v>3</v>
      </c>
      <c r="E1070">
        <f>'Unformatted Trip Summary'!E1068</f>
        <v>9</v>
      </c>
      <c r="F1070" s="1">
        <f>'Unformatted Trip Summary'!F1068</f>
        <v>0.22124935649999999</v>
      </c>
      <c r="G1070" s="1">
        <f>'Unformatted Trip Summary'!G1068</f>
        <v>10.040484096</v>
      </c>
      <c r="H1070" s="1">
        <f>'Unformatted Trip Summary'!H1068</f>
        <v>0.43052241679999997</v>
      </c>
    </row>
    <row r="1071" spans="1:8" x14ac:dyDescent="0.2">
      <c r="A1071" t="str">
        <f>'Unformatted Trip Summary'!A1069</f>
        <v>15 SOUTHLAND</v>
      </c>
      <c r="B1071" t="str">
        <f>'Unformatted Trip Summary'!J1069</f>
        <v>2027/28</v>
      </c>
      <c r="C1071" t="str">
        <f>'Unformatted Trip Summary'!I1069</f>
        <v>Non-Household Travel</v>
      </c>
      <c r="D1071">
        <f>'Unformatted Trip Summary'!D1069</f>
        <v>3</v>
      </c>
      <c r="E1071">
        <f>'Unformatted Trip Summary'!E1069</f>
        <v>9</v>
      </c>
      <c r="F1071" s="1">
        <f>'Unformatted Trip Summary'!F1069</f>
        <v>0.25744991740000001</v>
      </c>
      <c r="G1071" s="1">
        <f>'Unformatted Trip Summary'!G1069</f>
        <v>11.259271108</v>
      </c>
      <c r="H1071" s="1">
        <f>'Unformatted Trip Summary'!H1069</f>
        <v>0.45811335380000001</v>
      </c>
    </row>
    <row r="1072" spans="1:8" x14ac:dyDescent="0.2">
      <c r="A1072" t="str">
        <f>'Unformatted Trip Summary'!A1070</f>
        <v>15 SOUTHLAND</v>
      </c>
      <c r="B1072" t="str">
        <f>'Unformatted Trip Summary'!J1070</f>
        <v>2032/33</v>
      </c>
      <c r="C1072" t="str">
        <f>'Unformatted Trip Summary'!I1070</f>
        <v>Non-Household Travel</v>
      </c>
      <c r="D1072">
        <f>'Unformatted Trip Summary'!D1070</f>
        <v>3</v>
      </c>
      <c r="E1072">
        <f>'Unformatted Trip Summary'!E1070</f>
        <v>9</v>
      </c>
      <c r="F1072" s="1">
        <f>'Unformatted Trip Summary'!F1070</f>
        <v>0.27555612260000001</v>
      </c>
      <c r="G1072" s="1">
        <f>'Unformatted Trip Summary'!G1070</f>
        <v>12.067522388</v>
      </c>
      <c r="H1072" s="1">
        <f>'Unformatted Trip Summary'!H1070</f>
        <v>0.48602141110000002</v>
      </c>
    </row>
    <row r="1073" spans="1:8" x14ac:dyDescent="0.2">
      <c r="A1073" t="str">
        <f>'Unformatted Trip Summary'!A1071</f>
        <v>15 SOUTHLAND</v>
      </c>
      <c r="B1073" t="str">
        <f>'Unformatted Trip Summary'!J1071</f>
        <v>2037/38</v>
      </c>
      <c r="C1073" t="str">
        <f>'Unformatted Trip Summary'!I1071</f>
        <v>Non-Household Travel</v>
      </c>
      <c r="D1073">
        <f>'Unformatted Trip Summary'!D1071</f>
        <v>3</v>
      </c>
      <c r="E1073">
        <f>'Unformatted Trip Summary'!E1071</f>
        <v>9</v>
      </c>
      <c r="F1073" s="1">
        <f>'Unformatted Trip Summary'!F1071</f>
        <v>0.27613086669999998</v>
      </c>
      <c r="G1073" s="1">
        <f>'Unformatted Trip Summary'!G1071</f>
        <v>12.463551236000001</v>
      </c>
      <c r="H1073" s="1">
        <f>'Unformatted Trip Summary'!H1071</f>
        <v>0.52447497929999998</v>
      </c>
    </row>
    <row r="1074" spans="1:8" x14ac:dyDescent="0.2">
      <c r="A1074" t="str">
        <f>'Unformatted Trip Summary'!A1072</f>
        <v>15 SOUTHLAND</v>
      </c>
      <c r="B1074" t="str">
        <f>'Unformatted Trip Summary'!J1072</f>
        <v>2042/43</v>
      </c>
      <c r="C1074" t="str">
        <f>'Unformatted Trip Summary'!I1072</f>
        <v>Non-Household Travel</v>
      </c>
      <c r="D1074">
        <f>'Unformatted Trip Summary'!D1072</f>
        <v>3</v>
      </c>
      <c r="E1074">
        <f>'Unformatted Trip Summary'!E1072</f>
        <v>9</v>
      </c>
      <c r="F1074" s="1">
        <f>'Unformatted Trip Summary'!F1072</f>
        <v>0.27309210169999998</v>
      </c>
      <c r="G1074" s="1">
        <f>'Unformatted Trip Summary'!G1072</f>
        <v>12.796586151</v>
      </c>
      <c r="H1074" s="1">
        <f>'Unformatted Trip Summary'!H1072</f>
        <v>0.56415384420000003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072"/>
  <sheetViews>
    <sheetView topLeftCell="A530" workbookViewId="0">
      <selection activeCell="R1047" sqref="R1047"/>
    </sheetView>
  </sheetViews>
  <sheetFormatPr defaultRowHeight="12.75" x14ac:dyDescent="0.2"/>
  <cols>
    <col min="1" max="1" width="24.140625" customWidth="1"/>
  </cols>
  <sheetData>
    <row r="1" spans="1:10" x14ac:dyDescent="0.2">
      <c r="A1" t="str">
        <f>[5]trip_summary_region!A1</f>
        <v>region_NS</v>
      </c>
      <c r="B1" t="str">
        <f>[5]trip_summary_region!B1</f>
        <v>outmode</v>
      </c>
      <c r="C1" t="str">
        <f>[5]trip_summary_region!C1</f>
        <v>Year</v>
      </c>
      <c r="D1" t="str">
        <f>[5]trip_summary_region!D1</f>
        <v>sampeopler</v>
      </c>
      <c r="E1" t="str">
        <f>[5]trip_summary_region!E1</f>
        <v>samcountr</v>
      </c>
      <c r="F1" t="str">
        <f>[5]trip_summary_region!F1</f>
        <v>tottripr</v>
      </c>
      <c r="G1" t="str">
        <f>[5]trip_summary_region!G1</f>
        <v>totdistr</v>
      </c>
      <c r="H1" t="str">
        <f>[5]trip_summary_region!H1</f>
        <v>totdurationr</v>
      </c>
      <c r="I1" t="str">
        <f>[5]trip_summary_region!I1</f>
        <v>modename</v>
      </c>
      <c r="J1" t="str">
        <f>[5]trip_summary_region!J1</f>
        <v>yearname</v>
      </c>
    </row>
    <row r="2" spans="1:10" x14ac:dyDescent="0.2">
      <c r="A2" t="str">
        <f>[5]trip_summary_region!A2</f>
        <v>01 NORTHLAND</v>
      </c>
      <c r="B2">
        <f>[5]trip_summary_region!B2</f>
        <v>0</v>
      </c>
      <c r="C2">
        <f>[5]trip_summary_region!C2</f>
        <v>2013</v>
      </c>
      <c r="D2">
        <f>[5]trip_summary_region!D2</f>
        <v>259</v>
      </c>
      <c r="E2">
        <f>[5]trip_summary_region!E2</f>
        <v>844</v>
      </c>
      <c r="F2">
        <f>[5]trip_summary_region!F2</f>
        <v>23.706864376999999</v>
      </c>
      <c r="G2">
        <f>[5]trip_summary_region!G2</f>
        <v>17.849116999</v>
      </c>
      <c r="H2">
        <f>[5]trip_summary_region!H2</f>
        <v>5.0772161771000004</v>
      </c>
      <c r="I2" t="str">
        <f>[5]trip_summary_region!I2</f>
        <v>Pedestrian</v>
      </c>
      <c r="J2" t="str">
        <f>[5]trip_summary_region!J2</f>
        <v>2012/13</v>
      </c>
    </row>
    <row r="3" spans="1:10" x14ac:dyDescent="0.2">
      <c r="A3" t="str">
        <f>[5]trip_summary_region!A3</f>
        <v>01 NORTHLAND</v>
      </c>
      <c r="B3">
        <f>[5]trip_summary_region!B3</f>
        <v>0</v>
      </c>
      <c r="C3">
        <f>[5]trip_summary_region!C3</f>
        <v>2018</v>
      </c>
      <c r="D3">
        <f>[5]trip_summary_region!D3</f>
        <v>259</v>
      </c>
      <c r="E3">
        <f>[5]trip_summary_region!E3</f>
        <v>844</v>
      </c>
      <c r="F3">
        <f>[5]trip_summary_region!F3</f>
        <v>24.204158259</v>
      </c>
      <c r="G3">
        <f>[5]trip_summary_region!G3</f>
        <v>18.032544703999999</v>
      </c>
      <c r="H3">
        <f>[5]trip_summary_region!H3</f>
        <v>5.1366717068999996</v>
      </c>
      <c r="I3" t="str">
        <f>[5]trip_summary_region!I3</f>
        <v>Pedestrian</v>
      </c>
      <c r="J3" t="str">
        <f>[5]trip_summary_region!J3</f>
        <v>2017/18</v>
      </c>
    </row>
    <row r="4" spans="1:10" x14ac:dyDescent="0.2">
      <c r="A4" t="str">
        <f>[5]trip_summary_region!A4</f>
        <v>01 NORTHLAND</v>
      </c>
      <c r="B4">
        <f>[5]trip_summary_region!B4</f>
        <v>0</v>
      </c>
      <c r="C4">
        <f>[5]trip_summary_region!C4</f>
        <v>2023</v>
      </c>
      <c r="D4">
        <f>[5]trip_summary_region!D4</f>
        <v>259</v>
      </c>
      <c r="E4">
        <f>[5]trip_summary_region!E4</f>
        <v>844</v>
      </c>
      <c r="F4">
        <f>[5]trip_summary_region!F4</f>
        <v>24.432664984999999</v>
      </c>
      <c r="G4">
        <f>[5]trip_summary_region!G4</f>
        <v>17.969776123999999</v>
      </c>
      <c r="H4">
        <f>[5]trip_summary_region!H4</f>
        <v>5.1331206324999998</v>
      </c>
      <c r="I4" t="str">
        <f>[5]trip_summary_region!I4</f>
        <v>Pedestrian</v>
      </c>
      <c r="J4" t="str">
        <f>[5]trip_summary_region!J4</f>
        <v>2022/23</v>
      </c>
    </row>
    <row r="5" spans="1:10" x14ac:dyDescent="0.2">
      <c r="A5" t="str">
        <f>[5]trip_summary_region!A5</f>
        <v>01 NORTHLAND</v>
      </c>
      <c r="B5">
        <f>[5]trip_summary_region!B5</f>
        <v>0</v>
      </c>
      <c r="C5">
        <f>[5]trip_summary_region!C5</f>
        <v>2028</v>
      </c>
      <c r="D5">
        <f>[5]trip_summary_region!D5</f>
        <v>259</v>
      </c>
      <c r="E5">
        <f>[5]trip_summary_region!E5</f>
        <v>844</v>
      </c>
      <c r="F5">
        <f>[5]trip_summary_region!F5</f>
        <v>24.530438723</v>
      </c>
      <c r="G5">
        <f>[5]trip_summary_region!G5</f>
        <v>17.847356708</v>
      </c>
      <c r="H5">
        <f>[5]trip_summary_region!H5</f>
        <v>5.0875962971000002</v>
      </c>
      <c r="I5" t="str">
        <f>[5]trip_summary_region!I5</f>
        <v>Pedestrian</v>
      </c>
      <c r="J5" t="str">
        <f>[5]trip_summary_region!J5</f>
        <v>2027/28</v>
      </c>
    </row>
    <row r="6" spans="1:10" x14ac:dyDescent="0.2">
      <c r="A6" t="str">
        <f>[5]trip_summary_region!A6</f>
        <v>01 NORTHLAND</v>
      </c>
      <c r="B6">
        <f>[5]trip_summary_region!B6</f>
        <v>0</v>
      </c>
      <c r="C6">
        <f>[5]trip_summary_region!C6</f>
        <v>2033</v>
      </c>
      <c r="D6">
        <f>[5]trip_summary_region!D6</f>
        <v>259</v>
      </c>
      <c r="E6">
        <f>[5]trip_summary_region!E6</f>
        <v>844</v>
      </c>
      <c r="F6">
        <f>[5]trip_summary_region!F6</f>
        <v>24.360605504999999</v>
      </c>
      <c r="G6">
        <f>[5]trip_summary_region!G6</f>
        <v>17.407911568999999</v>
      </c>
      <c r="H6">
        <f>[5]trip_summary_region!H6</f>
        <v>4.9752177157000004</v>
      </c>
      <c r="I6" t="str">
        <f>[5]trip_summary_region!I6</f>
        <v>Pedestrian</v>
      </c>
      <c r="J6" t="str">
        <f>[5]trip_summary_region!J6</f>
        <v>2032/33</v>
      </c>
    </row>
    <row r="7" spans="1:10" x14ac:dyDescent="0.2">
      <c r="A7" t="str">
        <f>[5]trip_summary_region!A7</f>
        <v>01 NORTHLAND</v>
      </c>
      <c r="B7">
        <f>[5]trip_summary_region!B7</f>
        <v>0</v>
      </c>
      <c r="C7">
        <f>[5]trip_summary_region!C7</f>
        <v>2038</v>
      </c>
      <c r="D7">
        <f>[5]trip_summary_region!D7</f>
        <v>259</v>
      </c>
      <c r="E7">
        <f>[5]trip_summary_region!E7</f>
        <v>844</v>
      </c>
      <c r="F7">
        <f>[5]trip_summary_region!F7</f>
        <v>23.96272797</v>
      </c>
      <c r="G7">
        <f>[5]trip_summary_region!G7</f>
        <v>16.757316444000001</v>
      </c>
      <c r="H7">
        <f>[5]trip_summary_region!H7</f>
        <v>4.8028862178000002</v>
      </c>
      <c r="I7" t="str">
        <f>[5]trip_summary_region!I7</f>
        <v>Pedestrian</v>
      </c>
      <c r="J7" t="str">
        <f>[5]trip_summary_region!J7</f>
        <v>2037/38</v>
      </c>
    </row>
    <row r="8" spans="1:10" x14ac:dyDescent="0.2">
      <c r="A8" t="str">
        <f>[5]trip_summary_region!A8</f>
        <v>01 NORTHLAND</v>
      </c>
      <c r="B8">
        <f>[5]trip_summary_region!B8</f>
        <v>0</v>
      </c>
      <c r="C8">
        <f>[5]trip_summary_region!C8</f>
        <v>2043</v>
      </c>
      <c r="D8">
        <f>[5]trip_summary_region!D8</f>
        <v>259</v>
      </c>
      <c r="E8">
        <f>[5]trip_summary_region!E8</f>
        <v>844</v>
      </c>
      <c r="F8">
        <f>[5]trip_summary_region!F8</f>
        <v>23.474969459</v>
      </c>
      <c r="G8">
        <f>[5]trip_summary_region!G8</f>
        <v>16.057189291</v>
      </c>
      <c r="H8">
        <f>[5]trip_summary_region!H8</f>
        <v>4.6108281109</v>
      </c>
      <c r="I8" t="str">
        <f>[5]trip_summary_region!I8</f>
        <v>Pedestrian</v>
      </c>
      <c r="J8" t="str">
        <f>[5]trip_summary_region!J8</f>
        <v>2042/43</v>
      </c>
    </row>
    <row r="9" spans="1:10" x14ac:dyDescent="0.2">
      <c r="A9" t="str">
        <f>[5]trip_summary_region!A9</f>
        <v>01 NORTHLAND</v>
      </c>
      <c r="B9">
        <f>[5]trip_summary_region!B9</f>
        <v>1</v>
      </c>
      <c r="C9">
        <f>[5]trip_summary_region!C9</f>
        <v>2013</v>
      </c>
      <c r="D9">
        <f>[5]trip_summary_region!D9</f>
        <v>5</v>
      </c>
      <c r="E9">
        <f>[5]trip_summary_region!E9</f>
        <v>19</v>
      </c>
      <c r="F9">
        <f>[5]trip_summary_region!F9</f>
        <v>0.66592947719999995</v>
      </c>
      <c r="G9">
        <f>[5]trip_summary_region!G9</f>
        <v>1.0072239942000001</v>
      </c>
      <c r="H9">
        <f>[5]trip_summary_region!H9</f>
        <v>0.15772883609999999</v>
      </c>
      <c r="I9" t="str">
        <f>[5]trip_summary_region!I9</f>
        <v>Cyclist</v>
      </c>
      <c r="J9" t="str">
        <f>[5]trip_summary_region!J9</f>
        <v>2012/13</v>
      </c>
    </row>
    <row r="10" spans="1:10" x14ac:dyDescent="0.2">
      <c r="A10" t="str">
        <f>[5]trip_summary_region!A10</f>
        <v>01 NORTHLAND</v>
      </c>
      <c r="B10">
        <f>[5]trip_summary_region!B10</f>
        <v>1</v>
      </c>
      <c r="C10">
        <f>[5]trip_summary_region!C10</f>
        <v>2018</v>
      </c>
      <c r="D10">
        <f>[5]trip_summary_region!D10</f>
        <v>5</v>
      </c>
      <c r="E10">
        <f>[5]trip_summary_region!E10</f>
        <v>19</v>
      </c>
      <c r="F10">
        <f>[5]trip_summary_region!F10</f>
        <v>0.62665387790000004</v>
      </c>
      <c r="G10">
        <f>[5]trip_summary_region!G10</f>
        <v>0.95920884959999997</v>
      </c>
      <c r="H10">
        <f>[5]trip_summary_region!H10</f>
        <v>0.14998056870000001</v>
      </c>
      <c r="I10" t="str">
        <f>[5]trip_summary_region!I10</f>
        <v>Cyclist</v>
      </c>
      <c r="J10" t="str">
        <f>[5]trip_summary_region!J10</f>
        <v>2017/18</v>
      </c>
    </row>
    <row r="11" spans="1:10" x14ac:dyDescent="0.2">
      <c r="A11" t="str">
        <f>[5]trip_summary_region!A11</f>
        <v>01 NORTHLAND</v>
      </c>
      <c r="B11">
        <f>[5]trip_summary_region!B11</f>
        <v>1</v>
      </c>
      <c r="C11">
        <f>[5]trip_summary_region!C11</f>
        <v>2023</v>
      </c>
      <c r="D11">
        <f>[5]trip_summary_region!D11</f>
        <v>5</v>
      </c>
      <c r="E11">
        <f>[5]trip_summary_region!E11</f>
        <v>19</v>
      </c>
      <c r="F11">
        <f>[5]trip_summary_region!F11</f>
        <v>0.63783943210000005</v>
      </c>
      <c r="G11">
        <f>[5]trip_summary_region!G11</f>
        <v>0.98617074579999997</v>
      </c>
      <c r="H11">
        <f>[5]trip_summary_region!H11</f>
        <v>0.1543567381</v>
      </c>
      <c r="I11" t="str">
        <f>[5]trip_summary_region!I11</f>
        <v>Cyclist</v>
      </c>
      <c r="J11" t="str">
        <f>[5]trip_summary_region!J11</f>
        <v>2022/23</v>
      </c>
    </row>
    <row r="12" spans="1:10" x14ac:dyDescent="0.2">
      <c r="A12" t="str">
        <f>[5]trip_summary_region!A12</f>
        <v>01 NORTHLAND</v>
      </c>
      <c r="B12">
        <f>[5]trip_summary_region!B12</f>
        <v>1</v>
      </c>
      <c r="C12">
        <f>[5]trip_summary_region!C12</f>
        <v>2028</v>
      </c>
      <c r="D12">
        <f>[5]trip_summary_region!D12</f>
        <v>5</v>
      </c>
      <c r="E12">
        <f>[5]trip_summary_region!E12</f>
        <v>19</v>
      </c>
      <c r="F12">
        <f>[5]trip_summary_region!F12</f>
        <v>0.62394237320000001</v>
      </c>
      <c r="G12">
        <f>[5]trip_summary_region!G12</f>
        <v>0.97209749619999997</v>
      </c>
      <c r="H12">
        <f>[5]trip_summary_region!H12</f>
        <v>0.1526580649</v>
      </c>
      <c r="I12" t="str">
        <f>[5]trip_summary_region!I12</f>
        <v>Cyclist</v>
      </c>
      <c r="J12" t="str">
        <f>[5]trip_summary_region!J12</f>
        <v>2027/28</v>
      </c>
    </row>
    <row r="13" spans="1:10" x14ac:dyDescent="0.2">
      <c r="A13" t="str">
        <f>[5]trip_summary_region!A13</f>
        <v>01 NORTHLAND</v>
      </c>
      <c r="B13">
        <f>[5]trip_summary_region!B13</f>
        <v>1</v>
      </c>
      <c r="C13">
        <f>[5]trip_summary_region!C13</f>
        <v>2033</v>
      </c>
      <c r="D13">
        <f>[5]trip_summary_region!D13</f>
        <v>5</v>
      </c>
      <c r="E13">
        <f>[5]trip_summary_region!E13</f>
        <v>19</v>
      </c>
      <c r="F13">
        <f>[5]trip_summary_region!F13</f>
        <v>0.58590263580000002</v>
      </c>
      <c r="G13">
        <f>[5]trip_summary_region!G13</f>
        <v>0.91888916399999998</v>
      </c>
      <c r="H13">
        <f>[5]trip_summary_region!H13</f>
        <v>0.1446068908</v>
      </c>
      <c r="I13" t="str">
        <f>[5]trip_summary_region!I13</f>
        <v>Cyclist</v>
      </c>
      <c r="J13" t="str">
        <f>[5]trip_summary_region!J13</f>
        <v>2032/33</v>
      </c>
    </row>
    <row r="14" spans="1:10" x14ac:dyDescent="0.2">
      <c r="A14" t="str">
        <f>[5]trip_summary_region!A14</f>
        <v>01 NORTHLAND</v>
      </c>
      <c r="B14">
        <f>[5]trip_summary_region!B14</f>
        <v>1</v>
      </c>
      <c r="C14">
        <f>[5]trip_summary_region!C14</f>
        <v>2038</v>
      </c>
      <c r="D14">
        <f>[5]trip_summary_region!D14</f>
        <v>5</v>
      </c>
      <c r="E14">
        <f>[5]trip_summary_region!E14</f>
        <v>19</v>
      </c>
      <c r="F14">
        <f>[5]trip_summary_region!F14</f>
        <v>0.49134130259999997</v>
      </c>
      <c r="G14">
        <f>[5]trip_summary_region!G14</f>
        <v>0.77524979869999999</v>
      </c>
      <c r="H14">
        <f>[5]trip_summary_region!H14</f>
        <v>0.121956184</v>
      </c>
      <c r="I14" t="str">
        <f>[5]trip_summary_region!I14</f>
        <v>Cyclist</v>
      </c>
      <c r="J14" t="str">
        <f>[5]trip_summary_region!J14</f>
        <v>2037/38</v>
      </c>
    </row>
    <row r="15" spans="1:10" x14ac:dyDescent="0.2">
      <c r="A15" t="str">
        <f>[5]trip_summary_region!A15</f>
        <v>01 NORTHLAND</v>
      </c>
      <c r="B15">
        <f>[5]trip_summary_region!B15</f>
        <v>1</v>
      </c>
      <c r="C15">
        <f>[5]trip_summary_region!C15</f>
        <v>2043</v>
      </c>
      <c r="D15">
        <f>[5]trip_summary_region!D15</f>
        <v>5</v>
      </c>
      <c r="E15">
        <f>[5]trip_summary_region!E15</f>
        <v>19</v>
      </c>
      <c r="F15">
        <f>[5]trip_summary_region!F15</f>
        <v>0.40361572159999998</v>
      </c>
      <c r="G15">
        <f>[5]trip_summary_region!G15</f>
        <v>0.64077790940000001</v>
      </c>
      <c r="H15">
        <f>[5]trip_summary_region!H15</f>
        <v>0.1007832583</v>
      </c>
      <c r="I15" t="str">
        <f>[5]trip_summary_region!I15</f>
        <v>Cyclist</v>
      </c>
      <c r="J15" t="str">
        <f>[5]trip_summary_region!J15</f>
        <v>2042/43</v>
      </c>
    </row>
    <row r="16" spans="1:10" x14ac:dyDescent="0.2">
      <c r="A16" t="str">
        <f>[5]trip_summary_region!A16</f>
        <v>01 NORTHLAND</v>
      </c>
      <c r="B16">
        <f>[5]trip_summary_region!B16</f>
        <v>2</v>
      </c>
      <c r="C16">
        <f>[5]trip_summary_region!C16</f>
        <v>2013</v>
      </c>
      <c r="D16">
        <f>[5]trip_summary_region!D16</f>
        <v>476</v>
      </c>
      <c r="E16">
        <f>[5]trip_summary_region!E16</f>
        <v>2980</v>
      </c>
      <c r="F16">
        <f>[5]trip_summary_region!F16</f>
        <v>86.333691700000003</v>
      </c>
      <c r="G16">
        <f>[5]trip_summary_region!G16</f>
        <v>1011.4273062</v>
      </c>
      <c r="H16">
        <f>[5]trip_summary_region!H16</f>
        <v>23.421840091</v>
      </c>
      <c r="I16" t="str">
        <f>[5]trip_summary_region!I16</f>
        <v>Light Vehicle Driver</v>
      </c>
      <c r="J16" t="str">
        <f>[5]trip_summary_region!J16</f>
        <v>2012/13</v>
      </c>
    </row>
    <row r="17" spans="1:10" x14ac:dyDescent="0.2">
      <c r="A17" t="str">
        <f>[5]trip_summary_region!A17</f>
        <v>01 NORTHLAND</v>
      </c>
      <c r="B17">
        <f>[5]trip_summary_region!B17</f>
        <v>2</v>
      </c>
      <c r="C17">
        <f>[5]trip_summary_region!C17</f>
        <v>2018</v>
      </c>
      <c r="D17">
        <f>[5]trip_summary_region!D17</f>
        <v>476</v>
      </c>
      <c r="E17">
        <f>[5]trip_summary_region!E17</f>
        <v>2980</v>
      </c>
      <c r="F17">
        <f>[5]trip_summary_region!F17</f>
        <v>90.810339967999994</v>
      </c>
      <c r="G17">
        <f>[5]trip_summary_region!G17</f>
        <v>1072.2253321999999</v>
      </c>
      <c r="H17">
        <f>[5]trip_summary_region!H17</f>
        <v>24.805095076000001</v>
      </c>
      <c r="I17" t="str">
        <f>[5]trip_summary_region!I17</f>
        <v>Light Vehicle Driver</v>
      </c>
      <c r="J17" t="str">
        <f>[5]trip_summary_region!J17</f>
        <v>2017/18</v>
      </c>
    </row>
    <row r="18" spans="1:10" x14ac:dyDescent="0.2">
      <c r="A18" t="str">
        <f>[5]trip_summary_region!A18</f>
        <v>01 NORTHLAND</v>
      </c>
      <c r="B18">
        <f>[5]trip_summary_region!B18</f>
        <v>2</v>
      </c>
      <c r="C18">
        <f>[5]trip_summary_region!C18</f>
        <v>2023</v>
      </c>
      <c r="D18">
        <f>[5]trip_summary_region!D18</f>
        <v>476</v>
      </c>
      <c r="E18">
        <f>[5]trip_summary_region!E18</f>
        <v>2980</v>
      </c>
      <c r="F18">
        <f>[5]trip_summary_region!F18</f>
        <v>93.502987924999999</v>
      </c>
      <c r="G18">
        <f>[5]trip_summary_region!G18</f>
        <v>1105.3844257999999</v>
      </c>
      <c r="H18">
        <f>[5]trip_summary_region!H18</f>
        <v>25.537103938000001</v>
      </c>
      <c r="I18" t="str">
        <f>[5]trip_summary_region!I18</f>
        <v>Light Vehicle Driver</v>
      </c>
      <c r="J18" t="str">
        <f>[5]trip_summary_region!J18</f>
        <v>2022/23</v>
      </c>
    </row>
    <row r="19" spans="1:10" x14ac:dyDescent="0.2">
      <c r="A19" t="str">
        <f>[5]trip_summary_region!A19</f>
        <v>01 NORTHLAND</v>
      </c>
      <c r="B19">
        <f>[5]trip_summary_region!B19</f>
        <v>2</v>
      </c>
      <c r="C19">
        <f>[5]trip_summary_region!C19</f>
        <v>2028</v>
      </c>
      <c r="D19">
        <f>[5]trip_summary_region!D19</f>
        <v>476</v>
      </c>
      <c r="E19">
        <f>[5]trip_summary_region!E19</f>
        <v>2980</v>
      </c>
      <c r="F19">
        <f>[5]trip_summary_region!F19</f>
        <v>97.395297670000005</v>
      </c>
      <c r="G19">
        <f>[5]trip_summary_region!G19</f>
        <v>1146.9551033</v>
      </c>
      <c r="H19">
        <f>[5]trip_summary_region!H19</f>
        <v>26.428384068</v>
      </c>
      <c r="I19" t="str">
        <f>[5]trip_summary_region!I19</f>
        <v>Light Vehicle Driver</v>
      </c>
      <c r="J19" t="str">
        <f>[5]trip_summary_region!J19</f>
        <v>2027/28</v>
      </c>
    </row>
    <row r="20" spans="1:10" x14ac:dyDescent="0.2">
      <c r="A20" t="str">
        <f>[5]trip_summary_region!A20</f>
        <v>01 NORTHLAND</v>
      </c>
      <c r="B20">
        <f>[5]trip_summary_region!B20</f>
        <v>2</v>
      </c>
      <c r="C20">
        <f>[5]trip_summary_region!C20</f>
        <v>2033</v>
      </c>
      <c r="D20">
        <f>[5]trip_summary_region!D20</f>
        <v>476</v>
      </c>
      <c r="E20">
        <f>[5]trip_summary_region!E20</f>
        <v>2980</v>
      </c>
      <c r="F20">
        <f>[5]trip_summary_region!F20</f>
        <v>100.71381083</v>
      </c>
      <c r="G20">
        <f>[5]trip_summary_region!G20</f>
        <v>1185.7144410999999</v>
      </c>
      <c r="H20">
        <f>[5]trip_summary_region!H20</f>
        <v>27.296708428999999</v>
      </c>
      <c r="I20" t="str">
        <f>[5]trip_summary_region!I20</f>
        <v>Light Vehicle Driver</v>
      </c>
      <c r="J20" t="str">
        <f>[5]trip_summary_region!J20</f>
        <v>2032/33</v>
      </c>
    </row>
    <row r="21" spans="1:10" x14ac:dyDescent="0.2">
      <c r="A21" t="str">
        <f>[5]trip_summary_region!A21</f>
        <v>01 NORTHLAND</v>
      </c>
      <c r="B21">
        <f>[5]trip_summary_region!B21</f>
        <v>2</v>
      </c>
      <c r="C21">
        <f>[5]trip_summary_region!C21</f>
        <v>2038</v>
      </c>
      <c r="D21">
        <f>[5]trip_summary_region!D21</f>
        <v>476</v>
      </c>
      <c r="E21">
        <f>[5]trip_summary_region!E21</f>
        <v>2980</v>
      </c>
      <c r="F21">
        <f>[5]trip_summary_region!F21</f>
        <v>102.07565332999999</v>
      </c>
      <c r="G21">
        <f>[5]trip_summary_region!G21</f>
        <v>1208.7882614</v>
      </c>
      <c r="H21">
        <f>[5]trip_summary_region!H21</f>
        <v>27.810402643</v>
      </c>
      <c r="I21" t="str">
        <f>[5]trip_summary_region!I21</f>
        <v>Light Vehicle Driver</v>
      </c>
      <c r="J21" t="str">
        <f>[5]trip_summary_region!J21</f>
        <v>2037/38</v>
      </c>
    </row>
    <row r="22" spans="1:10" x14ac:dyDescent="0.2">
      <c r="A22" t="str">
        <f>[5]trip_summary_region!A22</f>
        <v>01 NORTHLAND</v>
      </c>
      <c r="B22">
        <f>[5]trip_summary_region!B22</f>
        <v>2</v>
      </c>
      <c r="C22">
        <f>[5]trip_summary_region!C22</f>
        <v>2043</v>
      </c>
      <c r="D22">
        <f>[5]trip_summary_region!D22</f>
        <v>476</v>
      </c>
      <c r="E22">
        <f>[5]trip_summary_region!E22</f>
        <v>2980</v>
      </c>
      <c r="F22">
        <f>[5]trip_summary_region!F22</f>
        <v>103.08701818999999</v>
      </c>
      <c r="G22">
        <f>[5]trip_summary_region!G22</f>
        <v>1226.7759963999999</v>
      </c>
      <c r="H22">
        <f>[5]trip_summary_region!H22</f>
        <v>28.196575898999999</v>
      </c>
      <c r="I22" t="str">
        <f>[5]trip_summary_region!I22</f>
        <v>Light Vehicle Driver</v>
      </c>
      <c r="J22" t="str">
        <f>[5]trip_summary_region!J22</f>
        <v>2042/43</v>
      </c>
    </row>
    <row r="23" spans="1:10" x14ac:dyDescent="0.2">
      <c r="A23" t="str">
        <f>[5]trip_summary_region!A23</f>
        <v>01 NORTHLAND</v>
      </c>
      <c r="B23">
        <f>[5]trip_summary_region!B23</f>
        <v>3</v>
      </c>
      <c r="C23">
        <f>[5]trip_summary_region!C23</f>
        <v>2013</v>
      </c>
      <c r="D23">
        <f>[5]trip_summary_region!D23</f>
        <v>380</v>
      </c>
      <c r="E23">
        <f>[5]trip_summary_region!E23</f>
        <v>1743</v>
      </c>
      <c r="F23">
        <f>[5]trip_summary_region!F23</f>
        <v>50.299563868</v>
      </c>
      <c r="G23">
        <f>[5]trip_summary_region!G23</f>
        <v>666.23785996000004</v>
      </c>
      <c r="H23">
        <f>[5]trip_summary_region!H23</f>
        <v>15.174949781</v>
      </c>
      <c r="I23" t="str">
        <f>[5]trip_summary_region!I23</f>
        <v>Light Vehicle Passenger</v>
      </c>
      <c r="J23" t="str">
        <f>[5]trip_summary_region!J23</f>
        <v>2012/13</v>
      </c>
    </row>
    <row r="24" spans="1:10" x14ac:dyDescent="0.2">
      <c r="A24" t="str">
        <f>[5]trip_summary_region!A24</f>
        <v>01 NORTHLAND</v>
      </c>
      <c r="B24">
        <f>[5]trip_summary_region!B24</f>
        <v>3</v>
      </c>
      <c r="C24">
        <f>[5]trip_summary_region!C24</f>
        <v>2018</v>
      </c>
      <c r="D24">
        <f>[5]trip_summary_region!D24</f>
        <v>380</v>
      </c>
      <c r="E24">
        <f>[5]trip_summary_region!E24</f>
        <v>1743</v>
      </c>
      <c r="F24">
        <f>[5]trip_summary_region!F24</f>
        <v>50.294252911000001</v>
      </c>
      <c r="G24">
        <f>[5]trip_summary_region!G24</f>
        <v>679.52550068999994</v>
      </c>
      <c r="H24">
        <f>[5]trip_summary_region!H24</f>
        <v>15.404934486</v>
      </c>
      <c r="I24" t="str">
        <f>[5]trip_summary_region!I24</f>
        <v>Light Vehicle Passenger</v>
      </c>
      <c r="J24" t="str">
        <f>[5]trip_summary_region!J24</f>
        <v>2017/18</v>
      </c>
    </row>
    <row r="25" spans="1:10" x14ac:dyDescent="0.2">
      <c r="A25" t="str">
        <f>[5]trip_summary_region!A25</f>
        <v>01 NORTHLAND</v>
      </c>
      <c r="B25">
        <f>[5]trip_summary_region!B25</f>
        <v>3</v>
      </c>
      <c r="C25">
        <f>[5]trip_summary_region!C25</f>
        <v>2023</v>
      </c>
      <c r="D25">
        <f>[5]trip_summary_region!D25</f>
        <v>380</v>
      </c>
      <c r="E25">
        <f>[5]trip_summary_region!E25</f>
        <v>1743</v>
      </c>
      <c r="F25">
        <f>[5]trip_summary_region!F25</f>
        <v>50.043539699999997</v>
      </c>
      <c r="G25">
        <f>[5]trip_summary_region!G25</f>
        <v>685.33432728000002</v>
      </c>
      <c r="H25">
        <f>[5]trip_summary_region!H25</f>
        <v>15.467226911999999</v>
      </c>
      <c r="I25" t="str">
        <f>[5]trip_summary_region!I25</f>
        <v>Light Vehicle Passenger</v>
      </c>
      <c r="J25" t="str">
        <f>[5]trip_summary_region!J25</f>
        <v>2022/23</v>
      </c>
    </row>
    <row r="26" spans="1:10" x14ac:dyDescent="0.2">
      <c r="A26" t="str">
        <f>[5]trip_summary_region!A26</f>
        <v>01 NORTHLAND</v>
      </c>
      <c r="B26">
        <f>[5]trip_summary_region!B26</f>
        <v>3</v>
      </c>
      <c r="C26">
        <f>[5]trip_summary_region!C26</f>
        <v>2028</v>
      </c>
      <c r="D26">
        <f>[5]trip_summary_region!D26</f>
        <v>380</v>
      </c>
      <c r="E26">
        <f>[5]trip_summary_region!E26</f>
        <v>1743</v>
      </c>
      <c r="F26">
        <f>[5]trip_summary_region!F26</f>
        <v>50.358372277000001</v>
      </c>
      <c r="G26">
        <f>[5]trip_summary_region!G26</f>
        <v>699.07251783000004</v>
      </c>
      <c r="H26">
        <f>[5]trip_summary_region!H26</f>
        <v>15.657848668</v>
      </c>
      <c r="I26" t="str">
        <f>[5]trip_summary_region!I26</f>
        <v>Light Vehicle Passenger</v>
      </c>
      <c r="J26" t="str">
        <f>[5]trip_summary_region!J26</f>
        <v>2027/28</v>
      </c>
    </row>
    <row r="27" spans="1:10" x14ac:dyDescent="0.2">
      <c r="A27" t="str">
        <f>[5]trip_summary_region!A27</f>
        <v>01 NORTHLAND</v>
      </c>
      <c r="B27">
        <f>[5]trip_summary_region!B27</f>
        <v>3</v>
      </c>
      <c r="C27">
        <f>[5]trip_summary_region!C27</f>
        <v>2033</v>
      </c>
      <c r="D27">
        <f>[5]trip_summary_region!D27</f>
        <v>380</v>
      </c>
      <c r="E27">
        <f>[5]trip_summary_region!E27</f>
        <v>1743</v>
      </c>
      <c r="F27">
        <f>[5]trip_summary_region!F27</f>
        <v>50.774381144000003</v>
      </c>
      <c r="G27">
        <f>[5]trip_summary_region!G27</f>
        <v>708.60279621999996</v>
      </c>
      <c r="H27">
        <f>[5]trip_summary_region!H27</f>
        <v>15.799028680999999</v>
      </c>
      <c r="I27" t="str">
        <f>[5]trip_summary_region!I27</f>
        <v>Light Vehicle Passenger</v>
      </c>
      <c r="J27" t="str">
        <f>[5]trip_summary_region!J27</f>
        <v>2032/33</v>
      </c>
    </row>
    <row r="28" spans="1:10" x14ac:dyDescent="0.2">
      <c r="A28" t="str">
        <f>[5]trip_summary_region!A28</f>
        <v>01 NORTHLAND</v>
      </c>
      <c r="B28">
        <f>[5]trip_summary_region!B28</f>
        <v>3</v>
      </c>
      <c r="C28">
        <f>[5]trip_summary_region!C28</f>
        <v>2038</v>
      </c>
      <c r="D28">
        <f>[5]trip_summary_region!D28</f>
        <v>380</v>
      </c>
      <c r="E28">
        <f>[5]trip_summary_region!E28</f>
        <v>1743</v>
      </c>
      <c r="F28">
        <f>[5]trip_summary_region!F28</f>
        <v>50.467069518999999</v>
      </c>
      <c r="G28">
        <f>[5]trip_summary_region!G28</f>
        <v>714.65398909999999</v>
      </c>
      <c r="H28">
        <f>[5]trip_summary_region!H28</f>
        <v>15.822855904000001</v>
      </c>
      <c r="I28" t="str">
        <f>[5]trip_summary_region!I28</f>
        <v>Light Vehicle Passenger</v>
      </c>
      <c r="J28" t="str">
        <f>[5]trip_summary_region!J28</f>
        <v>2037/38</v>
      </c>
    </row>
    <row r="29" spans="1:10" x14ac:dyDescent="0.2">
      <c r="A29" t="str">
        <f>[5]trip_summary_region!A29</f>
        <v>01 NORTHLAND</v>
      </c>
      <c r="B29">
        <f>[5]trip_summary_region!B29</f>
        <v>3</v>
      </c>
      <c r="C29">
        <f>[5]trip_summary_region!C29</f>
        <v>2043</v>
      </c>
      <c r="D29">
        <f>[5]trip_summary_region!D29</f>
        <v>380</v>
      </c>
      <c r="E29">
        <f>[5]trip_summary_region!E29</f>
        <v>1743</v>
      </c>
      <c r="F29">
        <f>[5]trip_summary_region!F29</f>
        <v>50.028677604999999</v>
      </c>
      <c r="G29">
        <f>[5]trip_summary_region!G29</f>
        <v>718.34429895999995</v>
      </c>
      <c r="H29">
        <f>[5]trip_summary_region!H29</f>
        <v>15.793590046</v>
      </c>
      <c r="I29" t="str">
        <f>[5]trip_summary_region!I29</f>
        <v>Light Vehicle Passenger</v>
      </c>
      <c r="J29" t="str">
        <f>[5]trip_summary_region!J29</f>
        <v>2042/43</v>
      </c>
    </row>
    <row r="30" spans="1:10" x14ac:dyDescent="0.2">
      <c r="A30" t="str">
        <f>[5]trip_summary_region!A30</f>
        <v>01 NORTHLAND</v>
      </c>
      <c r="B30">
        <f>[5]trip_summary_region!B30</f>
        <v>4</v>
      </c>
      <c r="C30">
        <f>[5]trip_summary_region!C30</f>
        <v>2013</v>
      </c>
      <c r="D30">
        <f>[5]trip_summary_region!D30</f>
        <v>4</v>
      </c>
      <c r="E30">
        <f>[5]trip_summary_region!E30</f>
        <v>6</v>
      </c>
      <c r="F30">
        <f>[5]trip_summary_region!F30</f>
        <v>0.18126348840000001</v>
      </c>
      <c r="G30">
        <f>[5]trip_summary_region!G30</f>
        <v>0.75976041549999995</v>
      </c>
      <c r="H30">
        <f>[5]trip_summary_region!H30</f>
        <v>2.5131369800000001E-2</v>
      </c>
      <c r="I30" t="s">
        <v>116</v>
      </c>
      <c r="J30" t="str">
        <f>[5]trip_summary_region!J30</f>
        <v>2012/13</v>
      </c>
    </row>
    <row r="31" spans="1:10" x14ac:dyDescent="0.2">
      <c r="A31" t="str">
        <f>[5]trip_summary_region!A31</f>
        <v>01 NORTHLAND</v>
      </c>
      <c r="B31">
        <f>[5]trip_summary_region!B31</f>
        <v>4</v>
      </c>
      <c r="C31">
        <f>[5]trip_summary_region!C31</f>
        <v>2018</v>
      </c>
      <c r="D31">
        <f>[5]trip_summary_region!D31</f>
        <v>4</v>
      </c>
      <c r="E31">
        <f>[5]trip_summary_region!E31</f>
        <v>6</v>
      </c>
      <c r="F31">
        <f>[5]trip_summary_region!F31</f>
        <v>0.1834144895</v>
      </c>
      <c r="G31">
        <f>[5]trip_summary_region!G31</f>
        <v>0.78198399110000005</v>
      </c>
      <c r="H31">
        <f>[5]trip_summary_region!H31</f>
        <v>2.5206432899999999E-2</v>
      </c>
      <c r="I31" t="s">
        <v>116</v>
      </c>
      <c r="J31" t="str">
        <f>[5]trip_summary_region!J31</f>
        <v>2017/18</v>
      </c>
    </row>
    <row r="32" spans="1:10" x14ac:dyDescent="0.2">
      <c r="A32" t="str">
        <f>[5]trip_summary_region!A32</f>
        <v>01 NORTHLAND</v>
      </c>
      <c r="B32">
        <f>[5]trip_summary_region!B32</f>
        <v>4</v>
      </c>
      <c r="C32">
        <f>[5]trip_summary_region!C32</f>
        <v>2023</v>
      </c>
      <c r="D32">
        <f>[5]trip_summary_region!D32</f>
        <v>4</v>
      </c>
      <c r="E32">
        <f>[5]trip_summary_region!E32</f>
        <v>6</v>
      </c>
      <c r="F32">
        <f>[5]trip_summary_region!F32</f>
        <v>0.1890964852</v>
      </c>
      <c r="G32">
        <f>[5]trip_summary_region!G32</f>
        <v>0.86476589940000004</v>
      </c>
      <c r="H32">
        <f>[5]trip_summary_region!H32</f>
        <v>2.65194121E-2</v>
      </c>
      <c r="I32" t="s">
        <v>116</v>
      </c>
      <c r="J32" t="str">
        <f>[5]trip_summary_region!J32</f>
        <v>2022/23</v>
      </c>
    </row>
    <row r="33" spans="1:10" x14ac:dyDescent="0.2">
      <c r="A33" t="str">
        <f>[5]trip_summary_region!A33</f>
        <v>01 NORTHLAND</v>
      </c>
      <c r="B33">
        <f>[5]trip_summary_region!B33</f>
        <v>4</v>
      </c>
      <c r="C33">
        <f>[5]trip_summary_region!C33</f>
        <v>2028</v>
      </c>
      <c r="D33">
        <f>[5]trip_summary_region!D33</f>
        <v>4</v>
      </c>
      <c r="E33">
        <f>[5]trip_summary_region!E33</f>
        <v>6</v>
      </c>
      <c r="F33">
        <f>[5]trip_summary_region!F33</f>
        <v>0.2019608722</v>
      </c>
      <c r="G33">
        <f>[5]trip_summary_region!G33</f>
        <v>1.0293937885</v>
      </c>
      <c r="H33">
        <f>[5]trip_summary_region!H33</f>
        <v>2.95729744E-2</v>
      </c>
      <c r="I33" t="s">
        <v>116</v>
      </c>
      <c r="J33" t="str">
        <f>[5]trip_summary_region!J33</f>
        <v>2027/28</v>
      </c>
    </row>
    <row r="34" spans="1:10" x14ac:dyDescent="0.2">
      <c r="A34" t="str">
        <f>[5]trip_summary_region!A34</f>
        <v>01 NORTHLAND</v>
      </c>
      <c r="B34">
        <f>[5]trip_summary_region!B34</f>
        <v>4</v>
      </c>
      <c r="C34">
        <f>[5]trip_summary_region!C34</f>
        <v>2033</v>
      </c>
      <c r="D34">
        <f>[5]trip_summary_region!D34</f>
        <v>4</v>
      </c>
      <c r="E34">
        <f>[5]trip_summary_region!E34</f>
        <v>6</v>
      </c>
      <c r="F34">
        <f>[5]trip_summary_region!F34</f>
        <v>0.200151469</v>
      </c>
      <c r="G34">
        <f>[5]trip_summary_region!G34</f>
        <v>1.1494157753000001</v>
      </c>
      <c r="H34">
        <f>[5]trip_summary_region!H34</f>
        <v>3.0875840099999999E-2</v>
      </c>
      <c r="I34" t="s">
        <v>116</v>
      </c>
      <c r="J34" t="str">
        <f>[5]trip_summary_region!J34</f>
        <v>2032/33</v>
      </c>
    </row>
    <row r="35" spans="1:10" x14ac:dyDescent="0.2">
      <c r="A35" t="str">
        <f>[5]trip_summary_region!A35</f>
        <v>01 NORTHLAND</v>
      </c>
      <c r="B35">
        <f>[5]trip_summary_region!B35</f>
        <v>4</v>
      </c>
      <c r="C35">
        <f>[5]trip_summary_region!C35</f>
        <v>2038</v>
      </c>
      <c r="D35">
        <f>[5]trip_summary_region!D35</f>
        <v>4</v>
      </c>
      <c r="E35">
        <f>[5]trip_summary_region!E35</f>
        <v>6</v>
      </c>
      <c r="F35">
        <f>[5]trip_summary_region!F35</f>
        <v>0.19181391510000001</v>
      </c>
      <c r="G35">
        <f>[5]trip_summary_region!G35</f>
        <v>1.1589046382999999</v>
      </c>
      <c r="H35">
        <f>[5]trip_summary_region!H35</f>
        <v>3.0098517200000001E-2</v>
      </c>
      <c r="I35" t="s">
        <v>116</v>
      </c>
      <c r="J35" t="str">
        <f>[5]trip_summary_region!J35</f>
        <v>2037/38</v>
      </c>
    </row>
    <row r="36" spans="1:10" x14ac:dyDescent="0.2">
      <c r="A36" t="str">
        <f>[5]trip_summary_region!A36</f>
        <v>01 NORTHLAND</v>
      </c>
      <c r="B36">
        <f>[5]trip_summary_region!B36</f>
        <v>4</v>
      </c>
      <c r="C36">
        <f>[5]trip_summary_region!C36</f>
        <v>2043</v>
      </c>
      <c r="D36">
        <f>[5]trip_summary_region!D36</f>
        <v>4</v>
      </c>
      <c r="E36">
        <f>[5]trip_summary_region!E36</f>
        <v>6</v>
      </c>
      <c r="F36">
        <f>[5]trip_summary_region!F36</f>
        <v>0.18271819580000001</v>
      </c>
      <c r="G36">
        <f>[5]trip_summary_region!G36</f>
        <v>1.1584447639</v>
      </c>
      <c r="H36">
        <f>[5]trip_summary_region!H36</f>
        <v>2.9121961700000001E-2</v>
      </c>
      <c r="I36" t="s">
        <v>116</v>
      </c>
      <c r="J36" t="str">
        <f>[5]trip_summary_region!J36</f>
        <v>2042/43</v>
      </c>
    </row>
    <row r="37" spans="1:10" x14ac:dyDescent="0.2">
      <c r="A37" t="str">
        <f>[5]trip_summary_region!A37</f>
        <v>01 NORTHLAND</v>
      </c>
      <c r="B37">
        <f>[5]trip_summary_region!B37</f>
        <v>5</v>
      </c>
      <c r="C37">
        <f>[5]trip_summary_region!C37</f>
        <v>2013</v>
      </c>
      <c r="D37">
        <f>[5]trip_summary_region!D37</f>
        <v>5</v>
      </c>
      <c r="E37">
        <f>[5]trip_summary_region!E37</f>
        <v>28</v>
      </c>
      <c r="F37">
        <f>[5]trip_summary_region!F37</f>
        <v>1.4141085707000001</v>
      </c>
      <c r="G37">
        <f>[5]trip_summary_region!G37</f>
        <v>9.2423909657000003</v>
      </c>
      <c r="H37">
        <f>[5]trip_summary_region!H37</f>
        <v>0.28382488960000002</v>
      </c>
      <c r="I37" t="str">
        <f>[5]trip_summary_region!I37</f>
        <v>Motorcyclist</v>
      </c>
      <c r="J37" t="str">
        <f>[5]trip_summary_region!J37</f>
        <v>2012/13</v>
      </c>
    </row>
    <row r="38" spans="1:10" x14ac:dyDescent="0.2">
      <c r="A38" t="str">
        <f>[5]trip_summary_region!A38</f>
        <v>01 NORTHLAND</v>
      </c>
      <c r="B38">
        <f>[5]trip_summary_region!B38</f>
        <v>5</v>
      </c>
      <c r="C38">
        <f>[5]trip_summary_region!C38</f>
        <v>2018</v>
      </c>
      <c r="D38">
        <f>[5]trip_summary_region!D38</f>
        <v>5</v>
      </c>
      <c r="E38">
        <f>[5]trip_summary_region!E38</f>
        <v>28</v>
      </c>
      <c r="F38">
        <f>[5]trip_summary_region!F38</f>
        <v>1.4332547929999999</v>
      </c>
      <c r="G38">
        <f>[5]trip_summary_region!G38</f>
        <v>9.7002967839000007</v>
      </c>
      <c r="H38">
        <f>[5]trip_summary_region!H38</f>
        <v>0.29572600589999998</v>
      </c>
      <c r="I38" t="str">
        <f>[5]trip_summary_region!I38</f>
        <v>Motorcyclist</v>
      </c>
      <c r="J38" t="str">
        <f>[5]trip_summary_region!J38</f>
        <v>2017/18</v>
      </c>
    </row>
    <row r="39" spans="1:10" x14ac:dyDescent="0.2">
      <c r="A39" t="str">
        <f>[5]trip_summary_region!A39</f>
        <v>01 NORTHLAND</v>
      </c>
      <c r="B39">
        <f>[5]trip_summary_region!B39</f>
        <v>5</v>
      </c>
      <c r="C39">
        <f>[5]trip_summary_region!C39</f>
        <v>2023</v>
      </c>
      <c r="D39">
        <f>[5]trip_summary_region!D39</f>
        <v>5</v>
      </c>
      <c r="E39">
        <f>[5]trip_summary_region!E39</f>
        <v>28</v>
      </c>
      <c r="F39">
        <f>[5]trip_summary_region!F39</f>
        <v>1.3872448195</v>
      </c>
      <c r="G39">
        <f>[5]trip_summary_region!G39</f>
        <v>9.5856546256000001</v>
      </c>
      <c r="H39">
        <f>[5]trip_summary_region!H39</f>
        <v>0.29168247580000001</v>
      </c>
      <c r="I39" t="str">
        <f>[5]trip_summary_region!I39</f>
        <v>Motorcyclist</v>
      </c>
      <c r="J39" t="str">
        <f>[5]trip_summary_region!J39</f>
        <v>2022/23</v>
      </c>
    </row>
    <row r="40" spans="1:10" x14ac:dyDescent="0.2">
      <c r="A40" t="str">
        <f>[5]trip_summary_region!A40</f>
        <v>01 NORTHLAND</v>
      </c>
      <c r="B40">
        <f>[5]trip_summary_region!B40</f>
        <v>5</v>
      </c>
      <c r="C40">
        <f>[5]trip_summary_region!C40</f>
        <v>2028</v>
      </c>
      <c r="D40">
        <f>[5]trip_summary_region!D40</f>
        <v>5</v>
      </c>
      <c r="E40">
        <f>[5]trip_summary_region!E40</f>
        <v>28</v>
      </c>
      <c r="F40">
        <f>[5]trip_summary_region!F40</f>
        <v>1.316323508</v>
      </c>
      <c r="G40">
        <f>[5]trip_summary_region!G40</f>
        <v>9.4499772945</v>
      </c>
      <c r="H40">
        <f>[5]trip_summary_region!H40</f>
        <v>0.2839886566</v>
      </c>
      <c r="I40" t="str">
        <f>[5]trip_summary_region!I40</f>
        <v>Motorcyclist</v>
      </c>
      <c r="J40" t="str">
        <f>[5]trip_summary_region!J40</f>
        <v>2027/28</v>
      </c>
    </row>
    <row r="41" spans="1:10" x14ac:dyDescent="0.2">
      <c r="A41" t="str">
        <f>[5]trip_summary_region!A41</f>
        <v>01 NORTHLAND</v>
      </c>
      <c r="B41">
        <f>[5]trip_summary_region!B41</f>
        <v>5</v>
      </c>
      <c r="C41">
        <f>[5]trip_summary_region!C41</f>
        <v>2033</v>
      </c>
      <c r="D41">
        <f>[5]trip_summary_region!D41</f>
        <v>5</v>
      </c>
      <c r="E41">
        <f>[5]trip_summary_region!E41</f>
        <v>28</v>
      </c>
      <c r="F41">
        <f>[5]trip_summary_region!F41</f>
        <v>1.3004489078000001</v>
      </c>
      <c r="G41">
        <f>[5]trip_summary_region!G41</f>
        <v>9.4937218836999993</v>
      </c>
      <c r="H41">
        <f>[5]trip_summary_region!H41</f>
        <v>0.28305456089999997</v>
      </c>
      <c r="I41" t="str">
        <f>[5]trip_summary_region!I41</f>
        <v>Motorcyclist</v>
      </c>
      <c r="J41" t="str">
        <f>[5]trip_summary_region!J41</f>
        <v>2032/33</v>
      </c>
    </row>
    <row r="42" spans="1:10" x14ac:dyDescent="0.2">
      <c r="A42" t="str">
        <f>[5]trip_summary_region!A42</f>
        <v>01 NORTHLAND</v>
      </c>
      <c r="B42">
        <f>[5]trip_summary_region!B42</f>
        <v>5</v>
      </c>
      <c r="C42">
        <f>[5]trip_summary_region!C42</f>
        <v>2038</v>
      </c>
      <c r="D42">
        <f>[5]trip_summary_region!D42</f>
        <v>5</v>
      </c>
      <c r="E42">
        <f>[5]trip_summary_region!E42</f>
        <v>28</v>
      </c>
      <c r="F42">
        <f>[5]trip_summary_region!F42</f>
        <v>1.328254144</v>
      </c>
      <c r="G42">
        <f>[5]trip_summary_region!G42</f>
        <v>9.7473099071</v>
      </c>
      <c r="H42">
        <f>[5]trip_summary_region!H42</f>
        <v>0.28946466040000002</v>
      </c>
      <c r="I42" t="str">
        <f>[5]trip_summary_region!I42</f>
        <v>Motorcyclist</v>
      </c>
      <c r="J42" t="str">
        <f>[5]trip_summary_region!J42</f>
        <v>2037/38</v>
      </c>
    </row>
    <row r="43" spans="1:10" x14ac:dyDescent="0.2">
      <c r="A43" t="str">
        <f>[5]trip_summary_region!A43</f>
        <v>01 NORTHLAND</v>
      </c>
      <c r="B43">
        <f>[5]trip_summary_region!B43</f>
        <v>5</v>
      </c>
      <c r="C43">
        <f>[5]trip_summary_region!C43</f>
        <v>2043</v>
      </c>
      <c r="D43">
        <f>[5]trip_summary_region!D43</f>
        <v>5</v>
      </c>
      <c r="E43">
        <f>[5]trip_summary_region!E43</f>
        <v>28</v>
      </c>
      <c r="F43">
        <f>[5]trip_summary_region!F43</f>
        <v>1.3387908873000001</v>
      </c>
      <c r="G43">
        <f>[5]trip_summary_region!G43</f>
        <v>9.8358111036999993</v>
      </c>
      <c r="H43">
        <f>[5]trip_summary_region!H43</f>
        <v>0.2917350132</v>
      </c>
      <c r="I43" t="str">
        <f>[5]trip_summary_region!I43</f>
        <v>Motorcyclist</v>
      </c>
      <c r="J43" t="str">
        <f>[5]trip_summary_region!J43</f>
        <v>2042/43</v>
      </c>
    </row>
    <row r="44" spans="1:10" x14ac:dyDescent="0.2">
      <c r="A44" t="str">
        <f>[5]trip_summary_region!A44</f>
        <v>01 NORTHLAND</v>
      </c>
      <c r="B44">
        <f>[5]trip_summary_region!B44</f>
        <v>7</v>
      </c>
      <c r="C44">
        <f>[5]trip_summary_region!C44</f>
        <v>2013</v>
      </c>
      <c r="D44">
        <f>[5]trip_summary_region!D44</f>
        <v>50</v>
      </c>
      <c r="E44">
        <f>[5]trip_summary_region!E44</f>
        <v>135</v>
      </c>
      <c r="F44">
        <f>[5]trip_summary_region!F44</f>
        <v>3.6339219343</v>
      </c>
      <c r="G44">
        <f>[5]trip_summary_region!G44</f>
        <v>44.734594063999999</v>
      </c>
      <c r="H44">
        <f>[5]trip_summary_region!H44</f>
        <v>1.5691203781</v>
      </c>
      <c r="I44" t="str">
        <f>[5]trip_summary_region!I44</f>
        <v>Local Bus</v>
      </c>
      <c r="J44" t="str">
        <f>[5]trip_summary_region!J44</f>
        <v>2012/13</v>
      </c>
    </row>
    <row r="45" spans="1:10" x14ac:dyDescent="0.2">
      <c r="A45" t="str">
        <f>[5]trip_summary_region!A45</f>
        <v>01 NORTHLAND</v>
      </c>
      <c r="B45">
        <f>[5]trip_summary_region!B45</f>
        <v>7</v>
      </c>
      <c r="C45">
        <f>[5]trip_summary_region!C45</f>
        <v>2018</v>
      </c>
      <c r="D45">
        <f>[5]trip_summary_region!D45</f>
        <v>50</v>
      </c>
      <c r="E45">
        <f>[5]trip_summary_region!E45</f>
        <v>135</v>
      </c>
      <c r="F45">
        <f>[5]trip_summary_region!F45</f>
        <v>3.310483209</v>
      </c>
      <c r="G45">
        <f>[5]trip_summary_region!G45</f>
        <v>39.941067166000003</v>
      </c>
      <c r="H45">
        <f>[5]trip_summary_region!H45</f>
        <v>1.4279936769999999</v>
      </c>
      <c r="I45" t="str">
        <f>[5]trip_summary_region!I45</f>
        <v>Local Bus</v>
      </c>
      <c r="J45" t="str">
        <f>[5]trip_summary_region!J45</f>
        <v>2017/18</v>
      </c>
    </row>
    <row r="46" spans="1:10" x14ac:dyDescent="0.2">
      <c r="A46" t="str">
        <f>[5]trip_summary_region!A46</f>
        <v>01 NORTHLAND</v>
      </c>
      <c r="B46">
        <f>[5]trip_summary_region!B46</f>
        <v>7</v>
      </c>
      <c r="C46">
        <f>[5]trip_summary_region!C46</f>
        <v>2023</v>
      </c>
      <c r="D46">
        <f>[5]trip_summary_region!D46</f>
        <v>50</v>
      </c>
      <c r="E46">
        <f>[5]trip_summary_region!E46</f>
        <v>135</v>
      </c>
      <c r="F46">
        <f>[5]trip_summary_region!F46</f>
        <v>3.1063782566999998</v>
      </c>
      <c r="G46">
        <f>[5]trip_summary_region!G46</f>
        <v>37.020023074000001</v>
      </c>
      <c r="H46">
        <f>[5]trip_summary_region!H46</f>
        <v>1.3358259884000001</v>
      </c>
      <c r="I46" t="str">
        <f>[5]trip_summary_region!I46</f>
        <v>Local Bus</v>
      </c>
      <c r="J46" t="str">
        <f>[5]trip_summary_region!J46</f>
        <v>2022/23</v>
      </c>
    </row>
    <row r="47" spans="1:10" x14ac:dyDescent="0.2">
      <c r="A47" t="str">
        <f>[5]trip_summary_region!A47</f>
        <v>01 NORTHLAND</v>
      </c>
      <c r="B47">
        <f>[5]trip_summary_region!B47</f>
        <v>7</v>
      </c>
      <c r="C47">
        <f>[5]trip_summary_region!C47</f>
        <v>2028</v>
      </c>
      <c r="D47">
        <f>[5]trip_summary_region!D47</f>
        <v>50</v>
      </c>
      <c r="E47">
        <f>[5]trip_summary_region!E47</f>
        <v>135</v>
      </c>
      <c r="F47">
        <f>[5]trip_summary_region!F47</f>
        <v>2.9265171552</v>
      </c>
      <c r="G47">
        <f>[5]trip_summary_region!G47</f>
        <v>35.153467608</v>
      </c>
      <c r="H47">
        <f>[5]trip_summary_region!H47</f>
        <v>1.2512532846</v>
      </c>
      <c r="I47" t="str">
        <f>[5]trip_summary_region!I47</f>
        <v>Local Bus</v>
      </c>
      <c r="J47" t="str">
        <f>[5]trip_summary_region!J47</f>
        <v>2027/28</v>
      </c>
    </row>
    <row r="48" spans="1:10" x14ac:dyDescent="0.2">
      <c r="A48" t="str">
        <f>[5]trip_summary_region!A48</f>
        <v>01 NORTHLAND</v>
      </c>
      <c r="B48">
        <f>[5]trip_summary_region!B48</f>
        <v>7</v>
      </c>
      <c r="C48">
        <f>[5]trip_summary_region!C48</f>
        <v>2033</v>
      </c>
      <c r="D48">
        <f>[5]trip_summary_region!D48</f>
        <v>50</v>
      </c>
      <c r="E48">
        <f>[5]trip_summary_region!E48</f>
        <v>135</v>
      </c>
      <c r="F48">
        <f>[5]trip_summary_region!F48</f>
        <v>2.7482612411999998</v>
      </c>
      <c r="G48">
        <f>[5]trip_summary_region!G48</f>
        <v>33.119119822000002</v>
      </c>
      <c r="H48">
        <f>[5]trip_summary_region!H48</f>
        <v>1.1680337102</v>
      </c>
      <c r="I48" t="str">
        <f>[5]trip_summary_region!I48</f>
        <v>Local Bus</v>
      </c>
      <c r="J48" t="str">
        <f>[5]trip_summary_region!J48</f>
        <v>2032/33</v>
      </c>
    </row>
    <row r="49" spans="1:10" x14ac:dyDescent="0.2">
      <c r="A49" t="str">
        <f>[5]trip_summary_region!A49</f>
        <v>01 NORTHLAND</v>
      </c>
      <c r="B49">
        <f>[5]trip_summary_region!B49</f>
        <v>7</v>
      </c>
      <c r="C49">
        <f>[5]trip_summary_region!C49</f>
        <v>2038</v>
      </c>
      <c r="D49">
        <f>[5]trip_summary_region!D49</f>
        <v>50</v>
      </c>
      <c r="E49">
        <f>[5]trip_summary_region!E49</f>
        <v>135</v>
      </c>
      <c r="F49">
        <f>[5]trip_summary_region!F49</f>
        <v>2.5839824382000001</v>
      </c>
      <c r="G49">
        <f>[5]trip_summary_region!G49</f>
        <v>31.470100347999999</v>
      </c>
      <c r="H49">
        <f>[5]trip_summary_region!H49</f>
        <v>1.0951688941</v>
      </c>
      <c r="I49" t="str">
        <f>[5]trip_summary_region!I49</f>
        <v>Local Bus</v>
      </c>
      <c r="J49" t="str">
        <f>[5]trip_summary_region!J49</f>
        <v>2037/38</v>
      </c>
    </row>
    <row r="50" spans="1:10" x14ac:dyDescent="0.2">
      <c r="A50" t="str">
        <f>[5]trip_summary_region!A50</f>
        <v>01 NORTHLAND</v>
      </c>
      <c r="B50">
        <f>[5]trip_summary_region!B50</f>
        <v>7</v>
      </c>
      <c r="C50">
        <f>[5]trip_summary_region!C50</f>
        <v>2043</v>
      </c>
      <c r="D50">
        <f>[5]trip_summary_region!D50</f>
        <v>50</v>
      </c>
      <c r="E50">
        <f>[5]trip_summary_region!E50</f>
        <v>135</v>
      </c>
      <c r="F50">
        <f>[5]trip_summary_region!F50</f>
        <v>2.4115093731999999</v>
      </c>
      <c r="G50">
        <f>[5]trip_summary_region!G50</f>
        <v>29.699513847999999</v>
      </c>
      <c r="H50">
        <f>[5]trip_summary_region!H50</f>
        <v>1.0189326635</v>
      </c>
      <c r="I50" t="str">
        <f>[5]trip_summary_region!I50</f>
        <v>Local Bus</v>
      </c>
      <c r="J50" t="str">
        <f>[5]trip_summary_region!J50</f>
        <v>2042/43</v>
      </c>
    </row>
    <row r="51" spans="1:10" x14ac:dyDescent="0.2">
      <c r="A51" t="str">
        <f>[5]trip_summary_region!A51</f>
        <v>01 NORTHLAND</v>
      </c>
      <c r="B51">
        <f>[5]trip_summary_region!B51</f>
        <v>8</v>
      </c>
      <c r="C51">
        <f>[5]trip_summary_region!C51</f>
        <v>2013</v>
      </c>
      <c r="D51">
        <f>[5]trip_summary_region!D51</f>
        <v>2</v>
      </c>
      <c r="E51">
        <f>[5]trip_summary_region!E51</f>
        <v>3</v>
      </c>
      <c r="F51">
        <f>[5]trip_summary_region!F51</f>
        <v>4.69171767E-2</v>
      </c>
      <c r="G51">
        <f>[5]trip_summary_region!G51</f>
        <v>0</v>
      </c>
      <c r="H51">
        <f>[5]trip_summary_region!H51</f>
        <v>1.43058123E-2</v>
      </c>
      <c r="I51" t="str">
        <f>[5]trip_summary_region!I51</f>
        <v>Local Ferry</v>
      </c>
      <c r="J51" t="str">
        <f>[5]trip_summary_region!J51</f>
        <v>2012/13</v>
      </c>
    </row>
    <row r="52" spans="1:10" x14ac:dyDescent="0.2">
      <c r="A52" t="str">
        <f>[5]trip_summary_region!A52</f>
        <v>01 NORTHLAND</v>
      </c>
      <c r="B52">
        <f>[5]trip_summary_region!B52</f>
        <v>8</v>
      </c>
      <c r="C52">
        <f>[5]trip_summary_region!C52</f>
        <v>2018</v>
      </c>
      <c r="D52">
        <f>[5]trip_summary_region!D52</f>
        <v>2</v>
      </c>
      <c r="E52">
        <f>[5]trip_summary_region!E52</f>
        <v>3</v>
      </c>
      <c r="F52">
        <f>[5]trip_summary_region!F52</f>
        <v>5.1946996199999998E-2</v>
      </c>
      <c r="G52">
        <f>[5]trip_summary_region!G52</f>
        <v>0</v>
      </c>
      <c r="H52">
        <f>[5]trip_summary_region!H52</f>
        <v>1.49288728E-2</v>
      </c>
      <c r="I52" t="str">
        <f>[5]trip_summary_region!I52</f>
        <v>Local Ferry</v>
      </c>
      <c r="J52" t="str">
        <f>[5]trip_summary_region!J52</f>
        <v>2017/18</v>
      </c>
    </row>
    <row r="53" spans="1:10" x14ac:dyDescent="0.2">
      <c r="A53" t="str">
        <f>[5]trip_summary_region!A53</f>
        <v>01 NORTHLAND</v>
      </c>
      <c r="B53">
        <f>[5]trip_summary_region!B53</f>
        <v>8</v>
      </c>
      <c r="C53">
        <f>[5]trip_summary_region!C53</f>
        <v>2023</v>
      </c>
      <c r="D53">
        <f>[5]trip_summary_region!D53</f>
        <v>2</v>
      </c>
      <c r="E53">
        <f>[5]trip_summary_region!E53</f>
        <v>3</v>
      </c>
      <c r="F53">
        <f>[5]trip_summary_region!F53</f>
        <v>5.3720908099999999E-2</v>
      </c>
      <c r="G53">
        <f>[5]trip_summary_region!G53</f>
        <v>0</v>
      </c>
      <c r="H53">
        <f>[5]trip_summary_region!H53</f>
        <v>1.47405991E-2</v>
      </c>
      <c r="I53" t="str">
        <f>[5]trip_summary_region!I53</f>
        <v>Local Ferry</v>
      </c>
      <c r="J53" t="str">
        <f>[5]trip_summary_region!J53</f>
        <v>2022/23</v>
      </c>
    </row>
    <row r="54" spans="1:10" x14ac:dyDescent="0.2">
      <c r="A54" t="str">
        <f>[5]trip_summary_region!A54</f>
        <v>01 NORTHLAND</v>
      </c>
      <c r="B54">
        <f>[5]trip_summary_region!B54</f>
        <v>8</v>
      </c>
      <c r="C54">
        <f>[5]trip_summary_region!C54</f>
        <v>2028</v>
      </c>
      <c r="D54">
        <f>[5]trip_summary_region!D54</f>
        <v>2</v>
      </c>
      <c r="E54">
        <f>[5]trip_summary_region!E54</f>
        <v>3</v>
      </c>
      <c r="F54">
        <f>[5]trip_summary_region!F54</f>
        <v>5.6809892600000002E-2</v>
      </c>
      <c r="G54">
        <f>[5]trip_summary_region!G54</f>
        <v>0</v>
      </c>
      <c r="H54">
        <f>[5]trip_summary_region!H54</f>
        <v>1.4722521800000001E-2</v>
      </c>
      <c r="I54" t="str">
        <f>[5]trip_summary_region!I54</f>
        <v>Local Ferry</v>
      </c>
      <c r="J54" t="str">
        <f>[5]trip_summary_region!J54</f>
        <v>2027/28</v>
      </c>
    </row>
    <row r="55" spans="1:10" x14ac:dyDescent="0.2">
      <c r="A55" t="str">
        <f>[5]trip_summary_region!A55</f>
        <v>01 NORTHLAND</v>
      </c>
      <c r="B55">
        <f>[5]trip_summary_region!B55</f>
        <v>8</v>
      </c>
      <c r="C55">
        <f>[5]trip_summary_region!C55</f>
        <v>2033</v>
      </c>
      <c r="D55">
        <f>[5]trip_summary_region!D55</f>
        <v>2</v>
      </c>
      <c r="E55">
        <f>[5]trip_summary_region!E55</f>
        <v>3</v>
      </c>
      <c r="F55">
        <f>[5]trip_summary_region!F55</f>
        <v>5.6740333599999998E-2</v>
      </c>
      <c r="G55">
        <f>[5]trip_summary_region!G55</f>
        <v>0</v>
      </c>
      <c r="H55">
        <f>[5]trip_summary_region!H55</f>
        <v>1.4104986200000001E-2</v>
      </c>
      <c r="I55" t="str">
        <f>[5]trip_summary_region!I55</f>
        <v>Local Ferry</v>
      </c>
      <c r="J55" t="str">
        <f>[5]trip_summary_region!J55</f>
        <v>2032/33</v>
      </c>
    </row>
    <row r="56" spans="1:10" x14ac:dyDescent="0.2">
      <c r="A56" t="str">
        <f>[5]trip_summary_region!A56</f>
        <v>01 NORTHLAND</v>
      </c>
      <c r="B56">
        <f>[5]trip_summary_region!B56</f>
        <v>8</v>
      </c>
      <c r="C56">
        <f>[5]trip_summary_region!C56</f>
        <v>2038</v>
      </c>
      <c r="D56">
        <f>[5]trip_summary_region!D56</f>
        <v>2</v>
      </c>
      <c r="E56">
        <f>[5]trip_summary_region!E56</f>
        <v>3</v>
      </c>
      <c r="F56">
        <f>[5]trip_summary_region!F56</f>
        <v>5.3961887100000001E-2</v>
      </c>
      <c r="G56">
        <f>[5]trip_summary_region!G56</f>
        <v>0</v>
      </c>
      <c r="H56">
        <f>[5]trip_summary_region!H56</f>
        <v>1.30236156E-2</v>
      </c>
      <c r="I56" t="str">
        <f>[5]trip_summary_region!I56</f>
        <v>Local Ferry</v>
      </c>
      <c r="J56" t="str">
        <f>[5]trip_summary_region!J56</f>
        <v>2037/38</v>
      </c>
    </row>
    <row r="57" spans="1:10" x14ac:dyDescent="0.2">
      <c r="A57" t="str">
        <f>[5]trip_summary_region!A57</f>
        <v>01 NORTHLAND</v>
      </c>
      <c r="B57">
        <f>[5]trip_summary_region!B57</f>
        <v>8</v>
      </c>
      <c r="C57">
        <f>[5]trip_summary_region!C57</f>
        <v>2043</v>
      </c>
      <c r="D57">
        <f>[5]trip_summary_region!D57</f>
        <v>2</v>
      </c>
      <c r="E57">
        <f>[5]trip_summary_region!E57</f>
        <v>3</v>
      </c>
      <c r="F57">
        <f>[5]trip_summary_region!F57</f>
        <v>5.0894163399999998E-2</v>
      </c>
      <c r="G57">
        <f>[5]trip_summary_region!G57</f>
        <v>0</v>
      </c>
      <c r="H57">
        <f>[5]trip_summary_region!H57</f>
        <v>1.19629123E-2</v>
      </c>
      <c r="I57" t="str">
        <f>[5]trip_summary_region!I57</f>
        <v>Local Ferry</v>
      </c>
      <c r="J57" t="str">
        <f>[5]trip_summary_region!J57</f>
        <v>2042/43</v>
      </c>
    </row>
    <row r="58" spans="1:10" x14ac:dyDescent="0.2">
      <c r="A58" t="str">
        <f>[5]trip_summary_region!A58</f>
        <v>01 NORTHLAND</v>
      </c>
      <c r="B58">
        <f>[5]trip_summary_region!B58</f>
        <v>9</v>
      </c>
      <c r="C58">
        <f>[5]trip_summary_region!C58</f>
        <v>2013</v>
      </c>
      <c r="D58">
        <f>[5]trip_summary_region!D58</f>
        <v>2</v>
      </c>
      <c r="E58">
        <f>[5]trip_summary_region!E58</f>
        <v>3</v>
      </c>
      <c r="F58">
        <f>[5]trip_summary_region!F58</f>
        <v>0.1184310407</v>
      </c>
      <c r="G58">
        <f>[5]trip_summary_region!G58</f>
        <v>0</v>
      </c>
      <c r="H58">
        <f>[5]trip_summary_region!H58</f>
        <v>0</v>
      </c>
      <c r="I58" t="str">
        <f>[5]trip_summary_region!I58</f>
        <v>Other Household Travel</v>
      </c>
      <c r="J58" t="str">
        <f>[5]trip_summary_region!J58</f>
        <v>2012/13</v>
      </c>
    </row>
    <row r="59" spans="1:10" x14ac:dyDescent="0.2">
      <c r="A59" t="str">
        <f>[5]trip_summary_region!A59</f>
        <v>01 NORTHLAND</v>
      </c>
      <c r="B59">
        <f>[5]trip_summary_region!B59</f>
        <v>9</v>
      </c>
      <c r="C59">
        <f>[5]trip_summary_region!C59</f>
        <v>2018</v>
      </c>
      <c r="D59">
        <f>[5]trip_summary_region!D59</f>
        <v>2</v>
      </c>
      <c r="E59">
        <f>[5]trip_summary_region!E59</f>
        <v>3</v>
      </c>
      <c r="F59">
        <f>[5]trip_summary_region!F59</f>
        <v>0.12676171920000001</v>
      </c>
      <c r="G59">
        <f>[5]trip_summary_region!G59</f>
        <v>0</v>
      </c>
      <c r="H59">
        <f>[5]trip_summary_region!H59</f>
        <v>0</v>
      </c>
      <c r="I59" t="str">
        <f>[5]trip_summary_region!I59</f>
        <v>Other Household Travel</v>
      </c>
      <c r="J59" t="str">
        <f>[5]trip_summary_region!J59</f>
        <v>2017/18</v>
      </c>
    </row>
    <row r="60" spans="1:10" x14ac:dyDescent="0.2">
      <c r="A60" t="str">
        <f>[5]trip_summary_region!A60</f>
        <v>01 NORTHLAND</v>
      </c>
      <c r="B60">
        <f>[5]trip_summary_region!B60</f>
        <v>9</v>
      </c>
      <c r="C60">
        <f>[5]trip_summary_region!C60</f>
        <v>2023</v>
      </c>
      <c r="D60">
        <f>[5]trip_summary_region!D60</f>
        <v>2</v>
      </c>
      <c r="E60">
        <f>[5]trip_summary_region!E60</f>
        <v>3</v>
      </c>
      <c r="F60">
        <f>[5]trip_summary_region!F60</f>
        <v>0.1266621684</v>
      </c>
      <c r="G60">
        <f>[5]trip_summary_region!G60</f>
        <v>0</v>
      </c>
      <c r="H60">
        <f>[5]trip_summary_region!H60</f>
        <v>0</v>
      </c>
      <c r="I60" t="str">
        <f>[5]trip_summary_region!I60</f>
        <v>Other Household Travel</v>
      </c>
      <c r="J60" t="str">
        <f>[5]trip_summary_region!J60</f>
        <v>2022/23</v>
      </c>
    </row>
    <row r="61" spans="1:10" x14ac:dyDescent="0.2">
      <c r="A61" t="str">
        <f>[5]trip_summary_region!A61</f>
        <v>01 NORTHLAND</v>
      </c>
      <c r="B61">
        <f>[5]trip_summary_region!B61</f>
        <v>9</v>
      </c>
      <c r="C61">
        <f>[5]trip_summary_region!C61</f>
        <v>2028</v>
      </c>
      <c r="D61">
        <f>[5]trip_summary_region!D61</f>
        <v>2</v>
      </c>
      <c r="E61">
        <f>[5]trip_summary_region!E61</f>
        <v>3</v>
      </c>
      <c r="F61">
        <f>[5]trip_summary_region!F61</f>
        <v>0.12554221930000001</v>
      </c>
      <c r="G61">
        <f>[5]trip_summary_region!G61</f>
        <v>0</v>
      </c>
      <c r="H61">
        <f>[5]trip_summary_region!H61</f>
        <v>0</v>
      </c>
      <c r="I61" t="str">
        <f>[5]trip_summary_region!I61</f>
        <v>Other Household Travel</v>
      </c>
      <c r="J61" t="str">
        <f>[5]trip_summary_region!J61</f>
        <v>2027/28</v>
      </c>
    </row>
    <row r="62" spans="1:10" x14ac:dyDescent="0.2">
      <c r="A62" t="str">
        <f>[5]trip_summary_region!A62</f>
        <v>01 NORTHLAND</v>
      </c>
      <c r="B62">
        <f>[5]trip_summary_region!B62</f>
        <v>9</v>
      </c>
      <c r="C62">
        <f>[5]trip_summary_region!C62</f>
        <v>2033</v>
      </c>
      <c r="D62">
        <f>[5]trip_summary_region!D62</f>
        <v>2</v>
      </c>
      <c r="E62">
        <f>[5]trip_summary_region!E62</f>
        <v>3</v>
      </c>
      <c r="F62">
        <f>[5]trip_summary_region!F62</f>
        <v>0.1234636118</v>
      </c>
      <c r="G62">
        <f>[5]trip_summary_region!G62</f>
        <v>0</v>
      </c>
      <c r="H62">
        <f>[5]trip_summary_region!H62</f>
        <v>0</v>
      </c>
      <c r="I62" t="str">
        <f>[5]trip_summary_region!I62</f>
        <v>Other Household Travel</v>
      </c>
      <c r="J62" t="str">
        <f>[5]trip_summary_region!J62</f>
        <v>2032/33</v>
      </c>
    </row>
    <row r="63" spans="1:10" x14ac:dyDescent="0.2">
      <c r="A63" t="str">
        <f>[5]trip_summary_region!A63</f>
        <v>01 NORTHLAND</v>
      </c>
      <c r="B63">
        <f>[5]trip_summary_region!B63</f>
        <v>9</v>
      </c>
      <c r="C63">
        <f>[5]trip_summary_region!C63</f>
        <v>2038</v>
      </c>
      <c r="D63">
        <f>[5]trip_summary_region!D63</f>
        <v>2</v>
      </c>
      <c r="E63">
        <f>[5]trip_summary_region!E63</f>
        <v>3</v>
      </c>
      <c r="F63">
        <f>[5]trip_summary_region!F63</f>
        <v>0.1206569901</v>
      </c>
      <c r="G63">
        <f>[5]trip_summary_region!G63</f>
        <v>0</v>
      </c>
      <c r="H63">
        <f>[5]trip_summary_region!H63</f>
        <v>0</v>
      </c>
      <c r="I63" t="str">
        <f>[5]trip_summary_region!I63</f>
        <v>Other Household Travel</v>
      </c>
      <c r="J63" t="str">
        <f>[5]trip_summary_region!J63</f>
        <v>2037/38</v>
      </c>
    </row>
    <row r="64" spans="1:10" x14ac:dyDescent="0.2">
      <c r="A64" t="str">
        <f>[5]trip_summary_region!A64</f>
        <v>01 NORTHLAND</v>
      </c>
      <c r="B64">
        <f>[5]trip_summary_region!B64</f>
        <v>9</v>
      </c>
      <c r="C64">
        <f>[5]trip_summary_region!C64</f>
        <v>2043</v>
      </c>
      <c r="D64">
        <f>[5]trip_summary_region!D64</f>
        <v>2</v>
      </c>
      <c r="E64">
        <f>[5]trip_summary_region!E64</f>
        <v>3</v>
      </c>
      <c r="F64">
        <f>[5]trip_summary_region!F64</f>
        <v>0.11669127379999999</v>
      </c>
      <c r="G64">
        <f>[5]trip_summary_region!G64</f>
        <v>0</v>
      </c>
      <c r="H64">
        <f>[5]trip_summary_region!H64</f>
        <v>0</v>
      </c>
      <c r="I64" t="str">
        <f>[5]trip_summary_region!I64</f>
        <v>Other Household Travel</v>
      </c>
      <c r="J64" t="str">
        <f>[5]trip_summary_region!J64</f>
        <v>2042/43</v>
      </c>
    </row>
    <row r="65" spans="1:10" x14ac:dyDescent="0.2">
      <c r="A65" t="str">
        <f>[5]trip_summary_region!A65</f>
        <v>01 NORTHLAND</v>
      </c>
      <c r="B65">
        <f>[5]trip_summary_region!B65</f>
        <v>10</v>
      </c>
      <c r="C65">
        <f>[5]trip_summary_region!C65</f>
        <v>2013</v>
      </c>
      <c r="D65">
        <f>[5]trip_summary_region!D65</f>
        <v>5</v>
      </c>
      <c r="E65">
        <f>[5]trip_summary_region!E65</f>
        <v>8</v>
      </c>
      <c r="F65">
        <f>[5]trip_summary_region!F65</f>
        <v>0.226285661</v>
      </c>
      <c r="G65">
        <f>[5]trip_summary_region!G65</f>
        <v>0</v>
      </c>
      <c r="H65">
        <f>[5]trip_summary_region!H65</f>
        <v>0.25491621720000002</v>
      </c>
      <c r="I65" t="str">
        <f>[5]trip_summary_region!I65</f>
        <v>Air/Non-Local PT</v>
      </c>
      <c r="J65" t="str">
        <f>[5]trip_summary_region!J65</f>
        <v>2012/13</v>
      </c>
    </row>
    <row r="66" spans="1:10" x14ac:dyDescent="0.2">
      <c r="A66" t="str">
        <f>[5]trip_summary_region!A66</f>
        <v>01 NORTHLAND</v>
      </c>
      <c r="B66">
        <f>[5]trip_summary_region!B66</f>
        <v>10</v>
      </c>
      <c r="C66">
        <f>[5]trip_summary_region!C66</f>
        <v>2018</v>
      </c>
      <c r="D66">
        <f>[5]trip_summary_region!D66</f>
        <v>5</v>
      </c>
      <c r="E66">
        <f>[5]trip_summary_region!E66</f>
        <v>8</v>
      </c>
      <c r="F66">
        <f>[5]trip_summary_region!F66</f>
        <v>0.2482538118</v>
      </c>
      <c r="G66">
        <f>[5]trip_summary_region!G66</f>
        <v>0</v>
      </c>
      <c r="H66">
        <f>[5]trip_summary_region!H66</f>
        <v>0.291929834</v>
      </c>
      <c r="I66" t="str">
        <f>[5]trip_summary_region!I66</f>
        <v>Air/Non-Local PT</v>
      </c>
      <c r="J66" t="str">
        <f>[5]trip_summary_region!J66</f>
        <v>2017/18</v>
      </c>
    </row>
    <row r="67" spans="1:10" x14ac:dyDescent="0.2">
      <c r="A67" t="str">
        <f>[5]trip_summary_region!A67</f>
        <v>01 NORTHLAND</v>
      </c>
      <c r="B67">
        <f>[5]trip_summary_region!B67</f>
        <v>10</v>
      </c>
      <c r="C67">
        <f>[5]trip_summary_region!C67</f>
        <v>2023</v>
      </c>
      <c r="D67">
        <f>[5]trip_summary_region!D67</f>
        <v>5</v>
      </c>
      <c r="E67">
        <f>[5]trip_summary_region!E67</f>
        <v>8</v>
      </c>
      <c r="F67">
        <f>[5]trip_summary_region!F67</f>
        <v>0.27348784329999998</v>
      </c>
      <c r="G67">
        <f>[5]trip_summary_region!G67</f>
        <v>0</v>
      </c>
      <c r="H67">
        <f>[5]trip_summary_region!H67</f>
        <v>0.32459716770000002</v>
      </c>
      <c r="I67" t="str">
        <f>[5]trip_summary_region!I67</f>
        <v>Air/Non-Local PT</v>
      </c>
      <c r="J67" t="str">
        <f>[5]trip_summary_region!J67</f>
        <v>2022/23</v>
      </c>
    </row>
    <row r="68" spans="1:10" x14ac:dyDescent="0.2">
      <c r="A68" t="str">
        <f>[5]trip_summary_region!A68</f>
        <v>01 NORTHLAND</v>
      </c>
      <c r="B68">
        <f>[5]trip_summary_region!B68</f>
        <v>10</v>
      </c>
      <c r="C68">
        <f>[5]trip_summary_region!C68</f>
        <v>2028</v>
      </c>
      <c r="D68">
        <f>[5]trip_summary_region!D68</f>
        <v>5</v>
      </c>
      <c r="E68">
        <f>[5]trip_summary_region!E68</f>
        <v>8</v>
      </c>
      <c r="F68">
        <f>[5]trip_summary_region!F68</f>
        <v>0.31843596190000001</v>
      </c>
      <c r="G68">
        <f>[5]trip_summary_region!G68</f>
        <v>0</v>
      </c>
      <c r="H68">
        <f>[5]trip_summary_region!H68</f>
        <v>0.37769996519999999</v>
      </c>
      <c r="I68" t="str">
        <f>[5]trip_summary_region!I68</f>
        <v>Air/Non-Local PT</v>
      </c>
      <c r="J68" t="str">
        <f>[5]trip_summary_region!J68</f>
        <v>2027/28</v>
      </c>
    </row>
    <row r="69" spans="1:10" x14ac:dyDescent="0.2">
      <c r="A69" t="str">
        <f>[5]trip_summary_region!A69</f>
        <v>01 NORTHLAND</v>
      </c>
      <c r="B69">
        <f>[5]trip_summary_region!B69</f>
        <v>10</v>
      </c>
      <c r="C69">
        <f>[5]trip_summary_region!C69</f>
        <v>2033</v>
      </c>
      <c r="D69">
        <f>[5]trip_summary_region!D69</f>
        <v>5</v>
      </c>
      <c r="E69">
        <f>[5]trip_summary_region!E69</f>
        <v>8</v>
      </c>
      <c r="F69">
        <f>[5]trip_summary_region!F69</f>
        <v>0.34610509639999998</v>
      </c>
      <c r="G69">
        <f>[5]trip_summary_region!G69</f>
        <v>0</v>
      </c>
      <c r="H69">
        <f>[5]trip_summary_region!H69</f>
        <v>0.40879713270000001</v>
      </c>
      <c r="I69" t="str">
        <f>[5]trip_summary_region!I69</f>
        <v>Air/Non-Local PT</v>
      </c>
      <c r="J69" t="str">
        <f>[5]trip_summary_region!J69</f>
        <v>2032/33</v>
      </c>
    </row>
    <row r="70" spans="1:10" x14ac:dyDescent="0.2">
      <c r="A70" t="str">
        <f>[5]trip_summary_region!A70</f>
        <v>01 NORTHLAND</v>
      </c>
      <c r="B70">
        <f>[5]trip_summary_region!B70</f>
        <v>10</v>
      </c>
      <c r="C70">
        <f>[5]trip_summary_region!C70</f>
        <v>2038</v>
      </c>
      <c r="D70">
        <f>[5]trip_summary_region!D70</f>
        <v>5</v>
      </c>
      <c r="E70">
        <f>[5]trip_summary_region!E70</f>
        <v>8</v>
      </c>
      <c r="F70">
        <f>[5]trip_summary_region!F70</f>
        <v>0.34472573200000001</v>
      </c>
      <c r="G70">
        <f>[5]trip_summary_region!G70</f>
        <v>0</v>
      </c>
      <c r="H70">
        <f>[5]trip_summary_region!H70</f>
        <v>0.4085259336</v>
      </c>
      <c r="I70" t="str">
        <f>[5]trip_summary_region!I70</f>
        <v>Air/Non-Local PT</v>
      </c>
      <c r="J70" t="str">
        <f>[5]trip_summary_region!J70</f>
        <v>2037/38</v>
      </c>
    </row>
    <row r="71" spans="1:10" x14ac:dyDescent="0.2">
      <c r="A71" t="str">
        <f>[5]trip_summary_region!A71</f>
        <v>01 NORTHLAND</v>
      </c>
      <c r="B71">
        <f>[5]trip_summary_region!B71</f>
        <v>10</v>
      </c>
      <c r="C71">
        <f>[5]trip_summary_region!C71</f>
        <v>2043</v>
      </c>
      <c r="D71">
        <f>[5]trip_summary_region!D71</f>
        <v>5</v>
      </c>
      <c r="E71">
        <f>[5]trip_summary_region!E71</f>
        <v>8</v>
      </c>
      <c r="F71">
        <f>[5]trip_summary_region!F71</f>
        <v>0.3394369921</v>
      </c>
      <c r="G71">
        <f>[5]trip_summary_region!G71</f>
        <v>0</v>
      </c>
      <c r="H71">
        <f>[5]trip_summary_region!H71</f>
        <v>0.4034511428</v>
      </c>
      <c r="I71" t="str">
        <f>[5]trip_summary_region!I71</f>
        <v>Air/Non-Local PT</v>
      </c>
      <c r="J71" t="str">
        <f>[5]trip_summary_region!J71</f>
        <v>2042/43</v>
      </c>
    </row>
    <row r="72" spans="1:10" x14ac:dyDescent="0.2">
      <c r="A72" t="str">
        <f>[5]trip_summary_region!A72</f>
        <v>01 NORTHLAND</v>
      </c>
      <c r="B72">
        <f>[5]trip_summary_region!B72</f>
        <v>11</v>
      </c>
      <c r="C72">
        <f>[5]trip_summary_region!C72</f>
        <v>2013</v>
      </c>
      <c r="D72">
        <f>[5]trip_summary_region!D72</f>
        <v>13</v>
      </c>
      <c r="E72">
        <f>[5]trip_summary_region!E72</f>
        <v>59</v>
      </c>
      <c r="F72">
        <f>[5]trip_summary_region!F72</f>
        <v>2.0613233212000002</v>
      </c>
      <c r="G72">
        <f>[5]trip_summary_region!G72</f>
        <v>34.810730239000002</v>
      </c>
      <c r="H72">
        <f>[5]trip_summary_region!H72</f>
        <v>0.70164482120000005</v>
      </c>
      <c r="I72" t="str">
        <f>[5]trip_summary_region!I72</f>
        <v>Non-Household Travel</v>
      </c>
      <c r="J72" t="str">
        <f>[5]trip_summary_region!J72</f>
        <v>2012/13</v>
      </c>
    </row>
    <row r="73" spans="1:10" x14ac:dyDescent="0.2">
      <c r="A73" t="str">
        <f>[5]trip_summary_region!A73</f>
        <v>01 NORTHLAND</v>
      </c>
      <c r="B73">
        <f>[5]trip_summary_region!B73</f>
        <v>11</v>
      </c>
      <c r="C73">
        <f>[5]trip_summary_region!C73</f>
        <v>2018</v>
      </c>
      <c r="D73">
        <f>[5]trip_summary_region!D73</f>
        <v>13</v>
      </c>
      <c r="E73">
        <f>[5]trip_summary_region!E73</f>
        <v>59</v>
      </c>
      <c r="F73">
        <f>[5]trip_summary_region!F73</f>
        <v>2.1087922689999998</v>
      </c>
      <c r="G73">
        <f>[5]trip_summary_region!G73</f>
        <v>33.821159747999999</v>
      </c>
      <c r="H73">
        <f>[5]trip_summary_region!H73</f>
        <v>0.69923907669999996</v>
      </c>
      <c r="I73" t="str">
        <f>[5]trip_summary_region!I73</f>
        <v>Non-Household Travel</v>
      </c>
      <c r="J73" t="str">
        <f>[5]trip_summary_region!J73</f>
        <v>2017/18</v>
      </c>
    </row>
    <row r="74" spans="1:10" x14ac:dyDescent="0.2">
      <c r="A74" t="str">
        <f>[5]trip_summary_region!A74</f>
        <v>01 NORTHLAND</v>
      </c>
      <c r="B74">
        <f>[5]trip_summary_region!B74</f>
        <v>11</v>
      </c>
      <c r="C74">
        <f>[5]trip_summary_region!C74</f>
        <v>2023</v>
      </c>
      <c r="D74">
        <f>[5]trip_summary_region!D74</f>
        <v>13</v>
      </c>
      <c r="E74">
        <f>[5]trip_summary_region!E74</f>
        <v>59</v>
      </c>
      <c r="F74">
        <f>[5]trip_summary_region!F74</f>
        <v>2.2429852858000001</v>
      </c>
      <c r="G74">
        <f>[5]trip_summary_region!G74</f>
        <v>34.808776491000003</v>
      </c>
      <c r="H74">
        <f>[5]trip_summary_region!H74</f>
        <v>0.73545862220000002</v>
      </c>
      <c r="I74" t="str">
        <f>[5]trip_summary_region!I74</f>
        <v>Non-Household Travel</v>
      </c>
      <c r="J74" t="str">
        <f>[5]trip_summary_region!J74</f>
        <v>2022/23</v>
      </c>
    </row>
    <row r="75" spans="1:10" x14ac:dyDescent="0.2">
      <c r="A75" t="str">
        <f>[5]trip_summary_region!A75</f>
        <v>01 NORTHLAND</v>
      </c>
      <c r="B75">
        <f>[5]trip_summary_region!B75</f>
        <v>11</v>
      </c>
      <c r="C75">
        <f>[5]trip_summary_region!C75</f>
        <v>2028</v>
      </c>
      <c r="D75">
        <f>[5]trip_summary_region!D75</f>
        <v>13</v>
      </c>
      <c r="E75">
        <f>[5]trip_summary_region!E75</f>
        <v>59</v>
      </c>
      <c r="F75">
        <f>[5]trip_summary_region!F75</f>
        <v>2.5076186951000001</v>
      </c>
      <c r="G75">
        <f>[5]trip_summary_region!G75</f>
        <v>38.644338615000002</v>
      </c>
      <c r="H75">
        <f>[5]trip_summary_region!H75</f>
        <v>0.82729450810000005</v>
      </c>
      <c r="I75" t="str">
        <f>[5]trip_summary_region!I75</f>
        <v>Non-Household Travel</v>
      </c>
      <c r="J75" t="str">
        <f>[5]trip_summary_region!J75</f>
        <v>2027/28</v>
      </c>
    </row>
    <row r="76" spans="1:10" x14ac:dyDescent="0.2">
      <c r="A76" t="str">
        <f>[5]trip_summary_region!A76</f>
        <v>01 NORTHLAND</v>
      </c>
      <c r="B76">
        <f>[5]trip_summary_region!B76</f>
        <v>11</v>
      </c>
      <c r="C76">
        <f>[5]trip_summary_region!C76</f>
        <v>2033</v>
      </c>
      <c r="D76">
        <f>[5]trip_summary_region!D76</f>
        <v>13</v>
      </c>
      <c r="E76">
        <f>[5]trip_summary_region!E76</f>
        <v>59</v>
      </c>
      <c r="F76">
        <f>[5]trip_summary_region!F76</f>
        <v>2.7211312747999998</v>
      </c>
      <c r="G76">
        <f>[5]trip_summary_region!G76</f>
        <v>41.719259923000003</v>
      </c>
      <c r="H76">
        <f>[5]trip_summary_region!H76</f>
        <v>0.90069304709999998</v>
      </c>
      <c r="I76" t="str">
        <f>[5]trip_summary_region!I76</f>
        <v>Non-Household Travel</v>
      </c>
      <c r="J76" t="str">
        <f>[5]trip_summary_region!J76</f>
        <v>2032/33</v>
      </c>
    </row>
    <row r="77" spans="1:10" x14ac:dyDescent="0.2">
      <c r="A77" t="str">
        <f>[5]trip_summary_region!A77</f>
        <v>01 NORTHLAND</v>
      </c>
      <c r="B77">
        <f>[5]trip_summary_region!B77</f>
        <v>11</v>
      </c>
      <c r="C77">
        <f>[5]trip_summary_region!C77</f>
        <v>2038</v>
      </c>
      <c r="D77">
        <f>[5]trip_summary_region!D77</f>
        <v>13</v>
      </c>
      <c r="E77">
        <f>[5]trip_summary_region!E77</f>
        <v>59</v>
      </c>
      <c r="F77">
        <f>[5]trip_summary_region!F77</f>
        <v>2.7105833736</v>
      </c>
      <c r="G77">
        <f>[5]trip_summary_region!G77</f>
        <v>41.470486458000003</v>
      </c>
      <c r="H77">
        <f>[5]trip_summary_region!H77</f>
        <v>0.89807640919999998</v>
      </c>
      <c r="I77" t="str">
        <f>[5]trip_summary_region!I77</f>
        <v>Non-Household Travel</v>
      </c>
      <c r="J77" t="str">
        <f>[5]trip_summary_region!J77</f>
        <v>2037/38</v>
      </c>
    </row>
    <row r="78" spans="1:10" x14ac:dyDescent="0.2">
      <c r="A78" t="str">
        <f>[5]trip_summary_region!A78</f>
        <v>01 NORTHLAND</v>
      </c>
      <c r="B78">
        <f>[5]trip_summary_region!B78</f>
        <v>11</v>
      </c>
      <c r="C78">
        <f>[5]trip_summary_region!C78</f>
        <v>2043</v>
      </c>
      <c r="D78">
        <f>[5]trip_summary_region!D78</f>
        <v>13</v>
      </c>
      <c r="E78">
        <f>[5]trip_summary_region!E78</f>
        <v>59</v>
      </c>
      <c r="F78">
        <f>[5]trip_summary_region!F78</f>
        <v>2.6788612354999999</v>
      </c>
      <c r="G78">
        <f>[5]trip_summary_region!G78</f>
        <v>40.899926184999998</v>
      </c>
      <c r="H78">
        <f>[5]trip_summary_region!H78</f>
        <v>0.88820776869999996</v>
      </c>
      <c r="I78" t="str">
        <f>[5]trip_summary_region!I78</f>
        <v>Non-Household Travel</v>
      </c>
      <c r="J78" t="str">
        <f>[5]trip_summary_region!J78</f>
        <v>2042/43</v>
      </c>
    </row>
    <row r="79" spans="1:10" x14ac:dyDescent="0.2">
      <c r="A79" t="str">
        <f>[5]trip_summary_region!A79</f>
        <v>02 AUCKLAND</v>
      </c>
      <c r="B79">
        <f>[5]trip_summary_region!B79</f>
        <v>0</v>
      </c>
      <c r="C79">
        <f>[5]trip_summary_region!C79</f>
        <v>2013</v>
      </c>
      <c r="D79">
        <f>[5]trip_summary_region!D79</f>
        <v>1541</v>
      </c>
      <c r="E79">
        <f>[5]trip_summary_region!E79</f>
        <v>5702</v>
      </c>
      <c r="F79">
        <f>[5]trip_summary_region!F79</f>
        <v>324.81096006000001</v>
      </c>
      <c r="G79">
        <f>[5]trip_summary_region!G79</f>
        <v>294.55939388000002</v>
      </c>
      <c r="H79">
        <f>[5]trip_summary_region!H79</f>
        <v>73.381071999</v>
      </c>
      <c r="I79" t="str">
        <f>[5]trip_summary_region!I79</f>
        <v>Pedestrian</v>
      </c>
      <c r="J79" t="str">
        <f>[5]trip_summary_region!J79</f>
        <v>2012/13</v>
      </c>
    </row>
    <row r="80" spans="1:10" x14ac:dyDescent="0.2">
      <c r="A80" t="str">
        <f>[5]trip_summary_region!A80</f>
        <v>02 AUCKLAND</v>
      </c>
      <c r="B80">
        <f>[5]trip_summary_region!B80</f>
        <v>0</v>
      </c>
      <c r="C80">
        <f>[5]trip_summary_region!C80</f>
        <v>2018</v>
      </c>
      <c r="D80">
        <f>[5]trip_summary_region!D80</f>
        <v>1541</v>
      </c>
      <c r="E80">
        <f>[5]trip_summary_region!E80</f>
        <v>5702</v>
      </c>
      <c r="F80">
        <f>[5]trip_summary_region!F80</f>
        <v>344.36546155000002</v>
      </c>
      <c r="G80">
        <f>[5]trip_summary_region!G80</f>
        <v>311.51424893000001</v>
      </c>
      <c r="H80">
        <f>[5]trip_summary_region!H80</f>
        <v>77.572461533999999</v>
      </c>
      <c r="I80" t="str">
        <f>[5]trip_summary_region!I80</f>
        <v>Pedestrian</v>
      </c>
      <c r="J80" t="str">
        <f>[5]trip_summary_region!J80</f>
        <v>2017/18</v>
      </c>
    </row>
    <row r="81" spans="1:10" x14ac:dyDescent="0.2">
      <c r="A81" t="str">
        <f>[5]trip_summary_region!A81</f>
        <v>02 AUCKLAND</v>
      </c>
      <c r="B81">
        <f>[5]trip_summary_region!B81</f>
        <v>0</v>
      </c>
      <c r="C81">
        <f>[5]trip_summary_region!C81</f>
        <v>2023</v>
      </c>
      <c r="D81">
        <f>[5]trip_summary_region!D81</f>
        <v>1541</v>
      </c>
      <c r="E81">
        <f>[5]trip_summary_region!E81</f>
        <v>5702</v>
      </c>
      <c r="F81">
        <f>[5]trip_summary_region!F81</f>
        <v>356.66226705999998</v>
      </c>
      <c r="G81">
        <f>[5]trip_summary_region!G81</f>
        <v>321.19773973000002</v>
      </c>
      <c r="H81">
        <f>[5]trip_summary_region!H81</f>
        <v>80.122141310999993</v>
      </c>
      <c r="I81" t="str">
        <f>[5]trip_summary_region!I81</f>
        <v>Pedestrian</v>
      </c>
      <c r="J81" t="str">
        <f>[5]trip_summary_region!J81</f>
        <v>2022/23</v>
      </c>
    </row>
    <row r="82" spans="1:10" x14ac:dyDescent="0.2">
      <c r="A82" t="str">
        <f>[5]trip_summary_region!A82</f>
        <v>02 AUCKLAND</v>
      </c>
      <c r="B82">
        <f>[5]trip_summary_region!B82</f>
        <v>0</v>
      </c>
      <c r="C82">
        <f>[5]trip_summary_region!C82</f>
        <v>2028</v>
      </c>
      <c r="D82">
        <f>[5]trip_summary_region!D82</f>
        <v>1541</v>
      </c>
      <c r="E82">
        <f>[5]trip_summary_region!E82</f>
        <v>5702</v>
      </c>
      <c r="F82">
        <f>[5]trip_summary_region!F82</f>
        <v>364.36465414000003</v>
      </c>
      <c r="G82">
        <f>[5]trip_summary_region!G82</f>
        <v>326.32615634000001</v>
      </c>
      <c r="H82">
        <f>[5]trip_summary_region!H82</f>
        <v>81.803245849999996</v>
      </c>
      <c r="I82" t="str">
        <f>[5]trip_summary_region!I82</f>
        <v>Pedestrian</v>
      </c>
      <c r="J82" t="str">
        <f>[5]trip_summary_region!J82</f>
        <v>2027/28</v>
      </c>
    </row>
    <row r="83" spans="1:10" x14ac:dyDescent="0.2">
      <c r="A83" t="str">
        <f>[5]trip_summary_region!A83</f>
        <v>02 AUCKLAND</v>
      </c>
      <c r="B83">
        <f>[5]trip_summary_region!B83</f>
        <v>0</v>
      </c>
      <c r="C83">
        <f>[5]trip_summary_region!C83</f>
        <v>2033</v>
      </c>
      <c r="D83">
        <f>[5]trip_summary_region!D83</f>
        <v>1541</v>
      </c>
      <c r="E83">
        <f>[5]trip_summary_region!E83</f>
        <v>5702</v>
      </c>
      <c r="F83">
        <f>[5]trip_summary_region!F83</f>
        <v>369.17903816</v>
      </c>
      <c r="G83">
        <f>[5]trip_summary_region!G83</f>
        <v>328.97262988</v>
      </c>
      <c r="H83">
        <f>[5]trip_summary_region!H83</f>
        <v>82.870065775</v>
      </c>
      <c r="I83" t="str">
        <f>[5]trip_summary_region!I83</f>
        <v>Pedestrian</v>
      </c>
      <c r="J83" t="str">
        <f>[5]trip_summary_region!J83</f>
        <v>2032/33</v>
      </c>
    </row>
    <row r="84" spans="1:10" x14ac:dyDescent="0.2">
      <c r="A84" t="str">
        <f>[5]trip_summary_region!A84</f>
        <v>02 AUCKLAND</v>
      </c>
      <c r="B84">
        <f>[5]trip_summary_region!B84</f>
        <v>0</v>
      </c>
      <c r="C84">
        <f>[5]trip_summary_region!C84</f>
        <v>2038</v>
      </c>
      <c r="D84">
        <f>[5]trip_summary_region!D84</f>
        <v>1541</v>
      </c>
      <c r="E84">
        <f>[5]trip_summary_region!E84</f>
        <v>5702</v>
      </c>
      <c r="F84">
        <f>[5]trip_summary_region!F84</f>
        <v>372.36319698</v>
      </c>
      <c r="G84">
        <f>[5]trip_summary_region!G84</f>
        <v>331.35353219000001</v>
      </c>
      <c r="H84">
        <f>[5]trip_summary_region!H84</f>
        <v>83.833278840999995</v>
      </c>
      <c r="I84" t="str">
        <f>[5]trip_summary_region!I84</f>
        <v>Pedestrian</v>
      </c>
      <c r="J84" t="str">
        <f>[5]trip_summary_region!J84</f>
        <v>2037/38</v>
      </c>
    </row>
    <row r="85" spans="1:10" x14ac:dyDescent="0.2">
      <c r="A85" t="str">
        <f>[5]trip_summary_region!A85</f>
        <v>02 AUCKLAND</v>
      </c>
      <c r="B85">
        <f>[5]trip_summary_region!B85</f>
        <v>0</v>
      </c>
      <c r="C85">
        <f>[5]trip_summary_region!C85</f>
        <v>2043</v>
      </c>
      <c r="D85">
        <f>[5]trip_summary_region!D85</f>
        <v>1541</v>
      </c>
      <c r="E85">
        <f>[5]trip_summary_region!E85</f>
        <v>5702</v>
      </c>
      <c r="F85">
        <f>[5]trip_summary_region!F85</f>
        <v>373.09787464999999</v>
      </c>
      <c r="G85">
        <f>[5]trip_summary_region!G85</f>
        <v>331.73674390999997</v>
      </c>
      <c r="H85">
        <f>[5]trip_summary_region!H85</f>
        <v>84.244346922999995</v>
      </c>
      <c r="I85" t="str">
        <f>[5]trip_summary_region!I85</f>
        <v>Pedestrian</v>
      </c>
      <c r="J85" t="str">
        <f>[5]trip_summary_region!J85</f>
        <v>2042/43</v>
      </c>
    </row>
    <row r="86" spans="1:10" x14ac:dyDescent="0.2">
      <c r="A86" t="str">
        <f>[5]trip_summary_region!A86</f>
        <v>02 AUCKLAND</v>
      </c>
      <c r="B86">
        <f>[5]trip_summary_region!B86</f>
        <v>1</v>
      </c>
      <c r="C86">
        <f>[5]trip_summary_region!C86</f>
        <v>2013</v>
      </c>
      <c r="D86">
        <f>[5]trip_summary_region!D86</f>
        <v>49</v>
      </c>
      <c r="E86">
        <f>[5]trip_summary_region!E86</f>
        <v>125</v>
      </c>
      <c r="F86">
        <f>[5]trip_summary_region!F86</f>
        <v>7.0506319707999996</v>
      </c>
      <c r="G86">
        <f>[5]trip_summary_region!G86</f>
        <v>55.843008154000003</v>
      </c>
      <c r="H86">
        <f>[5]trip_summary_region!H86</f>
        <v>4.3659429593999999</v>
      </c>
      <c r="I86" t="str">
        <f>[5]trip_summary_region!I86</f>
        <v>Cyclist</v>
      </c>
      <c r="J86" t="str">
        <f>[5]trip_summary_region!J86</f>
        <v>2012/13</v>
      </c>
    </row>
    <row r="87" spans="1:10" x14ac:dyDescent="0.2">
      <c r="A87" t="str">
        <f>[5]trip_summary_region!A87</f>
        <v>02 AUCKLAND</v>
      </c>
      <c r="B87">
        <f>[5]trip_summary_region!B87</f>
        <v>1</v>
      </c>
      <c r="C87">
        <f>[5]trip_summary_region!C87</f>
        <v>2018</v>
      </c>
      <c r="D87">
        <f>[5]trip_summary_region!D87</f>
        <v>49</v>
      </c>
      <c r="E87">
        <f>[5]trip_summary_region!E87</f>
        <v>125</v>
      </c>
      <c r="F87">
        <f>[5]trip_summary_region!F87</f>
        <v>7.5722770519999996</v>
      </c>
      <c r="G87">
        <f>[5]trip_summary_region!G87</f>
        <v>61.870468318</v>
      </c>
      <c r="H87">
        <f>[5]trip_summary_region!H87</f>
        <v>4.7912840522</v>
      </c>
      <c r="I87" t="str">
        <f>[5]trip_summary_region!I87</f>
        <v>Cyclist</v>
      </c>
      <c r="J87" t="str">
        <f>[5]trip_summary_region!J87</f>
        <v>2017/18</v>
      </c>
    </row>
    <row r="88" spans="1:10" x14ac:dyDescent="0.2">
      <c r="A88" t="str">
        <f>[5]trip_summary_region!A88</f>
        <v>02 AUCKLAND</v>
      </c>
      <c r="B88">
        <f>[5]trip_summary_region!B88</f>
        <v>1</v>
      </c>
      <c r="C88">
        <f>[5]trip_summary_region!C88</f>
        <v>2023</v>
      </c>
      <c r="D88">
        <f>[5]trip_summary_region!D88</f>
        <v>49</v>
      </c>
      <c r="E88">
        <f>[5]trip_summary_region!E88</f>
        <v>125</v>
      </c>
      <c r="F88">
        <f>[5]trip_summary_region!F88</f>
        <v>7.9398843045999996</v>
      </c>
      <c r="G88">
        <f>[5]trip_summary_region!G88</f>
        <v>65.724543562999997</v>
      </c>
      <c r="H88">
        <f>[5]trip_summary_region!H88</f>
        <v>5.0664519384000002</v>
      </c>
      <c r="I88" t="str">
        <f>[5]trip_summary_region!I88</f>
        <v>Cyclist</v>
      </c>
      <c r="J88" t="str">
        <f>[5]trip_summary_region!J88</f>
        <v>2022/23</v>
      </c>
    </row>
    <row r="89" spans="1:10" x14ac:dyDescent="0.2">
      <c r="A89" t="str">
        <f>[5]trip_summary_region!A89</f>
        <v>02 AUCKLAND</v>
      </c>
      <c r="B89">
        <f>[5]trip_summary_region!B89</f>
        <v>1</v>
      </c>
      <c r="C89">
        <f>[5]trip_summary_region!C89</f>
        <v>2028</v>
      </c>
      <c r="D89">
        <f>[5]trip_summary_region!D89</f>
        <v>49</v>
      </c>
      <c r="E89">
        <f>[5]trip_summary_region!E89</f>
        <v>125</v>
      </c>
      <c r="F89">
        <f>[5]trip_summary_region!F89</f>
        <v>8.2239793841999997</v>
      </c>
      <c r="G89">
        <f>[5]trip_summary_region!G89</f>
        <v>68.830142468000005</v>
      </c>
      <c r="H89">
        <f>[5]trip_summary_region!H89</f>
        <v>5.2966971160999998</v>
      </c>
      <c r="I89" t="str">
        <f>[5]trip_summary_region!I89</f>
        <v>Cyclist</v>
      </c>
      <c r="J89" t="str">
        <f>[5]trip_summary_region!J89</f>
        <v>2027/28</v>
      </c>
    </row>
    <row r="90" spans="1:10" x14ac:dyDescent="0.2">
      <c r="A90" t="str">
        <f>[5]trip_summary_region!A90</f>
        <v>02 AUCKLAND</v>
      </c>
      <c r="B90">
        <f>[5]trip_summary_region!B90</f>
        <v>1</v>
      </c>
      <c r="C90">
        <f>[5]trip_summary_region!C90</f>
        <v>2033</v>
      </c>
      <c r="D90">
        <f>[5]trip_summary_region!D90</f>
        <v>49</v>
      </c>
      <c r="E90">
        <f>[5]trip_summary_region!E90</f>
        <v>125</v>
      </c>
      <c r="F90">
        <f>[5]trip_summary_region!F90</f>
        <v>8.4075321889999994</v>
      </c>
      <c r="G90">
        <f>[5]trip_summary_region!G90</f>
        <v>72.882048549000004</v>
      </c>
      <c r="H90">
        <f>[5]trip_summary_region!H90</f>
        <v>5.5772602733000003</v>
      </c>
      <c r="I90" t="str">
        <f>[5]trip_summary_region!I90</f>
        <v>Cyclist</v>
      </c>
      <c r="J90" t="str">
        <f>[5]trip_summary_region!J90</f>
        <v>2032/33</v>
      </c>
    </row>
    <row r="91" spans="1:10" x14ac:dyDescent="0.2">
      <c r="A91" t="str">
        <f>[5]trip_summary_region!A91</f>
        <v>02 AUCKLAND</v>
      </c>
      <c r="B91">
        <f>[5]trip_summary_region!B91</f>
        <v>1</v>
      </c>
      <c r="C91">
        <f>[5]trip_summary_region!C91</f>
        <v>2038</v>
      </c>
      <c r="D91">
        <f>[5]trip_summary_region!D91</f>
        <v>49</v>
      </c>
      <c r="E91">
        <f>[5]trip_summary_region!E91</f>
        <v>125</v>
      </c>
      <c r="F91">
        <f>[5]trip_summary_region!F91</f>
        <v>8.7871776154999992</v>
      </c>
      <c r="G91">
        <f>[5]trip_summary_region!G91</f>
        <v>79.116988981000006</v>
      </c>
      <c r="H91">
        <f>[5]trip_summary_region!H91</f>
        <v>6.0052062975</v>
      </c>
      <c r="I91" t="str">
        <f>[5]trip_summary_region!I91</f>
        <v>Cyclist</v>
      </c>
      <c r="J91" t="str">
        <f>[5]trip_summary_region!J91</f>
        <v>2037/38</v>
      </c>
    </row>
    <row r="92" spans="1:10" x14ac:dyDescent="0.2">
      <c r="A92" t="str">
        <f>[5]trip_summary_region!A92</f>
        <v>02 AUCKLAND</v>
      </c>
      <c r="B92">
        <f>[5]trip_summary_region!B92</f>
        <v>1</v>
      </c>
      <c r="C92">
        <f>[5]trip_summary_region!C92</f>
        <v>2043</v>
      </c>
      <c r="D92">
        <f>[5]trip_summary_region!D92</f>
        <v>49</v>
      </c>
      <c r="E92">
        <f>[5]trip_summary_region!E92</f>
        <v>125</v>
      </c>
      <c r="F92">
        <f>[5]trip_summary_region!F92</f>
        <v>9.1430611678999991</v>
      </c>
      <c r="G92">
        <f>[5]trip_summary_region!G92</f>
        <v>85.378907386999998</v>
      </c>
      <c r="H92">
        <f>[5]trip_summary_region!H92</f>
        <v>6.4346472009999998</v>
      </c>
      <c r="I92" t="str">
        <f>[5]trip_summary_region!I92</f>
        <v>Cyclist</v>
      </c>
      <c r="J92" t="str">
        <f>[5]trip_summary_region!J92</f>
        <v>2042/43</v>
      </c>
    </row>
    <row r="93" spans="1:10" x14ac:dyDescent="0.2">
      <c r="A93" t="str">
        <f>[5]trip_summary_region!A93</f>
        <v>02 AUCKLAND</v>
      </c>
      <c r="B93">
        <f>[5]trip_summary_region!B93</f>
        <v>2</v>
      </c>
      <c r="C93">
        <f>[5]trip_summary_region!C93</f>
        <v>2013</v>
      </c>
      <c r="D93">
        <f>[5]trip_summary_region!D93</f>
        <v>2765</v>
      </c>
      <c r="E93">
        <f>[5]trip_summary_region!E93</f>
        <v>18286</v>
      </c>
      <c r="F93">
        <f>[5]trip_summary_region!F93</f>
        <v>981.24355252999999</v>
      </c>
      <c r="G93">
        <f>[5]trip_summary_region!G93</f>
        <v>9374.4733825999992</v>
      </c>
      <c r="H93">
        <f>[5]trip_summary_region!H93</f>
        <v>295.36669345000001</v>
      </c>
      <c r="I93" t="str">
        <f>[5]trip_summary_region!I93</f>
        <v>Light Vehicle Driver</v>
      </c>
      <c r="J93" t="str">
        <f>[5]trip_summary_region!J93</f>
        <v>2012/13</v>
      </c>
    </row>
    <row r="94" spans="1:10" x14ac:dyDescent="0.2">
      <c r="A94" t="str">
        <f>[5]trip_summary_region!A94</f>
        <v>02 AUCKLAND</v>
      </c>
      <c r="B94">
        <f>[5]trip_summary_region!B94</f>
        <v>2</v>
      </c>
      <c r="C94">
        <f>[5]trip_summary_region!C94</f>
        <v>2018</v>
      </c>
      <c r="D94">
        <f>[5]trip_summary_region!D94</f>
        <v>2765</v>
      </c>
      <c r="E94">
        <f>[5]trip_summary_region!E94</f>
        <v>18286</v>
      </c>
      <c r="F94">
        <f>[5]trip_summary_region!F94</f>
        <v>1070.5837898</v>
      </c>
      <c r="G94">
        <f>[5]trip_summary_region!G94</f>
        <v>10264.424131</v>
      </c>
      <c r="H94">
        <f>[5]trip_summary_region!H94</f>
        <v>323.24559554000001</v>
      </c>
      <c r="I94" t="str">
        <f>[5]trip_summary_region!I94</f>
        <v>Light Vehicle Driver</v>
      </c>
      <c r="J94" t="str">
        <f>[5]trip_summary_region!J94</f>
        <v>2017/18</v>
      </c>
    </row>
    <row r="95" spans="1:10" x14ac:dyDescent="0.2">
      <c r="A95" t="str">
        <f>[5]trip_summary_region!A95</f>
        <v>02 AUCKLAND</v>
      </c>
      <c r="B95">
        <f>[5]trip_summary_region!B95</f>
        <v>2</v>
      </c>
      <c r="C95">
        <f>[5]trip_summary_region!C95</f>
        <v>2023</v>
      </c>
      <c r="D95">
        <f>[5]trip_summary_region!D95</f>
        <v>2765</v>
      </c>
      <c r="E95">
        <f>[5]trip_summary_region!E95</f>
        <v>18286</v>
      </c>
      <c r="F95">
        <f>[5]trip_summary_region!F95</f>
        <v>1122.7414653000001</v>
      </c>
      <c r="G95">
        <f>[5]trip_summary_region!G95</f>
        <v>10744.648424999999</v>
      </c>
      <c r="H95">
        <f>[5]trip_summary_region!H95</f>
        <v>338.51156032</v>
      </c>
      <c r="I95" t="str">
        <f>[5]trip_summary_region!I95</f>
        <v>Light Vehicle Driver</v>
      </c>
      <c r="J95" t="str">
        <f>[5]trip_summary_region!J95</f>
        <v>2022/23</v>
      </c>
    </row>
    <row r="96" spans="1:10" x14ac:dyDescent="0.2">
      <c r="A96" t="str">
        <f>[5]trip_summary_region!A96</f>
        <v>02 AUCKLAND</v>
      </c>
      <c r="B96">
        <f>[5]trip_summary_region!B96</f>
        <v>2</v>
      </c>
      <c r="C96">
        <f>[5]trip_summary_region!C96</f>
        <v>2028</v>
      </c>
      <c r="D96">
        <f>[5]trip_summary_region!D96</f>
        <v>2765</v>
      </c>
      <c r="E96">
        <f>[5]trip_summary_region!E96</f>
        <v>18286</v>
      </c>
      <c r="F96">
        <f>[5]trip_summary_region!F96</f>
        <v>1173.7675494</v>
      </c>
      <c r="G96">
        <f>[5]trip_summary_region!G96</f>
        <v>11246.466146999999</v>
      </c>
      <c r="H96">
        <f>[5]trip_summary_region!H96</f>
        <v>353.38200726000002</v>
      </c>
      <c r="I96" t="str">
        <f>[5]trip_summary_region!I96</f>
        <v>Light Vehicle Driver</v>
      </c>
      <c r="J96" t="str">
        <f>[5]trip_summary_region!J96</f>
        <v>2027/28</v>
      </c>
    </row>
    <row r="97" spans="1:10" x14ac:dyDescent="0.2">
      <c r="A97" t="str">
        <f>[5]trip_summary_region!A97</f>
        <v>02 AUCKLAND</v>
      </c>
      <c r="B97">
        <f>[5]trip_summary_region!B97</f>
        <v>2</v>
      </c>
      <c r="C97">
        <f>[5]trip_summary_region!C97</f>
        <v>2033</v>
      </c>
      <c r="D97">
        <f>[5]trip_summary_region!D97</f>
        <v>2765</v>
      </c>
      <c r="E97">
        <f>[5]trip_summary_region!E97</f>
        <v>18286</v>
      </c>
      <c r="F97">
        <f>[5]trip_summary_region!F97</f>
        <v>1225.6003992000001</v>
      </c>
      <c r="G97">
        <f>[5]trip_summary_region!G97</f>
        <v>11759.957747</v>
      </c>
      <c r="H97">
        <f>[5]trip_summary_region!H97</f>
        <v>368.85119050999998</v>
      </c>
      <c r="I97" t="str">
        <f>[5]trip_summary_region!I97</f>
        <v>Light Vehicle Driver</v>
      </c>
      <c r="J97" t="str">
        <f>[5]trip_summary_region!J97</f>
        <v>2032/33</v>
      </c>
    </row>
    <row r="98" spans="1:10" x14ac:dyDescent="0.2">
      <c r="A98" t="str">
        <f>[5]trip_summary_region!A98</f>
        <v>02 AUCKLAND</v>
      </c>
      <c r="B98">
        <f>[5]trip_summary_region!B98</f>
        <v>2</v>
      </c>
      <c r="C98">
        <f>[5]trip_summary_region!C98</f>
        <v>2038</v>
      </c>
      <c r="D98">
        <f>[5]trip_summary_region!D98</f>
        <v>2765</v>
      </c>
      <c r="E98">
        <f>[5]trip_summary_region!E98</f>
        <v>18286</v>
      </c>
      <c r="F98">
        <f>[5]trip_summary_region!F98</f>
        <v>1270.5837355000001</v>
      </c>
      <c r="G98">
        <f>[5]trip_summary_region!G98</f>
        <v>12190.171695999999</v>
      </c>
      <c r="H98">
        <f>[5]trip_summary_region!H98</f>
        <v>382.39832824000001</v>
      </c>
      <c r="I98" t="str">
        <f>[5]trip_summary_region!I98</f>
        <v>Light Vehicle Driver</v>
      </c>
      <c r="J98" t="str">
        <f>[5]trip_summary_region!J98</f>
        <v>2037/38</v>
      </c>
    </row>
    <row r="99" spans="1:10" x14ac:dyDescent="0.2">
      <c r="A99" t="str">
        <f>[5]trip_summary_region!A99</f>
        <v>02 AUCKLAND</v>
      </c>
      <c r="B99">
        <f>[5]trip_summary_region!B99</f>
        <v>2</v>
      </c>
      <c r="C99">
        <f>[5]trip_summary_region!C99</f>
        <v>2043</v>
      </c>
      <c r="D99">
        <f>[5]trip_summary_region!D99</f>
        <v>2765</v>
      </c>
      <c r="E99">
        <f>[5]trip_summary_region!E99</f>
        <v>18286</v>
      </c>
      <c r="F99">
        <f>[5]trip_summary_region!F99</f>
        <v>1308.9446461</v>
      </c>
      <c r="G99">
        <f>[5]trip_summary_region!G99</f>
        <v>12560.076225000001</v>
      </c>
      <c r="H99">
        <f>[5]trip_summary_region!H99</f>
        <v>394.00518577000003</v>
      </c>
      <c r="I99" t="str">
        <f>[5]trip_summary_region!I99</f>
        <v>Light Vehicle Driver</v>
      </c>
      <c r="J99" t="str">
        <f>[5]trip_summary_region!J99</f>
        <v>2042/43</v>
      </c>
    </row>
    <row r="100" spans="1:10" x14ac:dyDescent="0.2">
      <c r="A100" t="str">
        <f>[5]trip_summary_region!A100</f>
        <v>02 AUCKLAND</v>
      </c>
      <c r="B100">
        <f>[5]trip_summary_region!B100</f>
        <v>3</v>
      </c>
      <c r="C100">
        <f>[5]trip_summary_region!C100</f>
        <v>2013</v>
      </c>
      <c r="D100">
        <f>[5]trip_summary_region!D100</f>
        <v>2092</v>
      </c>
      <c r="E100">
        <f>[5]trip_summary_region!E100</f>
        <v>9587</v>
      </c>
      <c r="F100">
        <f>[5]trip_summary_region!F100</f>
        <v>488.06073574999999</v>
      </c>
      <c r="G100">
        <f>[5]trip_summary_region!G100</f>
        <v>4814.6436660999998</v>
      </c>
      <c r="H100">
        <f>[5]trip_summary_region!H100</f>
        <v>145.42645436999999</v>
      </c>
      <c r="I100" t="str">
        <f>[5]trip_summary_region!I100</f>
        <v>Light Vehicle Passenger</v>
      </c>
      <c r="J100" t="str">
        <f>[5]trip_summary_region!J100</f>
        <v>2012/13</v>
      </c>
    </row>
    <row r="101" spans="1:10" x14ac:dyDescent="0.2">
      <c r="A101" t="str">
        <f>[5]trip_summary_region!A101</f>
        <v>02 AUCKLAND</v>
      </c>
      <c r="B101">
        <f>[5]trip_summary_region!B101</f>
        <v>3</v>
      </c>
      <c r="C101">
        <f>[5]trip_summary_region!C101</f>
        <v>2018</v>
      </c>
      <c r="D101">
        <f>[5]trip_summary_region!D101</f>
        <v>2092</v>
      </c>
      <c r="E101">
        <f>[5]trip_summary_region!E101</f>
        <v>9587</v>
      </c>
      <c r="F101">
        <f>[5]trip_summary_region!F101</f>
        <v>509.31307053</v>
      </c>
      <c r="G101">
        <f>[5]trip_summary_region!G101</f>
        <v>5097.2481027000003</v>
      </c>
      <c r="H101">
        <f>[5]trip_summary_region!H101</f>
        <v>152.86478138000001</v>
      </c>
      <c r="I101" t="str">
        <f>[5]trip_summary_region!I101</f>
        <v>Light Vehicle Passenger</v>
      </c>
      <c r="J101" t="str">
        <f>[5]trip_summary_region!J101</f>
        <v>2017/18</v>
      </c>
    </row>
    <row r="102" spans="1:10" x14ac:dyDescent="0.2">
      <c r="A102" t="str">
        <f>[5]trip_summary_region!A102</f>
        <v>02 AUCKLAND</v>
      </c>
      <c r="B102">
        <f>[5]trip_summary_region!B102</f>
        <v>3</v>
      </c>
      <c r="C102">
        <f>[5]trip_summary_region!C102</f>
        <v>2023</v>
      </c>
      <c r="D102">
        <f>[5]trip_summary_region!D102</f>
        <v>2092</v>
      </c>
      <c r="E102">
        <f>[5]trip_summary_region!E102</f>
        <v>9587</v>
      </c>
      <c r="F102">
        <f>[5]trip_summary_region!F102</f>
        <v>523.42770669000004</v>
      </c>
      <c r="G102">
        <f>[5]trip_summary_region!G102</f>
        <v>5280.8785778000001</v>
      </c>
      <c r="H102">
        <f>[5]trip_summary_region!H102</f>
        <v>157.45772586999999</v>
      </c>
      <c r="I102" t="str">
        <f>[5]trip_summary_region!I102</f>
        <v>Light Vehicle Passenger</v>
      </c>
      <c r="J102" t="str">
        <f>[5]trip_summary_region!J102</f>
        <v>2022/23</v>
      </c>
    </row>
    <row r="103" spans="1:10" x14ac:dyDescent="0.2">
      <c r="A103" t="str">
        <f>[5]trip_summary_region!A103</f>
        <v>02 AUCKLAND</v>
      </c>
      <c r="B103">
        <f>[5]trip_summary_region!B103</f>
        <v>3</v>
      </c>
      <c r="C103">
        <f>[5]trip_summary_region!C103</f>
        <v>2028</v>
      </c>
      <c r="D103">
        <f>[5]trip_summary_region!D103</f>
        <v>2092</v>
      </c>
      <c r="E103">
        <f>[5]trip_summary_region!E103</f>
        <v>9587</v>
      </c>
      <c r="F103">
        <f>[5]trip_summary_region!F103</f>
        <v>536.45961201</v>
      </c>
      <c r="G103">
        <f>[5]trip_summary_region!G103</f>
        <v>5468.7506031000003</v>
      </c>
      <c r="H103">
        <f>[5]trip_summary_region!H103</f>
        <v>161.71140356000001</v>
      </c>
      <c r="I103" t="str">
        <f>[5]trip_summary_region!I103</f>
        <v>Light Vehicle Passenger</v>
      </c>
      <c r="J103" t="str">
        <f>[5]trip_summary_region!J103</f>
        <v>2027/28</v>
      </c>
    </row>
    <row r="104" spans="1:10" x14ac:dyDescent="0.2">
      <c r="A104" t="str">
        <f>[5]trip_summary_region!A104</f>
        <v>02 AUCKLAND</v>
      </c>
      <c r="B104">
        <f>[5]trip_summary_region!B104</f>
        <v>3</v>
      </c>
      <c r="C104">
        <f>[5]trip_summary_region!C104</f>
        <v>2033</v>
      </c>
      <c r="D104">
        <f>[5]trip_summary_region!D104</f>
        <v>2092</v>
      </c>
      <c r="E104">
        <f>[5]trip_summary_region!E104</f>
        <v>9587</v>
      </c>
      <c r="F104">
        <f>[5]trip_summary_region!F104</f>
        <v>548.35848080999995</v>
      </c>
      <c r="G104">
        <f>[5]trip_summary_region!G104</f>
        <v>5619.1195944999999</v>
      </c>
      <c r="H104">
        <f>[5]trip_summary_region!H104</f>
        <v>165.25604976</v>
      </c>
      <c r="I104" t="str">
        <f>[5]trip_summary_region!I104</f>
        <v>Light Vehicle Passenger</v>
      </c>
      <c r="J104" t="str">
        <f>[5]trip_summary_region!J104</f>
        <v>2032/33</v>
      </c>
    </row>
    <row r="105" spans="1:10" x14ac:dyDescent="0.2">
      <c r="A105" t="str">
        <f>[5]trip_summary_region!A105</f>
        <v>02 AUCKLAND</v>
      </c>
      <c r="B105">
        <f>[5]trip_summary_region!B105</f>
        <v>3</v>
      </c>
      <c r="C105">
        <f>[5]trip_summary_region!C105</f>
        <v>2038</v>
      </c>
      <c r="D105">
        <f>[5]trip_summary_region!D105</f>
        <v>2092</v>
      </c>
      <c r="E105">
        <f>[5]trip_summary_region!E105</f>
        <v>9587</v>
      </c>
      <c r="F105">
        <f>[5]trip_summary_region!F105</f>
        <v>556.90672474999997</v>
      </c>
      <c r="G105">
        <f>[5]trip_summary_region!G105</f>
        <v>5750.5572048000004</v>
      </c>
      <c r="H105">
        <f>[5]trip_summary_region!H105</f>
        <v>168.15155067000001</v>
      </c>
      <c r="I105" t="str">
        <f>[5]trip_summary_region!I105</f>
        <v>Light Vehicle Passenger</v>
      </c>
      <c r="J105" t="str">
        <f>[5]trip_summary_region!J105</f>
        <v>2037/38</v>
      </c>
    </row>
    <row r="106" spans="1:10" x14ac:dyDescent="0.2">
      <c r="A106" t="str">
        <f>[5]trip_summary_region!A106</f>
        <v>02 AUCKLAND</v>
      </c>
      <c r="B106">
        <f>[5]trip_summary_region!B106</f>
        <v>3</v>
      </c>
      <c r="C106">
        <f>[5]trip_summary_region!C106</f>
        <v>2043</v>
      </c>
      <c r="D106">
        <f>[5]trip_summary_region!D106</f>
        <v>2092</v>
      </c>
      <c r="E106">
        <f>[5]trip_summary_region!E106</f>
        <v>9587</v>
      </c>
      <c r="F106">
        <f>[5]trip_summary_region!F106</f>
        <v>562.10681153999997</v>
      </c>
      <c r="G106">
        <f>[5]trip_summary_region!G106</f>
        <v>5848.2069058999996</v>
      </c>
      <c r="H106">
        <f>[5]trip_summary_region!H106</f>
        <v>170.07514386</v>
      </c>
      <c r="I106" t="str">
        <f>[5]trip_summary_region!I106</f>
        <v>Light Vehicle Passenger</v>
      </c>
      <c r="J106" t="str">
        <f>[5]trip_summary_region!J106</f>
        <v>2042/43</v>
      </c>
    </row>
    <row r="107" spans="1:10" x14ac:dyDescent="0.2">
      <c r="A107" t="str">
        <f>[5]trip_summary_region!A107</f>
        <v>02 AUCKLAND</v>
      </c>
      <c r="B107">
        <f>[5]trip_summary_region!B107</f>
        <v>4</v>
      </c>
      <c r="C107">
        <f>[5]trip_summary_region!C107</f>
        <v>2013</v>
      </c>
      <c r="D107">
        <f>[5]trip_summary_region!D107</f>
        <v>54</v>
      </c>
      <c r="E107">
        <f>[5]trip_summary_region!E107</f>
        <v>94</v>
      </c>
      <c r="F107">
        <f>[5]trip_summary_region!F107</f>
        <v>6.0232688673999997</v>
      </c>
      <c r="G107">
        <f>[5]trip_summary_region!G107</f>
        <v>41.157157814999998</v>
      </c>
      <c r="H107">
        <f>[5]trip_summary_region!H107</f>
        <v>1.9131795197999999</v>
      </c>
      <c r="I107" t="s">
        <v>116</v>
      </c>
      <c r="J107" t="str">
        <f>[5]trip_summary_region!J107</f>
        <v>2012/13</v>
      </c>
    </row>
    <row r="108" spans="1:10" x14ac:dyDescent="0.2">
      <c r="A108" t="str">
        <f>[5]trip_summary_region!A108</f>
        <v>02 AUCKLAND</v>
      </c>
      <c r="B108">
        <f>[5]trip_summary_region!B108</f>
        <v>4</v>
      </c>
      <c r="C108">
        <f>[5]trip_summary_region!C108</f>
        <v>2018</v>
      </c>
      <c r="D108">
        <f>[5]trip_summary_region!D108</f>
        <v>54</v>
      </c>
      <c r="E108">
        <f>[5]trip_summary_region!E108</f>
        <v>94</v>
      </c>
      <c r="F108">
        <f>[5]trip_summary_region!F108</f>
        <v>6.9383324739000001</v>
      </c>
      <c r="G108">
        <f>[5]trip_summary_region!G108</f>
        <v>48.017781049</v>
      </c>
      <c r="H108">
        <f>[5]trip_summary_region!H108</f>
        <v>2.2021157292</v>
      </c>
      <c r="I108" t="s">
        <v>116</v>
      </c>
      <c r="J108" t="str">
        <f>[5]trip_summary_region!J108</f>
        <v>2017/18</v>
      </c>
    </row>
    <row r="109" spans="1:10" x14ac:dyDescent="0.2">
      <c r="A109" t="str">
        <f>[5]trip_summary_region!A109</f>
        <v>02 AUCKLAND</v>
      </c>
      <c r="B109">
        <f>[5]trip_summary_region!B109</f>
        <v>4</v>
      </c>
      <c r="C109">
        <f>[5]trip_summary_region!C109</f>
        <v>2023</v>
      </c>
      <c r="D109">
        <f>[5]trip_summary_region!D109</f>
        <v>54</v>
      </c>
      <c r="E109">
        <f>[5]trip_summary_region!E109</f>
        <v>94</v>
      </c>
      <c r="F109">
        <f>[5]trip_summary_region!F109</f>
        <v>7.7687429825000001</v>
      </c>
      <c r="G109">
        <f>[5]trip_summary_region!G109</f>
        <v>55.039313737999997</v>
      </c>
      <c r="H109">
        <f>[5]trip_summary_region!H109</f>
        <v>2.4674535234000001</v>
      </c>
      <c r="I109" t="s">
        <v>116</v>
      </c>
      <c r="J109" t="str">
        <f>[5]trip_summary_region!J109</f>
        <v>2022/23</v>
      </c>
    </row>
    <row r="110" spans="1:10" x14ac:dyDescent="0.2">
      <c r="A110" t="str">
        <f>[5]trip_summary_region!A110</f>
        <v>02 AUCKLAND</v>
      </c>
      <c r="B110">
        <f>[5]trip_summary_region!B110</f>
        <v>4</v>
      </c>
      <c r="C110">
        <f>[5]trip_summary_region!C110</f>
        <v>2028</v>
      </c>
      <c r="D110">
        <f>[5]trip_summary_region!D110</f>
        <v>54</v>
      </c>
      <c r="E110">
        <f>[5]trip_summary_region!E110</f>
        <v>94</v>
      </c>
      <c r="F110">
        <f>[5]trip_summary_region!F110</f>
        <v>8.5123129905999999</v>
      </c>
      <c r="G110">
        <f>[5]trip_summary_region!G110</f>
        <v>62.235598541999998</v>
      </c>
      <c r="H110">
        <f>[5]trip_summary_region!H110</f>
        <v>2.7198192375999999</v>
      </c>
      <c r="I110" t="s">
        <v>116</v>
      </c>
      <c r="J110" t="str">
        <f>[5]trip_summary_region!J110</f>
        <v>2027/28</v>
      </c>
    </row>
    <row r="111" spans="1:10" x14ac:dyDescent="0.2">
      <c r="A111" t="str">
        <f>[5]trip_summary_region!A111</f>
        <v>02 AUCKLAND</v>
      </c>
      <c r="B111">
        <f>[5]trip_summary_region!B111</f>
        <v>4</v>
      </c>
      <c r="C111">
        <f>[5]trip_summary_region!C111</f>
        <v>2033</v>
      </c>
      <c r="D111">
        <f>[5]trip_summary_region!D111</f>
        <v>54</v>
      </c>
      <c r="E111">
        <f>[5]trip_summary_region!E111</f>
        <v>94</v>
      </c>
      <c r="F111">
        <f>[5]trip_summary_region!F111</f>
        <v>9.1947888426999995</v>
      </c>
      <c r="G111">
        <f>[5]trip_summary_region!G111</f>
        <v>68.66387039</v>
      </c>
      <c r="H111">
        <f>[5]trip_summary_region!H111</f>
        <v>2.9528674105000001</v>
      </c>
      <c r="I111" t="s">
        <v>116</v>
      </c>
      <c r="J111" t="str">
        <f>[5]trip_summary_region!J111</f>
        <v>2032/33</v>
      </c>
    </row>
    <row r="112" spans="1:10" x14ac:dyDescent="0.2">
      <c r="A112" t="str">
        <f>[5]trip_summary_region!A112</f>
        <v>02 AUCKLAND</v>
      </c>
      <c r="B112">
        <f>[5]trip_summary_region!B112</f>
        <v>4</v>
      </c>
      <c r="C112">
        <f>[5]trip_summary_region!C112</f>
        <v>2038</v>
      </c>
      <c r="D112">
        <f>[5]trip_summary_region!D112</f>
        <v>54</v>
      </c>
      <c r="E112">
        <f>[5]trip_summary_region!E112</f>
        <v>94</v>
      </c>
      <c r="F112">
        <f>[5]trip_summary_region!F112</f>
        <v>9.7340575482999991</v>
      </c>
      <c r="G112">
        <f>[5]trip_summary_region!G112</f>
        <v>73.887661131000002</v>
      </c>
      <c r="H112">
        <f>[5]trip_summary_region!H112</f>
        <v>3.1366608567999998</v>
      </c>
      <c r="I112" t="s">
        <v>116</v>
      </c>
      <c r="J112" t="str">
        <f>[5]trip_summary_region!J112</f>
        <v>2037/38</v>
      </c>
    </row>
    <row r="113" spans="1:10" x14ac:dyDescent="0.2">
      <c r="A113" t="str">
        <f>[5]trip_summary_region!A113</f>
        <v>02 AUCKLAND</v>
      </c>
      <c r="B113">
        <f>[5]trip_summary_region!B113</f>
        <v>4</v>
      </c>
      <c r="C113">
        <f>[5]trip_summary_region!C113</f>
        <v>2043</v>
      </c>
      <c r="D113">
        <f>[5]trip_summary_region!D113</f>
        <v>54</v>
      </c>
      <c r="E113">
        <f>[5]trip_summary_region!E113</f>
        <v>94</v>
      </c>
      <c r="F113">
        <f>[5]trip_summary_region!F113</f>
        <v>10.268843447</v>
      </c>
      <c r="G113">
        <f>[5]trip_summary_region!G113</f>
        <v>79.037543726999999</v>
      </c>
      <c r="H113">
        <f>[5]trip_summary_region!H113</f>
        <v>3.3158460349999999</v>
      </c>
      <c r="I113" t="s">
        <v>116</v>
      </c>
      <c r="J113" t="str">
        <f>[5]trip_summary_region!J113</f>
        <v>2042/43</v>
      </c>
    </row>
    <row r="114" spans="1:10" x14ac:dyDescent="0.2">
      <c r="A114" t="str">
        <f>[5]trip_summary_region!A114</f>
        <v>02 AUCKLAND</v>
      </c>
      <c r="B114">
        <f>[5]trip_summary_region!B114</f>
        <v>5</v>
      </c>
      <c r="C114">
        <f>[5]trip_summary_region!C114</f>
        <v>2013</v>
      </c>
      <c r="D114">
        <f>[5]trip_summary_region!D114</f>
        <v>15</v>
      </c>
      <c r="E114">
        <f>[5]trip_summary_region!E114</f>
        <v>69</v>
      </c>
      <c r="F114">
        <f>[5]trip_summary_region!F114</f>
        <v>4.1170216905999997</v>
      </c>
      <c r="G114">
        <f>[5]trip_summary_region!G114</f>
        <v>43.570185572</v>
      </c>
      <c r="H114">
        <f>[5]trip_summary_region!H114</f>
        <v>1.5334409518000001</v>
      </c>
      <c r="I114" t="str">
        <f>[5]trip_summary_region!I114</f>
        <v>Motorcyclist</v>
      </c>
      <c r="J114" t="str">
        <f>[5]trip_summary_region!J114</f>
        <v>2012/13</v>
      </c>
    </row>
    <row r="115" spans="1:10" x14ac:dyDescent="0.2">
      <c r="A115" t="str">
        <f>[5]trip_summary_region!A115</f>
        <v>02 AUCKLAND</v>
      </c>
      <c r="B115">
        <f>[5]trip_summary_region!B115</f>
        <v>5</v>
      </c>
      <c r="C115">
        <f>[5]trip_summary_region!C115</f>
        <v>2018</v>
      </c>
      <c r="D115">
        <f>[5]trip_summary_region!D115</f>
        <v>15</v>
      </c>
      <c r="E115">
        <f>[5]trip_summary_region!E115</f>
        <v>69</v>
      </c>
      <c r="F115">
        <f>[5]trip_summary_region!F115</f>
        <v>4.5364792371</v>
      </c>
      <c r="G115">
        <f>[5]trip_summary_region!G115</f>
        <v>47.902958554000001</v>
      </c>
      <c r="H115">
        <f>[5]trip_summary_region!H115</f>
        <v>1.7019167005</v>
      </c>
      <c r="I115" t="str">
        <f>[5]trip_summary_region!I115</f>
        <v>Motorcyclist</v>
      </c>
      <c r="J115" t="str">
        <f>[5]trip_summary_region!J115</f>
        <v>2017/18</v>
      </c>
    </row>
    <row r="116" spans="1:10" x14ac:dyDescent="0.2">
      <c r="A116" t="str">
        <f>[5]trip_summary_region!A116</f>
        <v>02 AUCKLAND</v>
      </c>
      <c r="B116">
        <f>[5]trip_summary_region!B116</f>
        <v>5</v>
      </c>
      <c r="C116">
        <f>[5]trip_summary_region!C116</f>
        <v>2023</v>
      </c>
      <c r="D116">
        <f>[5]trip_summary_region!D116</f>
        <v>15</v>
      </c>
      <c r="E116">
        <f>[5]trip_summary_region!E116</f>
        <v>69</v>
      </c>
      <c r="F116">
        <f>[5]trip_summary_region!F116</f>
        <v>4.9047489571999998</v>
      </c>
      <c r="G116">
        <f>[5]trip_summary_region!G116</f>
        <v>50.326634493999997</v>
      </c>
      <c r="H116">
        <f>[5]trip_summary_region!H116</f>
        <v>1.8172597503000001</v>
      </c>
      <c r="I116" t="str">
        <f>[5]trip_summary_region!I116</f>
        <v>Motorcyclist</v>
      </c>
      <c r="J116" t="str">
        <f>[5]trip_summary_region!J116</f>
        <v>2022/23</v>
      </c>
    </row>
    <row r="117" spans="1:10" x14ac:dyDescent="0.2">
      <c r="A117" t="str">
        <f>[5]trip_summary_region!A117</f>
        <v>02 AUCKLAND</v>
      </c>
      <c r="B117">
        <f>[5]trip_summary_region!B117</f>
        <v>5</v>
      </c>
      <c r="C117">
        <f>[5]trip_summary_region!C117</f>
        <v>2028</v>
      </c>
      <c r="D117">
        <f>[5]trip_summary_region!D117</f>
        <v>15</v>
      </c>
      <c r="E117">
        <f>[5]trip_summary_region!E117</f>
        <v>69</v>
      </c>
      <c r="F117">
        <f>[5]trip_summary_region!F117</f>
        <v>5.4071937517000004</v>
      </c>
      <c r="G117">
        <f>[5]trip_summary_region!G117</f>
        <v>53.134763675000002</v>
      </c>
      <c r="H117">
        <f>[5]trip_summary_region!H117</f>
        <v>1.9504613176000001</v>
      </c>
      <c r="I117" t="str">
        <f>[5]trip_summary_region!I117</f>
        <v>Motorcyclist</v>
      </c>
      <c r="J117" t="str">
        <f>[5]trip_summary_region!J117</f>
        <v>2027/28</v>
      </c>
    </row>
    <row r="118" spans="1:10" x14ac:dyDescent="0.2">
      <c r="A118" t="str">
        <f>[5]trip_summary_region!A118</f>
        <v>02 AUCKLAND</v>
      </c>
      <c r="B118">
        <f>[5]trip_summary_region!B118</f>
        <v>5</v>
      </c>
      <c r="C118">
        <f>[5]trip_summary_region!C118</f>
        <v>2033</v>
      </c>
      <c r="D118">
        <f>[5]trip_summary_region!D118</f>
        <v>15</v>
      </c>
      <c r="E118">
        <f>[5]trip_summary_region!E118</f>
        <v>69</v>
      </c>
      <c r="F118">
        <f>[5]trip_summary_region!F118</f>
        <v>5.8133490003999997</v>
      </c>
      <c r="G118">
        <f>[5]trip_summary_region!G118</f>
        <v>55.966714375000002</v>
      </c>
      <c r="H118">
        <f>[5]trip_summary_region!H118</f>
        <v>2.0778754323999999</v>
      </c>
      <c r="I118" t="str">
        <f>[5]trip_summary_region!I118</f>
        <v>Motorcyclist</v>
      </c>
      <c r="J118" t="str">
        <f>[5]trip_summary_region!J118</f>
        <v>2032/33</v>
      </c>
    </row>
    <row r="119" spans="1:10" x14ac:dyDescent="0.2">
      <c r="A119" t="str">
        <f>[5]trip_summary_region!A119</f>
        <v>02 AUCKLAND</v>
      </c>
      <c r="B119">
        <f>[5]trip_summary_region!B119</f>
        <v>5</v>
      </c>
      <c r="C119">
        <f>[5]trip_summary_region!C119</f>
        <v>2038</v>
      </c>
      <c r="D119">
        <f>[5]trip_summary_region!D119</f>
        <v>15</v>
      </c>
      <c r="E119">
        <f>[5]trip_summary_region!E119</f>
        <v>69</v>
      </c>
      <c r="F119">
        <f>[5]trip_summary_region!F119</f>
        <v>5.9227793179999999</v>
      </c>
      <c r="G119">
        <f>[5]trip_summary_region!G119</f>
        <v>57.226880764999997</v>
      </c>
      <c r="H119">
        <f>[5]trip_summary_region!H119</f>
        <v>2.1457305909</v>
      </c>
      <c r="I119" t="str">
        <f>[5]trip_summary_region!I119</f>
        <v>Motorcyclist</v>
      </c>
      <c r="J119" t="str">
        <f>[5]trip_summary_region!J119</f>
        <v>2037/38</v>
      </c>
    </row>
    <row r="120" spans="1:10" x14ac:dyDescent="0.2">
      <c r="A120" t="str">
        <f>[5]trip_summary_region!A120</f>
        <v>02 AUCKLAND</v>
      </c>
      <c r="B120">
        <f>[5]trip_summary_region!B120</f>
        <v>5</v>
      </c>
      <c r="C120">
        <f>[5]trip_summary_region!C120</f>
        <v>2043</v>
      </c>
      <c r="D120">
        <f>[5]trip_summary_region!D120</f>
        <v>15</v>
      </c>
      <c r="E120">
        <f>[5]trip_summary_region!E120</f>
        <v>69</v>
      </c>
      <c r="F120">
        <f>[5]trip_summary_region!F120</f>
        <v>5.9955365243000003</v>
      </c>
      <c r="G120">
        <f>[5]trip_summary_region!G120</f>
        <v>58.313721774999998</v>
      </c>
      <c r="H120">
        <f>[5]trip_summary_region!H120</f>
        <v>2.2049179117</v>
      </c>
      <c r="I120" t="str">
        <f>[5]trip_summary_region!I120</f>
        <v>Motorcyclist</v>
      </c>
      <c r="J120" t="str">
        <f>[5]trip_summary_region!J120</f>
        <v>2042/43</v>
      </c>
    </row>
    <row r="121" spans="1:10" x14ac:dyDescent="0.2">
      <c r="A121" t="str">
        <f>[5]trip_summary_region!A121</f>
        <v>02 AUCKLAND</v>
      </c>
      <c r="B121">
        <f>[5]trip_summary_region!B121</f>
        <v>6</v>
      </c>
      <c r="C121">
        <f>[5]trip_summary_region!C121</f>
        <v>2013</v>
      </c>
      <c r="D121">
        <f>[5]trip_summary_region!D121</f>
        <v>83</v>
      </c>
      <c r="E121">
        <f>[5]trip_summary_region!E121</f>
        <v>197</v>
      </c>
      <c r="F121">
        <f>[5]trip_summary_region!F121</f>
        <v>10.588451037</v>
      </c>
      <c r="G121">
        <f>[5]trip_summary_region!G121</f>
        <v>126.27968744</v>
      </c>
      <c r="H121">
        <f>[5]trip_summary_region!H121</f>
        <v>4.2843438359999997</v>
      </c>
      <c r="I121" t="str">
        <f>[5]trip_summary_region!I121</f>
        <v>Local Train</v>
      </c>
      <c r="J121" t="str">
        <f>[5]trip_summary_region!J121</f>
        <v>2012/13</v>
      </c>
    </row>
    <row r="122" spans="1:10" x14ac:dyDescent="0.2">
      <c r="A122" t="str">
        <f>[5]trip_summary_region!A122</f>
        <v>02 AUCKLAND</v>
      </c>
      <c r="B122">
        <f>[5]trip_summary_region!B122</f>
        <v>6</v>
      </c>
      <c r="C122">
        <f>[5]trip_summary_region!C122</f>
        <v>2018</v>
      </c>
      <c r="D122">
        <f>[5]trip_summary_region!D122</f>
        <v>83</v>
      </c>
      <c r="E122">
        <f>[5]trip_summary_region!E122</f>
        <v>197</v>
      </c>
      <c r="F122">
        <f>[5]trip_summary_region!F122</f>
        <v>11.420578711999999</v>
      </c>
      <c r="G122">
        <f>[5]trip_summary_region!G122</f>
        <v>138.03400911</v>
      </c>
      <c r="H122">
        <f>[5]trip_summary_region!H122</f>
        <v>4.6853682510999999</v>
      </c>
      <c r="I122" t="str">
        <f>[5]trip_summary_region!I122</f>
        <v>Local Train</v>
      </c>
      <c r="J122" t="str">
        <f>[5]trip_summary_region!J122</f>
        <v>2017/18</v>
      </c>
    </row>
    <row r="123" spans="1:10" x14ac:dyDescent="0.2">
      <c r="A123" t="str">
        <f>[5]trip_summary_region!A123</f>
        <v>02 AUCKLAND</v>
      </c>
      <c r="B123">
        <f>[5]trip_summary_region!B123</f>
        <v>6</v>
      </c>
      <c r="C123">
        <f>[5]trip_summary_region!C123</f>
        <v>2023</v>
      </c>
      <c r="D123">
        <f>[5]trip_summary_region!D123</f>
        <v>83</v>
      </c>
      <c r="E123">
        <f>[5]trip_summary_region!E123</f>
        <v>197</v>
      </c>
      <c r="F123">
        <f>[5]trip_summary_region!F123</f>
        <v>11.879401543</v>
      </c>
      <c r="G123">
        <f>[5]trip_summary_region!G123</f>
        <v>144.14984676</v>
      </c>
      <c r="H123">
        <f>[5]trip_summary_region!H123</f>
        <v>4.9043856447999996</v>
      </c>
      <c r="I123" t="str">
        <f>[5]trip_summary_region!I123</f>
        <v>Local Train</v>
      </c>
      <c r="J123" t="str">
        <f>[5]trip_summary_region!J123</f>
        <v>2022/23</v>
      </c>
    </row>
    <row r="124" spans="1:10" x14ac:dyDescent="0.2">
      <c r="A124" t="str">
        <f>[5]trip_summary_region!A124</f>
        <v>02 AUCKLAND</v>
      </c>
      <c r="B124">
        <f>[5]trip_summary_region!B124</f>
        <v>6</v>
      </c>
      <c r="C124">
        <f>[5]trip_summary_region!C124</f>
        <v>2028</v>
      </c>
      <c r="D124">
        <f>[5]trip_summary_region!D124</f>
        <v>83</v>
      </c>
      <c r="E124">
        <f>[5]trip_summary_region!E124</f>
        <v>197</v>
      </c>
      <c r="F124">
        <f>[5]trip_summary_region!F124</f>
        <v>12.234843393</v>
      </c>
      <c r="G124">
        <f>[5]trip_summary_region!G124</f>
        <v>148.45929380999999</v>
      </c>
      <c r="H124">
        <f>[5]trip_summary_region!H124</f>
        <v>5.0421625551</v>
      </c>
      <c r="I124" t="str">
        <f>[5]trip_summary_region!I124</f>
        <v>Local Train</v>
      </c>
      <c r="J124" t="str">
        <f>[5]trip_summary_region!J124</f>
        <v>2027/28</v>
      </c>
    </row>
    <row r="125" spans="1:10" x14ac:dyDescent="0.2">
      <c r="A125" t="str">
        <f>[5]trip_summary_region!A125</f>
        <v>02 AUCKLAND</v>
      </c>
      <c r="B125">
        <f>[5]trip_summary_region!B125</f>
        <v>6</v>
      </c>
      <c r="C125">
        <f>[5]trip_summary_region!C125</f>
        <v>2033</v>
      </c>
      <c r="D125">
        <f>[5]trip_summary_region!D125</f>
        <v>83</v>
      </c>
      <c r="E125">
        <f>[5]trip_summary_region!E125</f>
        <v>197</v>
      </c>
      <c r="F125">
        <f>[5]trip_summary_region!F125</f>
        <v>12.444639186</v>
      </c>
      <c r="G125">
        <f>[5]trip_summary_region!G125</f>
        <v>151.83225386999999</v>
      </c>
      <c r="H125">
        <f>[5]trip_summary_region!H125</f>
        <v>5.1310096593000001</v>
      </c>
      <c r="I125" t="str">
        <f>[5]trip_summary_region!I125</f>
        <v>Local Train</v>
      </c>
      <c r="J125" t="str">
        <f>[5]trip_summary_region!J125</f>
        <v>2032/33</v>
      </c>
    </row>
    <row r="126" spans="1:10" x14ac:dyDescent="0.2">
      <c r="A126" t="str">
        <f>[5]trip_summary_region!A126</f>
        <v>02 AUCKLAND</v>
      </c>
      <c r="B126">
        <f>[5]trip_summary_region!B126</f>
        <v>6</v>
      </c>
      <c r="C126">
        <f>[5]trip_summary_region!C126</f>
        <v>2038</v>
      </c>
      <c r="D126">
        <f>[5]trip_summary_region!D126</f>
        <v>83</v>
      </c>
      <c r="E126">
        <f>[5]trip_summary_region!E126</f>
        <v>197</v>
      </c>
      <c r="F126">
        <f>[5]trip_summary_region!F126</f>
        <v>12.455475623</v>
      </c>
      <c r="G126">
        <f>[5]trip_summary_region!G126</f>
        <v>152.95424098999999</v>
      </c>
      <c r="H126">
        <f>[5]trip_summary_region!H126</f>
        <v>5.1626424107000002</v>
      </c>
      <c r="I126" t="str">
        <f>[5]trip_summary_region!I126</f>
        <v>Local Train</v>
      </c>
      <c r="J126" t="str">
        <f>[5]trip_summary_region!J126</f>
        <v>2037/38</v>
      </c>
    </row>
    <row r="127" spans="1:10" x14ac:dyDescent="0.2">
      <c r="A127" t="str">
        <f>[5]trip_summary_region!A127</f>
        <v>02 AUCKLAND</v>
      </c>
      <c r="B127">
        <f>[5]trip_summary_region!B127</f>
        <v>6</v>
      </c>
      <c r="C127">
        <f>[5]trip_summary_region!C127</f>
        <v>2043</v>
      </c>
      <c r="D127">
        <f>[5]trip_summary_region!D127</f>
        <v>83</v>
      </c>
      <c r="E127">
        <f>[5]trip_summary_region!E127</f>
        <v>197</v>
      </c>
      <c r="F127">
        <f>[5]trip_summary_region!F127</f>
        <v>12.377482091999999</v>
      </c>
      <c r="G127">
        <f>[5]trip_summary_region!G127</f>
        <v>152.99772264000001</v>
      </c>
      <c r="H127">
        <f>[5]trip_summary_region!H127</f>
        <v>5.1555646639999999</v>
      </c>
      <c r="I127" t="str">
        <f>[5]trip_summary_region!I127</f>
        <v>Local Train</v>
      </c>
      <c r="J127" t="str">
        <f>[5]trip_summary_region!J127</f>
        <v>2042/43</v>
      </c>
    </row>
    <row r="128" spans="1:10" x14ac:dyDescent="0.2">
      <c r="A128" t="str">
        <f>[5]trip_summary_region!A128</f>
        <v>02 AUCKLAND</v>
      </c>
      <c r="B128">
        <f>[5]trip_summary_region!B128</f>
        <v>7</v>
      </c>
      <c r="C128">
        <f>[5]trip_summary_region!C128</f>
        <v>2013</v>
      </c>
      <c r="D128">
        <f>[5]trip_summary_region!D128</f>
        <v>334</v>
      </c>
      <c r="E128">
        <f>[5]trip_summary_region!E128</f>
        <v>882</v>
      </c>
      <c r="F128">
        <f>[5]trip_summary_region!F128</f>
        <v>54.403429504999998</v>
      </c>
      <c r="G128">
        <f>[5]trip_summary_region!G128</f>
        <v>439.27566032999999</v>
      </c>
      <c r="H128">
        <f>[5]trip_summary_region!H128</f>
        <v>22.622672496</v>
      </c>
      <c r="I128" t="str">
        <f>[5]trip_summary_region!I128</f>
        <v>Local Bus</v>
      </c>
      <c r="J128" t="str">
        <f>[5]trip_summary_region!J128</f>
        <v>2012/13</v>
      </c>
    </row>
    <row r="129" spans="1:10" x14ac:dyDescent="0.2">
      <c r="A129" t="str">
        <f>[5]trip_summary_region!A129</f>
        <v>02 AUCKLAND</v>
      </c>
      <c r="B129">
        <f>[5]trip_summary_region!B129</f>
        <v>7</v>
      </c>
      <c r="C129">
        <f>[5]trip_summary_region!C129</f>
        <v>2018</v>
      </c>
      <c r="D129">
        <f>[5]trip_summary_region!D129</f>
        <v>334</v>
      </c>
      <c r="E129">
        <f>[5]trip_summary_region!E129</f>
        <v>882</v>
      </c>
      <c r="F129">
        <f>[5]trip_summary_region!F129</f>
        <v>56.901281644000001</v>
      </c>
      <c r="G129">
        <f>[5]trip_summary_region!G129</f>
        <v>464.53696092000001</v>
      </c>
      <c r="H129">
        <f>[5]trip_summary_region!H129</f>
        <v>23.884403189</v>
      </c>
      <c r="I129" t="str">
        <f>[5]trip_summary_region!I129</f>
        <v>Local Bus</v>
      </c>
      <c r="J129" t="str">
        <f>[5]trip_summary_region!J129</f>
        <v>2017/18</v>
      </c>
    </row>
    <row r="130" spans="1:10" x14ac:dyDescent="0.2">
      <c r="A130" t="str">
        <f>[5]trip_summary_region!A130</f>
        <v>02 AUCKLAND</v>
      </c>
      <c r="B130">
        <f>[5]trip_summary_region!B130</f>
        <v>7</v>
      </c>
      <c r="C130">
        <f>[5]trip_summary_region!C130</f>
        <v>2023</v>
      </c>
      <c r="D130">
        <f>[5]trip_summary_region!D130</f>
        <v>334</v>
      </c>
      <c r="E130">
        <f>[5]trip_summary_region!E130</f>
        <v>882</v>
      </c>
      <c r="F130">
        <f>[5]trip_summary_region!F130</f>
        <v>57.704774139000001</v>
      </c>
      <c r="G130">
        <f>[5]trip_summary_region!G130</f>
        <v>474.39419737999998</v>
      </c>
      <c r="H130">
        <f>[5]trip_summary_region!H130</f>
        <v>24.297402097999999</v>
      </c>
      <c r="I130" t="str">
        <f>[5]trip_summary_region!I130</f>
        <v>Local Bus</v>
      </c>
      <c r="J130" t="str">
        <f>[5]trip_summary_region!J130</f>
        <v>2022/23</v>
      </c>
    </row>
    <row r="131" spans="1:10" x14ac:dyDescent="0.2">
      <c r="A131" t="str">
        <f>[5]trip_summary_region!A131</f>
        <v>02 AUCKLAND</v>
      </c>
      <c r="B131">
        <f>[5]trip_summary_region!B131</f>
        <v>7</v>
      </c>
      <c r="C131">
        <f>[5]trip_summary_region!C131</f>
        <v>2028</v>
      </c>
      <c r="D131">
        <f>[5]trip_summary_region!D131</f>
        <v>334</v>
      </c>
      <c r="E131">
        <f>[5]trip_summary_region!E131</f>
        <v>882</v>
      </c>
      <c r="F131">
        <f>[5]trip_summary_region!F131</f>
        <v>57.34791817</v>
      </c>
      <c r="G131">
        <f>[5]trip_summary_region!G131</f>
        <v>476.37799767000001</v>
      </c>
      <c r="H131">
        <f>[5]trip_summary_region!H131</f>
        <v>24.240961715000001</v>
      </c>
      <c r="I131" t="str">
        <f>[5]trip_summary_region!I131</f>
        <v>Local Bus</v>
      </c>
      <c r="J131" t="str">
        <f>[5]trip_summary_region!J131</f>
        <v>2027/28</v>
      </c>
    </row>
    <row r="132" spans="1:10" x14ac:dyDescent="0.2">
      <c r="A132" t="str">
        <f>[5]trip_summary_region!A132</f>
        <v>02 AUCKLAND</v>
      </c>
      <c r="B132">
        <f>[5]trip_summary_region!B132</f>
        <v>7</v>
      </c>
      <c r="C132">
        <f>[5]trip_summary_region!C132</f>
        <v>2033</v>
      </c>
      <c r="D132">
        <f>[5]trip_summary_region!D132</f>
        <v>334</v>
      </c>
      <c r="E132">
        <f>[5]trip_summary_region!E132</f>
        <v>882</v>
      </c>
      <c r="F132">
        <f>[5]trip_summary_region!F132</f>
        <v>55.954404328000003</v>
      </c>
      <c r="G132">
        <f>[5]trip_summary_region!G132</f>
        <v>468.51053669999999</v>
      </c>
      <c r="H132">
        <f>[5]trip_summary_region!H132</f>
        <v>23.712285279</v>
      </c>
      <c r="I132" t="str">
        <f>[5]trip_summary_region!I132</f>
        <v>Local Bus</v>
      </c>
      <c r="J132" t="str">
        <f>[5]trip_summary_region!J132</f>
        <v>2032/33</v>
      </c>
    </row>
    <row r="133" spans="1:10" x14ac:dyDescent="0.2">
      <c r="A133" t="str">
        <f>[5]trip_summary_region!A133</f>
        <v>02 AUCKLAND</v>
      </c>
      <c r="B133">
        <f>[5]trip_summary_region!B133</f>
        <v>7</v>
      </c>
      <c r="C133">
        <f>[5]trip_summary_region!C133</f>
        <v>2038</v>
      </c>
      <c r="D133">
        <f>[5]trip_summary_region!D133</f>
        <v>334</v>
      </c>
      <c r="E133">
        <f>[5]trip_summary_region!E133</f>
        <v>882</v>
      </c>
      <c r="F133">
        <f>[5]trip_summary_region!F133</f>
        <v>54.367114821999998</v>
      </c>
      <c r="G133">
        <f>[5]trip_summary_region!G133</f>
        <v>459.35218421000002</v>
      </c>
      <c r="H133">
        <f>[5]trip_summary_region!H133</f>
        <v>23.120775157000001</v>
      </c>
      <c r="I133" t="str">
        <f>[5]trip_summary_region!I133</f>
        <v>Local Bus</v>
      </c>
      <c r="J133" t="str">
        <f>[5]trip_summary_region!J133</f>
        <v>2037/38</v>
      </c>
    </row>
    <row r="134" spans="1:10" x14ac:dyDescent="0.2">
      <c r="A134" t="str">
        <f>[5]trip_summary_region!A134</f>
        <v>02 AUCKLAND</v>
      </c>
      <c r="B134">
        <f>[5]trip_summary_region!B134</f>
        <v>7</v>
      </c>
      <c r="C134">
        <f>[5]trip_summary_region!C134</f>
        <v>2043</v>
      </c>
      <c r="D134">
        <f>[5]trip_summary_region!D134</f>
        <v>334</v>
      </c>
      <c r="E134">
        <f>[5]trip_summary_region!E134</f>
        <v>882</v>
      </c>
      <c r="F134">
        <f>[5]trip_summary_region!F134</f>
        <v>52.396734487000003</v>
      </c>
      <c r="G134">
        <f>[5]trip_summary_region!G134</f>
        <v>447.02881789999998</v>
      </c>
      <c r="H134">
        <f>[5]trip_summary_region!H134</f>
        <v>22.373467740999999</v>
      </c>
      <c r="I134" t="str">
        <f>[5]trip_summary_region!I134</f>
        <v>Local Bus</v>
      </c>
      <c r="J134" t="str">
        <f>[5]trip_summary_region!J134</f>
        <v>2042/43</v>
      </c>
    </row>
    <row r="135" spans="1:10" x14ac:dyDescent="0.2">
      <c r="A135" t="str">
        <f>[5]trip_summary_region!A135</f>
        <v>02 AUCKLAND</v>
      </c>
      <c r="B135">
        <f>[5]trip_summary_region!B135</f>
        <v>8</v>
      </c>
      <c r="C135">
        <f>[5]trip_summary_region!C135</f>
        <v>2013</v>
      </c>
      <c r="D135">
        <f>[5]trip_summary_region!D135</f>
        <v>33</v>
      </c>
      <c r="E135">
        <f>[5]trip_summary_region!E135</f>
        <v>75</v>
      </c>
      <c r="F135">
        <f>[5]trip_summary_region!F135</f>
        <v>4.3086283299000003</v>
      </c>
      <c r="G135">
        <f>[5]trip_summary_region!G135</f>
        <v>0</v>
      </c>
      <c r="H135">
        <f>[5]trip_summary_region!H135</f>
        <v>1.2124045342000001</v>
      </c>
      <c r="I135" t="str">
        <f>[5]trip_summary_region!I135</f>
        <v>Local Ferry</v>
      </c>
      <c r="J135" t="str">
        <f>[5]trip_summary_region!J135</f>
        <v>2012/13</v>
      </c>
    </row>
    <row r="136" spans="1:10" x14ac:dyDescent="0.2">
      <c r="A136" t="str">
        <f>[5]trip_summary_region!A136</f>
        <v>02 AUCKLAND</v>
      </c>
      <c r="B136">
        <f>[5]trip_summary_region!B136</f>
        <v>8</v>
      </c>
      <c r="C136">
        <f>[5]trip_summary_region!C136</f>
        <v>2018</v>
      </c>
      <c r="D136">
        <f>[5]trip_summary_region!D136</f>
        <v>33</v>
      </c>
      <c r="E136">
        <f>[5]trip_summary_region!E136</f>
        <v>75</v>
      </c>
      <c r="F136">
        <f>[5]trip_summary_region!F136</f>
        <v>4.7459620760999996</v>
      </c>
      <c r="G136">
        <f>[5]trip_summary_region!G136</f>
        <v>0</v>
      </c>
      <c r="H136">
        <f>[5]trip_summary_region!H136</f>
        <v>1.3419084052000001</v>
      </c>
      <c r="I136" t="str">
        <f>[5]trip_summary_region!I136</f>
        <v>Local Ferry</v>
      </c>
      <c r="J136" t="str">
        <f>[5]trip_summary_region!J136</f>
        <v>2017/18</v>
      </c>
    </row>
    <row r="137" spans="1:10" x14ac:dyDescent="0.2">
      <c r="A137" t="str">
        <f>[5]trip_summary_region!A137</f>
        <v>02 AUCKLAND</v>
      </c>
      <c r="B137">
        <f>[5]trip_summary_region!B137</f>
        <v>8</v>
      </c>
      <c r="C137">
        <f>[5]trip_summary_region!C137</f>
        <v>2023</v>
      </c>
      <c r="D137">
        <f>[5]trip_summary_region!D137</f>
        <v>33</v>
      </c>
      <c r="E137">
        <f>[5]trip_summary_region!E137</f>
        <v>75</v>
      </c>
      <c r="F137">
        <f>[5]trip_summary_region!F137</f>
        <v>5.0711723812000002</v>
      </c>
      <c r="G137">
        <f>[5]trip_summary_region!G137</f>
        <v>0</v>
      </c>
      <c r="H137">
        <f>[5]trip_summary_region!H137</f>
        <v>1.4287101494000001</v>
      </c>
      <c r="I137" t="str">
        <f>[5]trip_summary_region!I137</f>
        <v>Local Ferry</v>
      </c>
      <c r="J137" t="str">
        <f>[5]trip_summary_region!J137</f>
        <v>2022/23</v>
      </c>
    </row>
    <row r="138" spans="1:10" x14ac:dyDescent="0.2">
      <c r="A138" t="str">
        <f>[5]trip_summary_region!A138</f>
        <v>02 AUCKLAND</v>
      </c>
      <c r="B138">
        <f>[5]trip_summary_region!B138</f>
        <v>8</v>
      </c>
      <c r="C138">
        <f>[5]trip_summary_region!C138</f>
        <v>2028</v>
      </c>
      <c r="D138">
        <f>[5]trip_summary_region!D138</f>
        <v>33</v>
      </c>
      <c r="E138">
        <f>[5]trip_summary_region!E138</f>
        <v>75</v>
      </c>
      <c r="F138">
        <f>[5]trip_summary_region!F138</f>
        <v>5.2346440496</v>
      </c>
      <c r="G138">
        <f>[5]trip_summary_region!G138</f>
        <v>0</v>
      </c>
      <c r="H138">
        <f>[5]trip_summary_region!H138</f>
        <v>1.4817644062999999</v>
      </c>
      <c r="I138" t="str">
        <f>[5]trip_summary_region!I138</f>
        <v>Local Ferry</v>
      </c>
      <c r="J138" t="str">
        <f>[5]trip_summary_region!J138</f>
        <v>2027/28</v>
      </c>
    </row>
    <row r="139" spans="1:10" x14ac:dyDescent="0.2">
      <c r="A139" t="str">
        <f>[5]trip_summary_region!A139</f>
        <v>02 AUCKLAND</v>
      </c>
      <c r="B139">
        <f>[5]trip_summary_region!B139</f>
        <v>8</v>
      </c>
      <c r="C139">
        <f>[5]trip_summary_region!C139</f>
        <v>2033</v>
      </c>
      <c r="D139">
        <f>[5]trip_summary_region!D139</f>
        <v>33</v>
      </c>
      <c r="E139">
        <f>[5]trip_summary_region!E139</f>
        <v>75</v>
      </c>
      <c r="F139">
        <f>[5]trip_summary_region!F139</f>
        <v>5.3437246612999996</v>
      </c>
      <c r="G139">
        <f>[5]trip_summary_region!G139</f>
        <v>0</v>
      </c>
      <c r="H139">
        <f>[5]trip_summary_region!H139</f>
        <v>1.5224171607999999</v>
      </c>
      <c r="I139" t="str">
        <f>[5]trip_summary_region!I139</f>
        <v>Local Ferry</v>
      </c>
      <c r="J139" t="str">
        <f>[5]trip_summary_region!J139</f>
        <v>2032/33</v>
      </c>
    </row>
    <row r="140" spans="1:10" x14ac:dyDescent="0.2">
      <c r="A140" t="str">
        <f>[5]trip_summary_region!A140</f>
        <v>02 AUCKLAND</v>
      </c>
      <c r="B140">
        <f>[5]trip_summary_region!B140</f>
        <v>8</v>
      </c>
      <c r="C140">
        <f>[5]trip_summary_region!C140</f>
        <v>2038</v>
      </c>
      <c r="D140">
        <f>[5]trip_summary_region!D140</f>
        <v>33</v>
      </c>
      <c r="E140">
        <f>[5]trip_summary_region!E140</f>
        <v>75</v>
      </c>
      <c r="F140">
        <f>[5]trip_summary_region!F140</f>
        <v>5.5945693960999998</v>
      </c>
      <c r="G140">
        <f>[5]trip_summary_region!G140</f>
        <v>0</v>
      </c>
      <c r="H140">
        <f>[5]trip_summary_region!H140</f>
        <v>1.5980605955</v>
      </c>
      <c r="I140" t="str">
        <f>[5]trip_summary_region!I140</f>
        <v>Local Ferry</v>
      </c>
      <c r="J140" t="str">
        <f>[5]trip_summary_region!J140</f>
        <v>2037/38</v>
      </c>
    </row>
    <row r="141" spans="1:10" x14ac:dyDescent="0.2">
      <c r="A141" t="str">
        <f>[5]trip_summary_region!A141</f>
        <v>02 AUCKLAND</v>
      </c>
      <c r="B141">
        <f>[5]trip_summary_region!B141</f>
        <v>8</v>
      </c>
      <c r="C141">
        <f>[5]trip_summary_region!C141</f>
        <v>2043</v>
      </c>
      <c r="D141">
        <f>[5]trip_summary_region!D141</f>
        <v>33</v>
      </c>
      <c r="E141">
        <f>[5]trip_summary_region!E141</f>
        <v>75</v>
      </c>
      <c r="F141">
        <f>[5]trip_summary_region!F141</f>
        <v>5.7947294436999996</v>
      </c>
      <c r="G141">
        <f>[5]trip_summary_region!G141</f>
        <v>0</v>
      </c>
      <c r="H141">
        <f>[5]trip_summary_region!H141</f>
        <v>1.6597343600000001</v>
      </c>
      <c r="I141" t="str">
        <f>[5]trip_summary_region!I141</f>
        <v>Local Ferry</v>
      </c>
      <c r="J141" t="str">
        <f>[5]trip_summary_region!J141</f>
        <v>2042/43</v>
      </c>
    </row>
    <row r="142" spans="1:10" x14ac:dyDescent="0.2">
      <c r="A142" t="str">
        <f>[5]trip_summary_region!A142</f>
        <v>02 AUCKLAND</v>
      </c>
      <c r="B142">
        <f>[5]trip_summary_region!B142</f>
        <v>9</v>
      </c>
      <c r="C142">
        <f>[5]trip_summary_region!C142</f>
        <v>2013</v>
      </c>
      <c r="D142">
        <f>[5]trip_summary_region!D142</f>
        <v>21</v>
      </c>
      <c r="E142">
        <f>[5]trip_summary_region!E142</f>
        <v>52</v>
      </c>
      <c r="F142">
        <f>[5]trip_summary_region!F142</f>
        <v>2.2145179384000002</v>
      </c>
      <c r="G142">
        <f>[5]trip_summary_region!G142</f>
        <v>1.8241938706</v>
      </c>
      <c r="H142">
        <f>[5]trip_summary_region!H142</f>
        <v>2.4325058500000001</v>
      </c>
      <c r="I142" t="str">
        <f>[5]trip_summary_region!I142</f>
        <v>Other Household Travel</v>
      </c>
      <c r="J142" t="str">
        <f>[5]trip_summary_region!J142</f>
        <v>2012/13</v>
      </c>
    </row>
    <row r="143" spans="1:10" x14ac:dyDescent="0.2">
      <c r="A143" t="str">
        <f>[5]trip_summary_region!A143</f>
        <v>02 AUCKLAND</v>
      </c>
      <c r="B143">
        <f>[5]trip_summary_region!B143</f>
        <v>9</v>
      </c>
      <c r="C143">
        <f>[5]trip_summary_region!C143</f>
        <v>2018</v>
      </c>
      <c r="D143">
        <f>[5]trip_summary_region!D143</f>
        <v>21</v>
      </c>
      <c r="E143">
        <f>[5]trip_summary_region!E143</f>
        <v>52</v>
      </c>
      <c r="F143">
        <f>[5]trip_summary_region!F143</f>
        <v>2.4174351365</v>
      </c>
      <c r="G143">
        <f>[5]trip_summary_region!G143</f>
        <v>1.7774694251000001</v>
      </c>
      <c r="H143">
        <f>[5]trip_summary_region!H143</f>
        <v>2.7789668867000001</v>
      </c>
      <c r="I143" t="str">
        <f>[5]trip_summary_region!I143</f>
        <v>Other Household Travel</v>
      </c>
      <c r="J143" t="str">
        <f>[5]trip_summary_region!J143</f>
        <v>2017/18</v>
      </c>
    </row>
    <row r="144" spans="1:10" x14ac:dyDescent="0.2">
      <c r="A144" t="str">
        <f>[5]trip_summary_region!A144</f>
        <v>02 AUCKLAND</v>
      </c>
      <c r="B144">
        <f>[5]trip_summary_region!B144</f>
        <v>9</v>
      </c>
      <c r="C144">
        <f>[5]trip_summary_region!C144</f>
        <v>2023</v>
      </c>
      <c r="D144">
        <f>[5]trip_summary_region!D144</f>
        <v>21</v>
      </c>
      <c r="E144">
        <f>[5]trip_summary_region!E144</f>
        <v>52</v>
      </c>
      <c r="F144">
        <f>[5]trip_summary_region!F144</f>
        <v>2.5687270042999999</v>
      </c>
      <c r="G144">
        <f>[5]trip_summary_region!G144</f>
        <v>1.6812944196999999</v>
      </c>
      <c r="H144">
        <f>[5]trip_summary_region!H144</f>
        <v>2.9610359930999999</v>
      </c>
      <c r="I144" t="str">
        <f>[5]trip_summary_region!I144</f>
        <v>Other Household Travel</v>
      </c>
      <c r="J144" t="str">
        <f>[5]trip_summary_region!J144</f>
        <v>2022/23</v>
      </c>
    </row>
    <row r="145" spans="1:10" x14ac:dyDescent="0.2">
      <c r="A145" t="str">
        <f>[5]trip_summary_region!A145</f>
        <v>02 AUCKLAND</v>
      </c>
      <c r="B145">
        <f>[5]trip_summary_region!B145</f>
        <v>9</v>
      </c>
      <c r="C145">
        <f>[5]trip_summary_region!C145</f>
        <v>2028</v>
      </c>
      <c r="D145">
        <f>[5]trip_summary_region!D145</f>
        <v>21</v>
      </c>
      <c r="E145">
        <f>[5]trip_summary_region!E145</f>
        <v>52</v>
      </c>
      <c r="F145">
        <f>[5]trip_summary_region!F145</f>
        <v>2.7157086280999998</v>
      </c>
      <c r="G145">
        <f>[5]trip_summary_region!G145</f>
        <v>1.9308307612</v>
      </c>
      <c r="H145">
        <f>[5]trip_summary_region!H145</f>
        <v>3.0022448159000001</v>
      </c>
      <c r="I145" t="str">
        <f>[5]trip_summary_region!I145</f>
        <v>Other Household Travel</v>
      </c>
      <c r="J145" t="str">
        <f>[5]trip_summary_region!J145</f>
        <v>2027/28</v>
      </c>
    </row>
    <row r="146" spans="1:10" x14ac:dyDescent="0.2">
      <c r="A146" t="str">
        <f>[5]trip_summary_region!A146</f>
        <v>02 AUCKLAND</v>
      </c>
      <c r="B146">
        <f>[5]trip_summary_region!B146</f>
        <v>9</v>
      </c>
      <c r="C146">
        <f>[5]trip_summary_region!C146</f>
        <v>2033</v>
      </c>
      <c r="D146">
        <f>[5]trip_summary_region!D146</f>
        <v>21</v>
      </c>
      <c r="E146">
        <f>[5]trip_summary_region!E146</f>
        <v>52</v>
      </c>
      <c r="F146">
        <f>[5]trip_summary_region!F146</f>
        <v>2.8512370236</v>
      </c>
      <c r="G146">
        <f>[5]trip_summary_region!G146</f>
        <v>2.0597820572000001</v>
      </c>
      <c r="H146">
        <f>[5]trip_summary_region!H146</f>
        <v>3.064139838</v>
      </c>
      <c r="I146" t="str">
        <f>[5]trip_summary_region!I146</f>
        <v>Other Household Travel</v>
      </c>
      <c r="J146" t="str">
        <f>[5]trip_summary_region!J146</f>
        <v>2032/33</v>
      </c>
    </row>
    <row r="147" spans="1:10" x14ac:dyDescent="0.2">
      <c r="A147" t="str">
        <f>[5]trip_summary_region!A147</f>
        <v>02 AUCKLAND</v>
      </c>
      <c r="B147">
        <f>[5]trip_summary_region!B147</f>
        <v>9</v>
      </c>
      <c r="C147">
        <f>[5]trip_summary_region!C147</f>
        <v>2038</v>
      </c>
      <c r="D147">
        <f>[5]trip_summary_region!D147</f>
        <v>21</v>
      </c>
      <c r="E147">
        <f>[5]trip_summary_region!E147</f>
        <v>52</v>
      </c>
      <c r="F147">
        <f>[5]trip_summary_region!F147</f>
        <v>3.0024289318999999</v>
      </c>
      <c r="G147">
        <f>[5]trip_summary_region!G147</f>
        <v>2.0472325805999998</v>
      </c>
      <c r="H147">
        <f>[5]trip_summary_region!H147</f>
        <v>3.1934478393000001</v>
      </c>
      <c r="I147" t="str">
        <f>[5]trip_summary_region!I147</f>
        <v>Other Household Travel</v>
      </c>
      <c r="J147" t="str">
        <f>[5]trip_summary_region!J147</f>
        <v>2037/38</v>
      </c>
    </row>
    <row r="148" spans="1:10" x14ac:dyDescent="0.2">
      <c r="A148" t="str">
        <f>[5]trip_summary_region!A148</f>
        <v>02 AUCKLAND</v>
      </c>
      <c r="B148">
        <f>[5]trip_summary_region!B148</f>
        <v>9</v>
      </c>
      <c r="C148">
        <f>[5]trip_summary_region!C148</f>
        <v>2043</v>
      </c>
      <c r="D148">
        <f>[5]trip_summary_region!D148</f>
        <v>21</v>
      </c>
      <c r="E148">
        <f>[5]trip_summary_region!E148</f>
        <v>52</v>
      </c>
      <c r="F148">
        <f>[5]trip_summary_region!F148</f>
        <v>3.1470763378000002</v>
      </c>
      <c r="G148">
        <f>[5]trip_summary_region!G148</f>
        <v>1.9888879017000001</v>
      </c>
      <c r="H148">
        <f>[5]trip_summary_region!H148</f>
        <v>3.3190839157999998</v>
      </c>
      <c r="I148" t="str">
        <f>[5]trip_summary_region!I148</f>
        <v>Other Household Travel</v>
      </c>
      <c r="J148" t="str">
        <f>[5]trip_summary_region!J148</f>
        <v>2042/43</v>
      </c>
    </row>
    <row r="149" spans="1:10" x14ac:dyDescent="0.2">
      <c r="A149" t="str">
        <f>[5]trip_summary_region!A149</f>
        <v>02 AUCKLAND</v>
      </c>
      <c r="B149">
        <f>[5]trip_summary_region!B149</f>
        <v>10</v>
      </c>
      <c r="C149">
        <f>[5]trip_summary_region!C149</f>
        <v>2013</v>
      </c>
      <c r="D149">
        <f>[5]trip_summary_region!D149</f>
        <v>46</v>
      </c>
      <c r="E149">
        <f>[5]trip_summary_region!E149</f>
        <v>52</v>
      </c>
      <c r="F149">
        <f>[5]trip_summary_region!F149</f>
        <v>2.8879196329000001</v>
      </c>
      <c r="G149">
        <f>[5]trip_summary_region!G149</f>
        <v>37.321781539</v>
      </c>
      <c r="H149">
        <f>[5]trip_summary_region!H149</f>
        <v>5.1213278228999997</v>
      </c>
      <c r="I149" t="str">
        <f>[5]trip_summary_region!I149</f>
        <v>Air/Non-Local PT</v>
      </c>
      <c r="J149" t="str">
        <f>[5]trip_summary_region!J149</f>
        <v>2012/13</v>
      </c>
    </row>
    <row r="150" spans="1:10" x14ac:dyDescent="0.2">
      <c r="A150" t="str">
        <f>[5]trip_summary_region!A150</f>
        <v>02 AUCKLAND</v>
      </c>
      <c r="B150">
        <f>[5]trip_summary_region!B150</f>
        <v>10</v>
      </c>
      <c r="C150">
        <f>[5]trip_summary_region!C150</f>
        <v>2018</v>
      </c>
      <c r="D150">
        <f>[5]trip_summary_region!D150</f>
        <v>46</v>
      </c>
      <c r="E150">
        <f>[5]trip_summary_region!E150</f>
        <v>52</v>
      </c>
      <c r="F150">
        <f>[5]trip_summary_region!F150</f>
        <v>3.5291859962999999</v>
      </c>
      <c r="G150">
        <f>[5]trip_summary_region!G150</f>
        <v>43.085185574</v>
      </c>
      <c r="H150">
        <f>[5]trip_summary_region!H150</f>
        <v>6.1943765715000003</v>
      </c>
      <c r="I150" t="str">
        <f>[5]trip_summary_region!I150</f>
        <v>Air/Non-Local PT</v>
      </c>
      <c r="J150" t="str">
        <f>[5]trip_summary_region!J150</f>
        <v>2017/18</v>
      </c>
    </row>
    <row r="151" spans="1:10" x14ac:dyDescent="0.2">
      <c r="A151" t="str">
        <f>[5]trip_summary_region!A151</f>
        <v>02 AUCKLAND</v>
      </c>
      <c r="B151">
        <f>[5]trip_summary_region!B151</f>
        <v>10</v>
      </c>
      <c r="C151">
        <f>[5]trip_summary_region!C151</f>
        <v>2023</v>
      </c>
      <c r="D151">
        <f>[5]trip_summary_region!D151</f>
        <v>46</v>
      </c>
      <c r="E151">
        <f>[5]trip_summary_region!E151</f>
        <v>52</v>
      </c>
      <c r="F151">
        <f>[5]trip_summary_region!F151</f>
        <v>4.0033337046000002</v>
      </c>
      <c r="G151">
        <f>[5]trip_summary_region!G151</f>
        <v>47.282993257999998</v>
      </c>
      <c r="H151">
        <f>[5]trip_summary_region!H151</f>
        <v>6.9528388656000004</v>
      </c>
      <c r="I151" t="str">
        <f>[5]trip_summary_region!I151</f>
        <v>Air/Non-Local PT</v>
      </c>
      <c r="J151" t="str">
        <f>[5]trip_summary_region!J151</f>
        <v>2022/23</v>
      </c>
    </row>
    <row r="152" spans="1:10" x14ac:dyDescent="0.2">
      <c r="A152" t="str">
        <f>[5]trip_summary_region!A152</f>
        <v>02 AUCKLAND</v>
      </c>
      <c r="B152">
        <f>[5]trip_summary_region!B152</f>
        <v>10</v>
      </c>
      <c r="C152">
        <f>[5]trip_summary_region!C152</f>
        <v>2028</v>
      </c>
      <c r="D152">
        <f>[5]trip_summary_region!D152</f>
        <v>46</v>
      </c>
      <c r="E152">
        <f>[5]trip_summary_region!E152</f>
        <v>52</v>
      </c>
      <c r="F152">
        <f>[5]trip_summary_region!F152</f>
        <v>4.3909340634999996</v>
      </c>
      <c r="G152">
        <f>[5]trip_summary_region!G152</f>
        <v>49.496529887000001</v>
      </c>
      <c r="H152">
        <f>[5]trip_summary_region!H152</f>
        <v>7.5357658908999996</v>
      </c>
      <c r="I152" t="str">
        <f>[5]trip_summary_region!I152</f>
        <v>Air/Non-Local PT</v>
      </c>
      <c r="J152" t="str">
        <f>[5]trip_summary_region!J152</f>
        <v>2027/28</v>
      </c>
    </row>
    <row r="153" spans="1:10" x14ac:dyDescent="0.2">
      <c r="A153" t="str">
        <f>[5]trip_summary_region!A153</f>
        <v>02 AUCKLAND</v>
      </c>
      <c r="B153">
        <f>[5]trip_summary_region!B153</f>
        <v>10</v>
      </c>
      <c r="C153">
        <f>[5]trip_summary_region!C153</f>
        <v>2033</v>
      </c>
      <c r="D153">
        <f>[5]trip_summary_region!D153</f>
        <v>46</v>
      </c>
      <c r="E153">
        <f>[5]trip_summary_region!E153</f>
        <v>52</v>
      </c>
      <c r="F153">
        <f>[5]trip_summary_region!F153</f>
        <v>4.8178555565999996</v>
      </c>
      <c r="G153">
        <f>[5]trip_summary_region!G153</f>
        <v>49.909354282000002</v>
      </c>
      <c r="H153">
        <f>[5]trip_summary_region!H153</f>
        <v>8.2132569356000005</v>
      </c>
      <c r="I153" t="str">
        <f>[5]trip_summary_region!I153</f>
        <v>Air/Non-Local PT</v>
      </c>
      <c r="J153" t="str">
        <f>[5]trip_summary_region!J153</f>
        <v>2032/33</v>
      </c>
    </row>
    <row r="154" spans="1:10" x14ac:dyDescent="0.2">
      <c r="A154" t="str">
        <f>[5]trip_summary_region!A154</f>
        <v>02 AUCKLAND</v>
      </c>
      <c r="B154">
        <f>[5]trip_summary_region!B154</f>
        <v>10</v>
      </c>
      <c r="C154">
        <f>[5]trip_summary_region!C154</f>
        <v>2038</v>
      </c>
      <c r="D154">
        <f>[5]trip_summary_region!D154</f>
        <v>46</v>
      </c>
      <c r="E154">
        <f>[5]trip_summary_region!E154</f>
        <v>52</v>
      </c>
      <c r="F154">
        <f>[5]trip_summary_region!F154</f>
        <v>5.2849164714999999</v>
      </c>
      <c r="G154">
        <f>[5]trip_summary_region!G154</f>
        <v>53.076952507000001</v>
      </c>
      <c r="H154">
        <f>[5]trip_summary_region!H154</f>
        <v>9.0080513095000008</v>
      </c>
      <c r="I154" t="str">
        <f>[5]trip_summary_region!I154</f>
        <v>Air/Non-Local PT</v>
      </c>
      <c r="J154" t="str">
        <f>[5]trip_summary_region!J154</f>
        <v>2037/38</v>
      </c>
    </row>
    <row r="155" spans="1:10" x14ac:dyDescent="0.2">
      <c r="A155" t="str">
        <f>[5]trip_summary_region!A155</f>
        <v>02 AUCKLAND</v>
      </c>
      <c r="B155">
        <f>[5]trip_summary_region!B155</f>
        <v>10</v>
      </c>
      <c r="C155">
        <f>[5]trip_summary_region!C155</f>
        <v>2043</v>
      </c>
      <c r="D155">
        <f>[5]trip_summary_region!D155</f>
        <v>46</v>
      </c>
      <c r="E155">
        <f>[5]trip_summary_region!E155</f>
        <v>52</v>
      </c>
      <c r="F155">
        <f>[5]trip_summary_region!F155</f>
        <v>5.7524956448999998</v>
      </c>
      <c r="G155">
        <f>[5]trip_summary_region!G155</f>
        <v>56.868012380000003</v>
      </c>
      <c r="H155">
        <f>[5]trip_summary_region!H155</f>
        <v>9.8057136017000008</v>
      </c>
      <c r="I155" t="str">
        <f>[5]trip_summary_region!I155</f>
        <v>Air/Non-Local PT</v>
      </c>
      <c r="J155" t="str">
        <f>[5]trip_summary_region!J155</f>
        <v>2042/43</v>
      </c>
    </row>
    <row r="156" spans="1:10" x14ac:dyDescent="0.2">
      <c r="A156" t="str">
        <f>[5]trip_summary_region!A156</f>
        <v>02 AUCKLAND</v>
      </c>
      <c r="B156">
        <f>[5]trip_summary_region!B156</f>
        <v>11</v>
      </c>
      <c r="C156">
        <f>[5]trip_summary_region!C156</f>
        <v>2013</v>
      </c>
      <c r="D156">
        <f>[5]trip_summary_region!D156</f>
        <v>49</v>
      </c>
      <c r="E156">
        <f>[5]trip_summary_region!E156</f>
        <v>220</v>
      </c>
      <c r="F156">
        <f>[5]trip_summary_region!F156</f>
        <v>12.895006201999999</v>
      </c>
      <c r="G156">
        <f>[5]trip_summary_region!G156</f>
        <v>179.51641304</v>
      </c>
      <c r="H156">
        <f>[5]trip_summary_region!H156</f>
        <v>5.2074041506000004</v>
      </c>
      <c r="I156" t="str">
        <f>[5]trip_summary_region!I156</f>
        <v>Non-Household Travel</v>
      </c>
      <c r="J156" t="str">
        <f>[5]trip_summary_region!J156</f>
        <v>2012/13</v>
      </c>
    </row>
    <row r="157" spans="1:10" x14ac:dyDescent="0.2">
      <c r="A157" t="str">
        <f>[5]trip_summary_region!A157</f>
        <v>02 AUCKLAND</v>
      </c>
      <c r="B157">
        <f>[5]trip_summary_region!B157</f>
        <v>11</v>
      </c>
      <c r="C157">
        <f>[5]trip_summary_region!C157</f>
        <v>2018</v>
      </c>
      <c r="D157">
        <f>[5]trip_summary_region!D157</f>
        <v>49</v>
      </c>
      <c r="E157">
        <f>[5]trip_summary_region!E157</f>
        <v>220</v>
      </c>
      <c r="F157">
        <f>[5]trip_summary_region!F157</f>
        <v>13.882104159000001</v>
      </c>
      <c r="G157">
        <f>[5]trip_summary_region!G157</f>
        <v>190.17794527000001</v>
      </c>
      <c r="H157">
        <f>[5]trip_summary_region!H157</f>
        <v>5.5708770803999998</v>
      </c>
      <c r="I157" t="str">
        <f>[5]trip_summary_region!I157</f>
        <v>Non-Household Travel</v>
      </c>
      <c r="J157" t="str">
        <f>[5]trip_summary_region!J157</f>
        <v>2017/18</v>
      </c>
    </row>
    <row r="158" spans="1:10" x14ac:dyDescent="0.2">
      <c r="A158" t="str">
        <f>[5]trip_summary_region!A158</f>
        <v>02 AUCKLAND</v>
      </c>
      <c r="B158">
        <f>[5]trip_summary_region!B158</f>
        <v>11</v>
      </c>
      <c r="C158">
        <f>[5]trip_summary_region!C158</f>
        <v>2023</v>
      </c>
      <c r="D158">
        <f>[5]trip_summary_region!D158</f>
        <v>49</v>
      </c>
      <c r="E158">
        <f>[5]trip_summary_region!E158</f>
        <v>220</v>
      </c>
      <c r="F158">
        <f>[5]trip_summary_region!F158</f>
        <v>14.41128413</v>
      </c>
      <c r="G158">
        <f>[5]trip_summary_region!G158</f>
        <v>195.15185961</v>
      </c>
      <c r="H158">
        <f>[5]trip_summary_region!H158</f>
        <v>5.7394633974999998</v>
      </c>
      <c r="I158" t="str">
        <f>[5]trip_summary_region!I158</f>
        <v>Non-Household Travel</v>
      </c>
      <c r="J158" t="str">
        <f>[5]trip_summary_region!J158</f>
        <v>2022/23</v>
      </c>
    </row>
    <row r="159" spans="1:10" x14ac:dyDescent="0.2">
      <c r="A159" t="str">
        <f>[5]trip_summary_region!A159</f>
        <v>02 AUCKLAND</v>
      </c>
      <c r="B159">
        <f>[5]trip_summary_region!B159</f>
        <v>11</v>
      </c>
      <c r="C159">
        <f>[5]trip_summary_region!C159</f>
        <v>2028</v>
      </c>
      <c r="D159">
        <f>[5]trip_summary_region!D159</f>
        <v>49</v>
      </c>
      <c r="E159">
        <f>[5]trip_summary_region!E159</f>
        <v>220</v>
      </c>
      <c r="F159">
        <f>[5]trip_summary_region!F159</f>
        <v>14.633890203</v>
      </c>
      <c r="G159">
        <f>[5]trip_summary_region!G159</f>
        <v>195.87755729</v>
      </c>
      <c r="H159">
        <f>[5]trip_summary_region!H159</f>
        <v>5.7695390095999999</v>
      </c>
      <c r="I159" t="str">
        <f>[5]trip_summary_region!I159</f>
        <v>Non-Household Travel</v>
      </c>
      <c r="J159" t="str">
        <f>[5]trip_summary_region!J159</f>
        <v>2027/28</v>
      </c>
    </row>
    <row r="160" spans="1:10" x14ac:dyDescent="0.2">
      <c r="A160" t="str">
        <f>[5]trip_summary_region!A160</f>
        <v>02 AUCKLAND</v>
      </c>
      <c r="B160">
        <f>[5]trip_summary_region!B160</f>
        <v>11</v>
      </c>
      <c r="C160">
        <f>[5]trip_summary_region!C160</f>
        <v>2033</v>
      </c>
      <c r="D160">
        <f>[5]trip_summary_region!D160</f>
        <v>49</v>
      </c>
      <c r="E160">
        <f>[5]trip_summary_region!E160</f>
        <v>220</v>
      </c>
      <c r="F160">
        <f>[5]trip_summary_region!F160</f>
        <v>15.053972889000001</v>
      </c>
      <c r="G160">
        <f>[5]trip_summary_region!G160</f>
        <v>199.22886603000001</v>
      </c>
      <c r="H160">
        <f>[5]trip_summary_region!H160</f>
        <v>5.9044775944000003</v>
      </c>
      <c r="I160" t="str">
        <f>[5]trip_summary_region!I160</f>
        <v>Non-Household Travel</v>
      </c>
      <c r="J160" t="str">
        <f>[5]trip_summary_region!J160</f>
        <v>2032/33</v>
      </c>
    </row>
    <row r="161" spans="1:10" x14ac:dyDescent="0.2">
      <c r="A161" t="str">
        <f>[5]trip_summary_region!A161</f>
        <v>02 AUCKLAND</v>
      </c>
      <c r="B161">
        <f>[5]trip_summary_region!B161</f>
        <v>11</v>
      </c>
      <c r="C161">
        <f>[5]trip_summary_region!C161</f>
        <v>2038</v>
      </c>
      <c r="D161">
        <f>[5]trip_summary_region!D161</f>
        <v>49</v>
      </c>
      <c r="E161">
        <f>[5]trip_summary_region!E161</f>
        <v>220</v>
      </c>
      <c r="F161">
        <f>[5]trip_summary_region!F161</f>
        <v>15.683585963000001</v>
      </c>
      <c r="G161">
        <f>[5]trip_summary_region!G161</f>
        <v>206.00090979000001</v>
      </c>
      <c r="H161">
        <f>[5]trip_summary_region!H161</f>
        <v>6.1284525312999998</v>
      </c>
      <c r="I161" t="str">
        <f>[5]trip_summary_region!I161</f>
        <v>Non-Household Travel</v>
      </c>
      <c r="J161" t="str">
        <f>[5]trip_summary_region!J161</f>
        <v>2037/38</v>
      </c>
    </row>
    <row r="162" spans="1:10" x14ac:dyDescent="0.2">
      <c r="A162" t="str">
        <f>[5]trip_summary_region!A162</f>
        <v>02 AUCKLAND</v>
      </c>
      <c r="B162">
        <f>[5]trip_summary_region!B162</f>
        <v>11</v>
      </c>
      <c r="C162">
        <f>[5]trip_summary_region!C162</f>
        <v>2043</v>
      </c>
      <c r="D162">
        <f>[5]trip_summary_region!D162</f>
        <v>49</v>
      </c>
      <c r="E162">
        <f>[5]trip_summary_region!E162</f>
        <v>220</v>
      </c>
      <c r="F162">
        <f>[5]trip_summary_region!F162</f>
        <v>16.214620775</v>
      </c>
      <c r="G162">
        <f>[5]trip_summary_region!G162</f>
        <v>211.47261245000001</v>
      </c>
      <c r="H162">
        <f>[5]trip_summary_region!H162</f>
        <v>6.3189890536000002</v>
      </c>
      <c r="I162" t="str">
        <f>[5]trip_summary_region!I162</f>
        <v>Non-Household Travel</v>
      </c>
      <c r="J162" t="str">
        <f>[5]trip_summary_region!J162</f>
        <v>2042/43</v>
      </c>
    </row>
    <row r="163" spans="1:10" x14ac:dyDescent="0.2">
      <c r="A163" t="str">
        <f>[5]trip_summary_region!A163</f>
        <v>03 WAIKATO</v>
      </c>
      <c r="B163">
        <f>[5]trip_summary_region!B163</f>
        <v>0</v>
      </c>
      <c r="C163">
        <f>[5]trip_summary_region!C163</f>
        <v>2013</v>
      </c>
      <c r="D163">
        <f>[5]trip_summary_region!D163</f>
        <v>628</v>
      </c>
      <c r="E163">
        <f>[5]trip_summary_region!E163</f>
        <v>2089</v>
      </c>
      <c r="F163">
        <f>[5]trip_summary_region!F163</f>
        <v>68.689195601999998</v>
      </c>
      <c r="G163">
        <f>[5]trip_summary_region!G163</f>
        <v>52.675735545000002</v>
      </c>
      <c r="H163">
        <f>[5]trip_summary_region!H163</f>
        <v>13.69170819</v>
      </c>
      <c r="I163" t="str">
        <f>[5]trip_summary_region!I163</f>
        <v>Pedestrian</v>
      </c>
      <c r="J163" t="str">
        <f>[5]trip_summary_region!J163</f>
        <v>2012/13</v>
      </c>
    </row>
    <row r="164" spans="1:10" x14ac:dyDescent="0.2">
      <c r="A164" t="str">
        <f>[5]trip_summary_region!A164</f>
        <v>03 WAIKATO</v>
      </c>
      <c r="B164">
        <f>[5]trip_summary_region!B164</f>
        <v>0</v>
      </c>
      <c r="C164">
        <f>[5]trip_summary_region!C164</f>
        <v>2018</v>
      </c>
      <c r="D164">
        <f>[5]trip_summary_region!D164</f>
        <v>628</v>
      </c>
      <c r="E164">
        <f>[5]trip_summary_region!E164</f>
        <v>2089</v>
      </c>
      <c r="F164">
        <f>[5]trip_summary_region!F164</f>
        <v>72.258477494999994</v>
      </c>
      <c r="G164">
        <f>[5]trip_summary_region!G164</f>
        <v>55.208684005000002</v>
      </c>
      <c r="H164">
        <f>[5]trip_summary_region!H164</f>
        <v>14.304164049000001</v>
      </c>
      <c r="I164" t="str">
        <f>[5]trip_summary_region!I164</f>
        <v>Pedestrian</v>
      </c>
      <c r="J164" t="str">
        <f>[5]trip_summary_region!J164</f>
        <v>2017/18</v>
      </c>
    </row>
    <row r="165" spans="1:10" x14ac:dyDescent="0.2">
      <c r="A165" t="str">
        <f>[5]trip_summary_region!A165</f>
        <v>03 WAIKATO</v>
      </c>
      <c r="B165">
        <f>[5]trip_summary_region!B165</f>
        <v>0</v>
      </c>
      <c r="C165">
        <f>[5]trip_summary_region!C165</f>
        <v>2023</v>
      </c>
      <c r="D165">
        <f>[5]trip_summary_region!D165</f>
        <v>628</v>
      </c>
      <c r="E165">
        <f>[5]trip_summary_region!E165</f>
        <v>2089</v>
      </c>
      <c r="F165">
        <f>[5]trip_summary_region!F165</f>
        <v>74.409558212999997</v>
      </c>
      <c r="G165">
        <f>[5]trip_summary_region!G165</f>
        <v>56.795656989999998</v>
      </c>
      <c r="H165">
        <f>[5]trip_summary_region!H165</f>
        <v>14.694834445</v>
      </c>
      <c r="I165" t="str">
        <f>[5]trip_summary_region!I165</f>
        <v>Pedestrian</v>
      </c>
      <c r="J165" t="str">
        <f>[5]trip_summary_region!J165</f>
        <v>2022/23</v>
      </c>
    </row>
    <row r="166" spans="1:10" x14ac:dyDescent="0.2">
      <c r="A166" t="str">
        <f>[5]trip_summary_region!A166</f>
        <v>03 WAIKATO</v>
      </c>
      <c r="B166">
        <f>[5]trip_summary_region!B166</f>
        <v>0</v>
      </c>
      <c r="C166">
        <f>[5]trip_summary_region!C166</f>
        <v>2028</v>
      </c>
      <c r="D166">
        <f>[5]trip_summary_region!D166</f>
        <v>628</v>
      </c>
      <c r="E166">
        <f>[5]trip_summary_region!E166</f>
        <v>2089</v>
      </c>
      <c r="F166">
        <f>[5]trip_summary_region!F166</f>
        <v>76.011718606000002</v>
      </c>
      <c r="G166">
        <f>[5]trip_summary_region!G166</f>
        <v>57.514702135</v>
      </c>
      <c r="H166">
        <f>[5]trip_summary_region!H166</f>
        <v>14.856618224</v>
      </c>
      <c r="I166" t="str">
        <f>[5]trip_summary_region!I166</f>
        <v>Pedestrian</v>
      </c>
      <c r="J166" t="str">
        <f>[5]trip_summary_region!J166</f>
        <v>2027/28</v>
      </c>
    </row>
    <row r="167" spans="1:10" x14ac:dyDescent="0.2">
      <c r="A167" t="str">
        <f>[5]trip_summary_region!A167</f>
        <v>03 WAIKATO</v>
      </c>
      <c r="B167">
        <f>[5]trip_summary_region!B167</f>
        <v>0</v>
      </c>
      <c r="C167">
        <f>[5]trip_summary_region!C167</f>
        <v>2033</v>
      </c>
      <c r="D167">
        <f>[5]trip_summary_region!D167</f>
        <v>628</v>
      </c>
      <c r="E167">
        <f>[5]trip_summary_region!E167</f>
        <v>2089</v>
      </c>
      <c r="F167">
        <f>[5]trip_summary_region!F167</f>
        <v>76.862890426999996</v>
      </c>
      <c r="G167">
        <f>[5]trip_summary_region!G167</f>
        <v>57.542433349</v>
      </c>
      <c r="H167">
        <f>[5]trip_summary_region!H167</f>
        <v>14.87628525</v>
      </c>
      <c r="I167" t="str">
        <f>[5]trip_summary_region!I167</f>
        <v>Pedestrian</v>
      </c>
      <c r="J167" t="str">
        <f>[5]trip_summary_region!J167</f>
        <v>2032/33</v>
      </c>
    </row>
    <row r="168" spans="1:10" x14ac:dyDescent="0.2">
      <c r="A168" t="str">
        <f>[5]trip_summary_region!A168</f>
        <v>03 WAIKATO</v>
      </c>
      <c r="B168">
        <f>[5]trip_summary_region!B168</f>
        <v>0</v>
      </c>
      <c r="C168">
        <f>[5]trip_summary_region!C168</f>
        <v>2038</v>
      </c>
      <c r="D168">
        <f>[5]trip_summary_region!D168</f>
        <v>628</v>
      </c>
      <c r="E168">
        <f>[5]trip_summary_region!E168</f>
        <v>2089</v>
      </c>
      <c r="F168">
        <f>[5]trip_summary_region!F168</f>
        <v>76.811026482000003</v>
      </c>
      <c r="G168">
        <f>[5]trip_summary_region!G168</f>
        <v>57.249177396</v>
      </c>
      <c r="H168">
        <f>[5]trip_summary_region!H168</f>
        <v>14.766309467999999</v>
      </c>
      <c r="I168" t="str">
        <f>[5]trip_summary_region!I168</f>
        <v>Pedestrian</v>
      </c>
      <c r="J168" t="str">
        <f>[5]trip_summary_region!J168</f>
        <v>2037/38</v>
      </c>
    </row>
    <row r="169" spans="1:10" x14ac:dyDescent="0.2">
      <c r="A169" t="str">
        <f>[5]trip_summary_region!A169</f>
        <v>03 WAIKATO</v>
      </c>
      <c r="B169">
        <f>[5]trip_summary_region!B169</f>
        <v>0</v>
      </c>
      <c r="C169">
        <f>[5]trip_summary_region!C169</f>
        <v>2043</v>
      </c>
      <c r="D169">
        <f>[5]trip_summary_region!D169</f>
        <v>628</v>
      </c>
      <c r="E169">
        <f>[5]trip_summary_region!E169</f>
        <v>2089</v>
      </c>
      <c r="F169">
        <f>[5]trip_summary_region!F169</f>
        <v>76.484403732999994</v>
      </c>
      <c r="G169">
        <f>[5]trip_summary_region!G169</f>
        <v>56.789133544999999</v>
      </c>
      <c r="H169">
        <f>[5]trip_summary_region!H169</f>
        <v>14.605380390000001</v>
      </c>
      <c r="I169" t="str">
        <f>[5]trip_summary_region!I169</f>
        <v>Pedestrian</v>
      </c>
      <c r="J169" t="str">
        <f>[5]trip_summary_region!J169</f>
        <v>2042/43</v>
      </c>
    </row>
    <row r="170" spans="1:10" x14ac:dyDescent="0.2">
      <c r="A170" t="str">
        <f>[5]trip_summary_region!A170</f>
        <v>03 WAIKATO</v>
      </c>
      <c r="B170">
        <f>[5]trip_summary_region!B170</f>
        <v>1</v>
      </c>
      <c r="C170">
        <f>[5]trip_summary_region!C170</f>
        <v>2013</v>
      </c>
      <c r="D170">
        <f>[5]trip_summary_region!D170</f>
        <v>60</v>
      </c>
      <c r="E170">
        <f>[5]trip_summary_region!E170</f>
        <v>183</v>
      </c>
      <c r="F170">
        <f>[5]trip_summary_region!F170</f>
        <v>5.8956498267999997</v>
      </c>
      <c r="G170">
        <f>[5]trip_summary_region!G170</f>
        <v>21.829422874999999</v>
      </c>
      <c r="H170">
        <f>[5]trip_summary_region!H170</f>
        <v>1.7805943500000001</v>
      </c>
      <c r="I170" t="str">
        <f>[5]trip_summary_region!I170</f>
        <v>Cyclist</v>
      </c>
      <c r="J170" t="str">
        <f>[5]trip_summary_region!J170</f>
        <v>2012/13</v>
      </c>
    </row>
    <row r="171" spans="1:10" x14ac:dyDescent="0.2">
      <c r="A171" t="str">
        <f>[5]trip_summary_region!A171</f>
        <v>03 WAIKATO</v>
      </c>
      <c r="B171">
        <f>[5]trip_summary_region!B171</f>
        <v>1</v>
      </c>
      <c r="C171">
        <f>[5]trip_summary_region!C171</f>
        <v>2018</v>
      </c>
      <c r="D171">
        <f>[5]trip_summary_region!D171</f>
        <v>60</v>
      </c>
      <c r="E171">
        <f>[5]trip_summary_region!E171</f>
        <v>183</v>
      </c>
      <c r="F171">
        <f>[5]trip_summary_region!F171</f>
        <v>6.1860716909000004</v>
      </c>
      <c r="G171">
        <f>[5]trip_summary_region!G171</f>
        <v>22.632745491000001</v>
      </c>
      <c r="H171">
        <f>[5]trip_summary_region!H171</f>
        <v>1.8871609659999999</v>
      </c>
      <c r="I171" t="str">
        <f>[5]trip_summary_region!I171</f>
        <v>Cyclist</v>
      </c>
      <c r="J171" t="str">
        <f>[5]trip_summary_region!J171</f>
        <v>2017/18</v>
      </c>
    </row>
    <row r="172" spans="1:10" x14ac:dyDescent="0.2">
      <c r="A172" t="str">
        <f>[5]trip_summary_region!A172</f>
        <v>03 WAIKATO</v>
      </c>
      <c r="B172">
        <f>[5]trip_summary_region!B172</f>
        <v>1</v>
      </c>
      <c r="C172">
        <f>[5]trip_summary_region!C172</f>
        <v>2023</v>
      </c>
      <c r="D172">
        <f>[5]trip_summary_region!D172</f>
        <v>60</v>
      </c>
      <c r="E172">
        <f>[5]trip_summary_region!E172</f>
        <v>183</v>
      </c>
      <c r="F172">
        <f>[5]trip_summary_region!F172</f>
        <v>6.4966932080999999</v>
      </c>
      <c r="G172">
        <f>[5]trip_summary_region!G172</f>
        <v>23.324990079999999</v>
      </c>
      <c r="H172">
        <f>[5]trip_summary_region!H172</f>
        <v>1.9906934175</v>
      </c>
      <c r="I172" t="str">
        <f>[5]trip_summary_region!I172</f>
        <v>Cyclist</v>
      </c>
      <c r="J172" t="str">
        <f>[5]trip_summary_region!J172</f>
        <v>2022/23</v>
      </c>
    </row>
    <row r="173" spans="1:10" x14ac:dyDescent="0.2">
      <c r="A173" t="str">
        <f>[5]trip_summary_region!A173</f>
        <v>03 WAIKATO</v>
      </c>
      <c r="B173">
        <f>[5]trip_summary_region!B173</f>
        <v>1</v>
      </c>
      <c r="C173">
        <f>[5]trip_summary_region!C173</f>
        <v>2028</v>
      </c>
      <c r="D173">
        <f>[5]trip_summary_region!D173</f>
        <v>60</v>
      </c>
      <c r="E173">
        <f>[5]trip_summary_region!E173</f>
        <v>183</v>
      </c>
      <c r="F173">
        <f>[5]trip_summary_region!F173</f>
        <v>6.6651491368000002</v>
      </c>
      <c r="G173">
        <f>[5]trip_summary_region!G173</f>
        <v>23.438016534999999</v>
      </c>
      <c r="H173">
        <f>[5]trip_summary_region!H173</f>
        <v>2.0367725298999999</v>
      </c>
      <c r="I173" t="str">
        <f>[5]trip_summary_region!I173</f>
        <v>Cyclist</v>
      </c>
      <c r="J173" t="str">
        <f>[5]trip_summary_region!J173</f>
        <v>2027/28</v>
      </c>
    </row>
    <row r="174" spans="1:10" x14ac:dyDescent="0.2">
      <c r="A174" t="str">
        <f>[5]trip_summary_region!A174</f>
        <v>03 WAIKATO</v>
      </c>
      <c r="B174">
        <f>[5]trip_summary_region!B174</f>
        <v>1</v>
      </c>
      <c r="C174">
        <f>[5]trip_summary_region!C174</f>
        <v>2033</v>
      </c>
      <c r="D174">
        <f>[5]trip_summary_region!D174</f>
        <v>60</v>
      </c>
      <c r="E174">
        <f>[5]trip_summary_region!E174</f>
        <v>183</v>
      </c>
      <c r="F174">
        <f>[5]trip_summary_region!F174</f>
        <v>6.8642567968000003</v>
      </c>
      <c r="G174">
        <f>[5]trip_summary_region!G174</f>
        <v>23.609239747</v>
      </c>
      <c r="H174">
        <f>[5]trip_summary_region!H174</f>
        <v>2.090863111</v>
      </c>
      <c r="I174" t="str">
        <f>[5]trip_summary_region!I174</f>
        <v>Cyclist</v>
      </c>
      <c r="J174" t="str">
        <f>[5]trip_summary_region!J174</f>
        <v>2032/33</v>
      </c>
    </row>
    <row r="175" spans="1:10" x14ac:dyDescent="0.2">
      <c r="A175" t="str">
        <f>[5]trip_summary_region!A175</f>
        <v>03 WAIKATO</v>
      </c>
      <c r="B175">
        <f>[5]trip_summary_region!B175</f>
        <v>1</v>
      </c>
      <c r="C175">
        <f>[5]trip_summary_region!C175</f>
        <v>2038</v>
      </c>
      <c r="D175">
        <f>[5]trip_summary_region!D175</f>
        <v>60</v>
      </c>
      <c r="E175">
        <f>[5]trip_summary_region!E175</f>
        <v>183</v>
      </c>
      <c r="F175">
        <f>[5]trip_summary_region!F175</f>
        <v>7.1187575123000002</v>
      </c>
      <c r="G175">
        <f>[5]trip_summary_region!G175</f>
        <v>23.773394965000001</v>
      </c>
      <c r="H175">
        <f>[5]trip_summary_region!H175</f>
        <v>2.1719885346000001</v>
      </c>
      <c r="I175" t="str">
        <f>[5]trip_summary_region!I175</f>
        <v>Cyclist</v>
      </c>
      <c r="J175" t="str">
        <f>[5]trip_summary_region!J175</f>
        <v>2037/38</v>
      </c>
    </row>
    <row r="176" spans="1:10" x14ac:dyDescent="0.2">
      <c r="A176" t="str">
        <f>[5]trip_summary_region!A176</f>
        <v>03 WAIKATO</v>
      </c>
      <c r="B176">
        <f>[5]trip_summary_region!B176</f>
        <v>1</v>
      </c>
      <c r="C176">
        <f>[5]trip_summary_region!C176</f>
        <v>2043</v>
      </c>
      <c r="D176">
        <f>[5]trip_summary_region!D176</f>
        <v>60</v>
      </c>
      <c r="E176">
        <f>[5]trip_summary_region!E176</f>
        <v>183</v>
      </c>
      <c r="F176">
        <f>[5]trip_summary_region!F176</f>
        <v>7.3805511666000001</v>
      </c>
      <c r="G176">
        <f>[5]trip_summary_region!G176</f>
        <v>23.845457355000001</v>
      </c>
      <c r="H176">
        <f>[5]trip_summary_region!H176</f>
        <v>2.2572545791</v>
      </c>
      <c r="I176" t="str">
        <f>[5]trip_summary_region!I176</f>
        <v>Cyclist</v>
      </c>
      <c r="J176" t="str">
        <f>[5]trip_summary_region!J176</f>
        <v>2042/43</v>
      </c>
    </row>
    <row r="177" spans="1:10" x14ac:dyDescent="0.2">
      <c r="A177" t="str">
        <f>[5]trip_summary_region!A177</f>
        <v>03 WAIKATO</v>
      </c>
      <c r="B177">
        <f>[5]trip_summary_region!B177</f>
        <v>2</v>
      </c>
      <c r="C177">
        <f>[5]trip_summary_region!C177</f>
        <v>2013</v>
      </c>
      <c r="D177">
        <f>[5]trip_summary_region!D177</f>
        <v>1302</v>
      </c>
      <c r="E177">
        <f>[5]trip_summary_region!E177</f>
        <v>9074</v>
      </c>
      <c r="F177">
        <f>[5]trip_summary_region!F177</f>
        <v>305.41478153000003</v>
      </c>
      <c r="G177">
        <f>[5]trip_summary_region!G177</f>
        <v>3709.9843593000001</v>
      </c>
      <c r="H177">
        <f>[5]trip_summary_region!H177</f>
        <v>82.274552721999996</v>
      </c>
      <c r="I177" t="str">
        <f>[5]trip_summary_region!I177</f>
        <v>Light Vehicle Driver</v>
      </c>
      <c r="J177" t="str">
        <f>[5]trip_summary_region!J177</f>
        <v>2012/13</v>
      </c>
    </row>
    <row r="178" spans="1:10" x14ac:dyDescent="0.2">
      <c r="A178" t="str">
        <f>[5]trip_summary_region!A178</f>
        <v>03 WAIKATO</v>
      </c>
      <c r="B178">
        <f>[5]trip_summary_region!B178</f>
        <v>2</v>
      </c>
      <c r="C178">
        <f>[5]trip_summary_region!C178</f>
        <v>2018</v>
      </c>
      <c r="D178">
        <f>[5]trip_summary_region!D178</f>
        <v>1302</v>
      </c>
      <c r="E178">
        <f>[5]trip_summary_region!E178</f>
        <v>9074</v>
      </c>
      <c r="F178">
        <f>[5]trip_summary_region!F178</f>
        <v>330.29876482999998</v>
      </c>
      <c r="G178">
        <f>[5]trip_summary_region!G178</f>
        <v>4002.4446392</v>
      </c>
      <c r="H178">
        <f>[5]trip_summary_region!H178</f>
        <v>88.893635059999994</v>
      </c>
      <c r="I178" t="str">
        <f>[5]trip_summary_region!I178</f>
        <v>Light Vehicle Driver</v>
      </c>
      <c r="J178" t="str">
        <f>[5]trip_summary_region!J178</f>
        <v>2017/18</v>
      </c>
    </row>
    <row r="179" spans="1:10" x14ac:dyDescent="0.2">
      <c r="A179" t="str">
        <f>[5]trip_summary_region!A179</f>
        <v>03 WAIKATO</v>
      </c>
      <c r="B179">
        <f>[5]trip_summary_region!B179</f>
        <v>2</v>
      </c>
      <c r="C179">
        <f>[5]trip_summary_region!C179</f>
        <v>2023</v>
      </c>
      <c r="D179">
        <f>[5]trip_summary_region!D179</f>
        <v>1302</v>
      </c>
      <c r="E179">
        <f>[5]trip_summary_region!E179</f>
        <v>9074</v>
      </c>
      <c r="F179">
        <f>[5]trip_summary_region!F179</f>
        <v>345.21511448000001</v>
      </c>
      <c r="G179">
        <f>[5]trip_summary_region!G179</f>
        <v>4182.2287169000001</v>
      </c>
      <c r="H179">
        <f>[5]trip_summary_region!H179</f>
        <v>92.839139782999993</v>
      </c>
      <c r="I179" t="str">
        <f>[5]trip_summary_region!I179</f>
        <v>Light Vehicle Driver</v>
      </c>
      <c r="J179" t="str">
        <f>[5]trip_summary_region!J179</f>
        <v>2022/23</v>
      </c>
    </row>
    <row r="180" spans="1:10" x14ac:dyDescent="0.2">
      <c r="A180" t="str">
        <f>[5]trip_summary_region!A180</f>
        <v>03 WAIKATO</v>
      </c>
      <c r="B180">
        <f>[5]trip_summary_region!B180</f>
        <v>2</v>
      </c>
      <c r="C180">
        <f>[5]trip_summary_region!C180</f>
        <v>2028</v>
      </c>
      <c r="D180">
        <f>[5]trip_summary_region!D180</f>
        <v>1302</v>
      </c>
      <c r="E180">
        <f>[5]trip_summary_region!E180</f>
        <v>9074</v>
      </c>
      <c r="F180">
        <f>[5]trip_summary_region!F180</f>
        <v>359.81501169000001</v>
      </c>
      <c r="G180">
        <f>[5]trip_summary_region!G180</f>
        <v>4359.7222639000001</v>
      </c>
      <c r="H180">
        <f>[5]trip_summary_region!H180</f>
        <v>96.698583576999994</v>
      </c>
      <c r="I180" t="str">
        <f>[5]trip_summary_region!I180</f>
        <v>Light Vehicle Driver</v>
      </c>
      <c r="J180" t="str">
        <f>[5]trip_summary_region!J180</f>
        <v>2027/28</v>
      </c>
    </row>
    <row r="181" spans="1:10" x14ac:dyDescent="0.2">
      <c r="A181" t="str">
        <f>[5]trip_summary_region!A181</f>
        <v>03 WAIKATO</v>
      </c>
      <c r="B181">
        <f>[5]trip_summary_region!B181</f>
        <v>2</v>
      </c>
      <c r="C181">
        <f>[5]trip_summary_region!C181</f>
        <v>2033</v>
      </c>
      <c r="D181">
        <f>[5]trip_summary_region!D181</f>
        <v>1302</v>
      </c>
      <c r="E181">
        <f>[5]trip_summary_region!E181</f>
        <v>9074</v>
      </c>
      <c r="F181">
        <f>[5]trip_summary_region!F181</f>
        <v>372.43632517999998</v>
      </c>
      <c r="G181">
        <f>[5]trip_summary_region!G181</f>
        <v>4510.7520056000003</v>
      </c>
      <c r="H181">
        <f>[5]trip_summary_region!H181</f>
        <v>99.973836821999996</v>
      </c>
      <c r="I181" t="str">
        <f>[5]trip_summary_region!I181</f>
        <v>Light Vehicle Driver</v>
      </c>
      <c r="J181" t="str">
        <f>[5]trip_summary_region!J181</f>
        <v>2032/33</v>
      </c>
    </row>
    <row r="182" spans="1:10" x14ac:dyDescent="0.2">
      <c r="A182" t="str">
        <f>[5]trip_summary_region!A182</f>
        <v>03 WAIKATO</v>
      </c>
      <c r="B182">
        <f>[5]trip_summary_region!B182</f>
        <v>2</v>
      </c>
      <c r="C182">
        <f>[5]trip_summary_region!C182</f>
        <v>2038</v>
      </c>
      <c r="D182">
        <f>[5]trip_summary_region!D182</f>
        <v>1302</v>
      </c>
      <c r="E182">
        <f>[5]trip_summary_region!E182</f>
        <v>9074</v>
      </c>
      <c r="F182">
        <f>[5]trip_summary_region!F182</f>
        <v>379.88178004000002</v>
      </c>
      <c r="G182">
        <f>[5]trip_summary_region!G182</f>
        <v>4600.8706493999998</v>
      </c>
      <c r="H182">
        <f>[5]trip_summary_region!H182</f>
        <v>101.88054483000001</v>
      </c>
      <c r="I182" t="str">
        <f>[5]trip_summary_region!I182</f>
        <v>Light Vehicle Driver</v>
      </c>
      <c r="J182" t="str">
        <f>[5]trip_summary_region!J182</f>
        <v>2037/38</v>
      </c>
    </row>
    <row r="183" spans="1:10" x14ac:dyDescent="0.2">
      <c r="A183" t="str">
        <f>[5]trip_summary_region!A183</f>
        <v>03 WAIKATO</v>
      </c>
      <c r="B183">
        <f>[5]trip_summary_region!B183</f>
        <v>2</v>
      </c>
      <c r="C183">
        <f>[5]trip_summary_region!C183</f>
        <v>2043</v>
      </c>
      <c r="D183">
        <f>[5]trip_summary_region!D183</f>
        <v>1302</v>
      </c>
      <c r="E183">
        <f>[5]trip_summary_region!E183</f>
        <v>9074</v>
      </c>
      <c r="F183">
        <f>[5]trip_summary_region!F183</f>
        <v>385.66445700999998</v>
      </c>
      <c r="G183">
        <f>[5]trip_summary_region!G183</f>
        <v>4670.4442607999999</v>
      </c>
      <c r="H183">
        <f>[5]trip_summary_region!H183</f>
        <v>103.34460266000001</v>
      </c>
      <c r="I183" t="str">
        <f>[5]trip_summary_region!I183</f>
        <v>Light Vehicle Driver</v>
      </c>
      <c r="J183" t="str">
        <f>[5]trip_summary_region!J183</f>
        <v>2042/43</v>
      </c>
    </row>
    <row r="184" spans="1:10" x14ac:dyDescent="0.2">
      <c r="A184" t="str">
        <f>[5]trip_summary_region!A184</f>
        <v>03 WAIKATO</v>
      </c>
      <c r="B184">
        <f>[5]trip_summary_region!B184</f>
        <v>3</v>
      </c>
      <c r="C184">
        <f>[5]trip_summary_region!C184</f>
        <v>2013</v>
      </c>
      <c r="D184">
        <f>[5]trip_summary_region!D184</f>
        <v>931</v>
      </c>
      <c r="E184">
        <f>[5]trip_summary_region!E184</f>
        <v>4349</v>
      </c>
      <c r="F184">
        <f>[5]trip_summary_region!F184</f>
        <v>139.07206360000001</v>
      </c>
      <c r="G184">
        <f>[5]trip_summary_region!G184</f>
        <v>1955.0668243</v>
      </c>
      <c r="H184">
        <f>[5]trip_summary_region!H184</f>
        <v>42.037273755000001</v>
      </c>
      <c r="I184" t="str">
        <f>[5]trip_summary_region!I184</f>
        <v>Light Vehicle Passenger</v>
      </c>
      <c r="J184" t="str">
        <f>[5]trip_summary_region!J184</f>
        <v>2012/13</v>
      </c>
    </row>
    <row r="185" spans="1:10" x14ac:dyDescent="0.2">
      <c r="A185" t="str">
        <f>[5]trip_summary_region!A185</f>
        <v>03 WAIKATO</v>
      </c>
      <c r="B185">
        <f>[5]trip_summary_region!B185</f>
        <v>3</v>
      </c>
      <c r="C185">
        <f>[5]trip_summary_region!C185</f>
        <v>2018</v>
      </c>
      <c r="D185">
        <f>[5]trip_summary_region!D185</f>
        <v>931</v>
      </c>
      <c r="E185">
        <f>[5]trip_summary_region!E185</f>
        <v>4349</v>
      </c>
      <c r="F185">
        <f>[5]trip_summary_region!F185</f>
        <v>142.11637804</v>
      </c>
      <c r="G185">
        <f>[5]trip_summary_region!G185</f>
        <v>2033.7490640000001</v>
      </c>
      <c r="H185">
        <f>[5]trip_summary_region!H185</f>
        <v>43.521482438</v>
      </c>
      <c r="I185" t="str">
        <f>[5]trip_summary_region!I185</f>
        <v>Light Vehicle Passenger</v>
      </c>
      <c r="J185" t="str">
        <f>[5]trip_summary_region!J185</f>
        <v>2017/18</v>
      </c>
    </row>
    <row r="186" spans="1:10" x14ac:dyDescent="0.2">
      <c r="A186" t="str">
        <f>[5]trip_summary_region!A186</f>
        <v>03 WAIKATO</v>
      </c>
      <c r="B186">
        <f>[5]trip_summary_region!B186</f>
        <v>3</v>
      </c>
      <c r="C186">
        <f>[5]trip_summary_region!C186</f>
        <v>2023</v>
      </c>
      <c r="D186">
        <f>[5]trip_summary_region!D186</f>
        <v>931</v>
      </c>
      <c r="E186">
        <f>[5]trip_summary_region!E186</f>
        <v>4349</v>
      </c>
      <c r="F186">
        <f>[5]trip_summary_region!F186</f>
        <v>143.79781371000001</v>
      </c>
      <c r="G186">
        <f>[5]trip_summary_region!G186</f>
        <v>2076.9316530999999</v>
      </c>
      <c r="H186">
        <f>[5]trip_summary_region!H186</f>
        <v>44.346513686000002</v>
      </c>
      <c r="I186" t="str">
        <f>[5]trip_summary_region!I186</f>
        <v>Light Vehicle Passenger</v>
      </c>
      <c r="J186" t="str">
        <f>[5]trip_summary_region!J186</f>
        <v>2022/23</v>
      </c>
    </row>
    <row r="187" spans="1:10" x14ac:dyDescent="0.2">
      <c r="A187" t="str">
        <f>[5]trip_summary_region!A187</f>
        <v>03 WAIKATO</v>
      </c>
      <c r="B187">
        <f>[5]trip_summary_region!B187</f>
        <v>3</v>
      </c>
      <c r="C187">
        <f>[5]trip_summary_region!C187</f>
        <v>2028</v>
      </c>
      <c r="D187">
        <f>[5]trip_summary_region!D187</f>
        <v>931</v>
      </c>
      <c r="E187">
        <f>[5]trip_summary_region!E187</f>
        <v>4349</v>
      </c>
      <c r="F187">
        <f>[5]trip_summary_region!F187</f>
        <v>144.99975484999999</v>
      </c>
      <c r="G187">
        <f>[5]trip_summary_region!G187</f>
        <v>2108.1734858999998</v>
      </c>
      <c r="H187">
        <f>[5]trip_summary_region!H187</f>
        <v>44.933746507000002</v>
      </c>
      <c r="I187" t="str">
        <f>[5]trip_summary_region!I187</f>
        <v>Light Vehicle Passenger</v>
      </c>
      <c r="J187" t="str">
        <f>[5]trip_summary_region!J187</f>
        <v>2027/28</v>
      </c>
    </row>
    <row r="188" spans="1:10" x14ac:dyDescent="0.2">
      <c r="A188" t="str">
        <f>[5]trip_summary_region!A188</f>
        <v>03 WAIKATO</v>
      </c>
      <c r="B188">
        <f>[5]trip_summary_region!B188</f>
        <v>3</v>
      </c>
      <c r="C188">
        <f>[5]trip_summary_region!C188</f>
        <v>2033</v>
      </c>
      <c r="D188">
        <f>[5]trip_summary_region!D188</f>
        <v>931</v>
      </c>
      <c r="E188">
        <f>[5]trip_summary_region!E188</f>
        <v>4349</v>
      </c>
      <c r="F188">
        <f>[5]trip_summary_region!F188</f>
        <v>146.48890739999999</v>
      </c>
      <c r="G188">
        <f>[5]trip_summary_region!G188</f>
        <v>2139.4295701999999</v>
      </c>
      <c r="H188">
        <f>[5]trip_summary_region!H188</f>
        <v>45.535976818999998</v>
      </c>
      <c r="I188" t="str">
        <f>[5]trip_summary_region!I188</f>
        <v>Light Vehicle Passenger</v>
      </c>
      <c r="J188" t="str">
        <f>[5]trip_summary_region!J188</f>
        <v>2032/33</v>
      </c>
    </row>
    <row r="189" spans="1:10" x14ac:dyDescent="0.2">
      <c r="A189" t="str">
        <f>[5]trip_summary_region!A189</f>
        <v>03 WAIKATO</v>
      </c>
      <c r="B189">
        <f>[5]trip_summary_region!B189</f>
        <v>3</v>
      </c>
      <c r="C189">
        <f>[5]trip_summary_region!C189</f>
        <v>2038</v>
      </c>
      <c r="D189">
        <f>[5]trip_summary_region!D189</f>
        <v>931</v>
      </c>
      <c r="E189">
        <f>[5]trip_summary_region!E189</f>
        <v>4349</v>
      </c>
      <c r="F189">
        <f>[5]trip_summary_region!F189</f>
        <v>146.38801282</v>
      </c>
      <c r="G189">
        <f>[5]trip_summary_region!G189</f>
        <v>2144.2184969</v>
      </c>
      <c r="H189">
        <f>[5]trip_summary_region!H189</f>
        <v>45.602521842000002</v>
      </c>
      <c r="I189" t="str">
        <f>[5]trip_summary_region!I189</f>
        <v>Light Vehicle Passenger</v>
      </c>
      <c r="J189" t="str">
        <f>[5]trip_summary_region!J189</f>
        <v>2037/38</v>
      </c>
    </row>
    <row r="190" spans="1:10" x14ac:dyDescent="0.2">
      <c r="A190" t="str">
        <f>[5]trip_summary_region!A190</f>
        <v>03 WAIKATO</v>
      </c>
      <c r="B190">
        <f>[5]trip_summary_region!B190</f>
        <v>3</v>
      </c>
      <c r="C190">
        <f>[5]trip_summary_region!C190</f>
        <v>2043</v>
      </c>
      <c r="D190">
        <f>[5]trip_summary_region!D190</f>
        <v>931</v>
      </c>
      <c r="E190">
        <f>[5]trip_summary_region!E190</f>
        <v>4349</v>
      </c>
      <c r="F190">
        <f>[5]trip_summary_region!F190</f>
        <v>145.37489722000001</v>
      </c>
      <c r="G190">
        <f>[5]trip_summary_region!G190</f>
        <v>2134.7262110000001</v>
      </c>
      <c r="H190">
        <f>[5]trip_summary_region!H190</f>
        <v>45.374472976</v>
      </c>
      <c r="I190" t="str">
        <f>[5]trip_summary_region!I190</f>
        <v>Light Vehicle Passenger</v>
      </c>
      <c r="J190" t="str">
        <f>[5]trip_summary_region!J190</f>
        <v>2042/43</v>
      </c>
    </row>
    <row r="191" spans="1:10" x14ac:dyDescent="0.2">
      <c r="A191" t="str">
        <f>[5]trip_summary_region!A191</f>
        <v>03 WAIKATO</v>
      </c>
      <c r="B191">
        <f>[5]trip_summary_region!B191</f>
        <v>4</v>
      </c>
      <c r="C191">
        <f>[5]trip_summary_region!C191</f>
        <v>2013</v>
      </c>
      <c r="D191">
        <f>[5]trip_summary_region!D191</f>
        <v>13</v>
      </c>
      <c r="E191">
        <f>[5]trip_summary_region!E191</f>
        <v>20</v>
      </c>
      <c r="F191">
        <f>[5]trip_summary_region!F191</f>
        <v>0.69122996950000004</v>
      </c>
      <c r="G191">
        <f>[5]trip_summary_region!G191</f>
        <v>2.4426175743999998</v>
      </c>
      <c r="H191">
        <f>[5]trip_summary_region!H191</f>
        <v>0.1633822556</v>
      </c>
      <c r="I191" t="s">
        <v>116</v>
      </c>
      <c r="J191" t="str">
        <f>[5]trip_summary_region!J191</f>
        <v>2012/13</v>
      </c>
    </row>
    <row r="192" spans="1:10" x14ac:dyDescent="0.2">
      <c r="A192" t="str">
        <f>[5]trip_summary_region!A192</f>
        <v>03 WAIKATO</v>
      </c>
      <c r="B192">
        <f>[5]trip_summary_region!B192</f>
        <v>4</v>
      </c>
      <c r="C192">
        <f>[5]trip_summary_region!C192</f>
        <v>2018</v>
      </c>
      <c r="D192">
        <f>[5]trip_summary_region!D192</f>
        <v>13</v>
      </c>
      <c r="E192">
        <f>[5]trip_summary_region!E192</f>
        <v>20</v>
      </c>
      <c r="F192">
        <f>[5]trip_summary_region!F192</f>
        <v>0.81565700559999998</v>
      </c>
      <c r="G192">
        <f>[5]trip_summary_region!G192</f>
        <v>2.9879469715</v>
      </c>
      <c r="H192">
        <f>[5]trip_summary_region!H192</f>
        <v>0.19543850779999999</v>
      </c>
      <c r="I192" t="s">
        <v>116</v>
      </c>
      <c r="J192" t="str">
        <f>[5]trip_summary_region!J192</f>
        <v>2017/18</v>
      </c>
    </row>
    <row r="193" spans="1:10" x14ac:dyDescent="0.2">
      <c r="A193" t="str">
        <f>[5]trip_summary_region!A193</f>
        <v>03 WAIKATO</v>
      </c>
      <c r="B193">
        <f>[5]trip_summary_region!B193</f>
        <v>4</v>
      </c>
      <c r="C193">
        <f>[5]trip_summary_region!C193</f>
        <v>2023</v>
      </c>
      <c r="D193">
        <f>[5]trip_summary_region!D193</f>
        <v>13</v>
      </c>
      <c r="E193">
        <f>[5]trip_summary_region!E193</f>
        <v>20</v>
      </c>
      <c r="F193">
        <f>[5]trip_summary_region!F193</f>
        <v>0.89059021719999998</v>
      </c>
      <c r="G193">
        <f>[5]trip_summary_region!G193</f>
        <v>3.3605150725000001</v>
      </c>
      <c r="H193">
        <f>[5]trip_summary_region!H193</f>
        <v>0.21613281409999999</v>
      </c>
      <c r="I193" t="s">
        <v>116</v>
      </c>
      <c r="J193" t="str">
        <f>[5]trip_summary_region!J193</f>
        <v>2022/23</v>
      </c>
    </row>
    <row r="194" spans="1:10" x14ac:dyDescent="0.2">
      <c r="A194" t="str">
        <f>[5]trip_summary_region!A194</f>
        <v>03 WAIKATO</v>
      </c>
      <c r="B194">
        <f>[5]trip_summary_region!B194</f>
        <v>4</v>
      </c>
      <c r="C194">
        <f>[5]trip_summary_region!C194</f>
        <v>2028</v>
      </c>
      <c r="D194">
        <f>[5]trip_summary_region!D194</f>
        <v>13</v>
      </c>
      <c r="E194">
        <f>[5]trip_summary_region!E194</f>
        <v>20</v>
      </c>
      <c r="F194">
        <f>[5]trip_summary_region!F194</f>
        <v>0.92931547489999999</v>
      </c>
      <c r="G194">
        <f>[5]trip_summary_region!G194</f>
        <v>3.6563511143</v>
      </c>
      <c r="H194">
        <f>[5]trip_summary_region!H194</f>
        <v>0.230939691</v>
      </c>
      <c r="I194" t="s">
        <v>116</v>
      </c>
      <c r="J194" t="str">
        <f>[5]trip_summary_region!J194</f>
        <v>2027/28</v>
      </c>
    </row>
    <row r="195" spans="1:10" x14ac:dyDescent="0.2">
      <c r="A195" t="str">
        <f>[5]trip_summary_region!A195</f>
        <v>03 WAIKATO</v>
      </c>
      <c r="B195">
        <f>[5]trip_summary_region!B195</f>
        <v>4</v>
      </c>
      <c r="C195">
        <f>[5]trip_summary_region!C195</f>
        <v>2033</v>
      </c>
      <c r="D195">
        <f>[5]trip_summary_region!D195</f>
        <v>13</v>
      </c>
      <c r="E195">
        <f>[5]trip_summary_region!E195</f>
        <v>20</v>
      </c>
      <c r="F195">
        <f>[5]trip_summary_region!F195</f>
        <v>0.95376628990000001</v>
      </c>
      <c r="G195">
        <f>[5]trip_summary_region!G195</f>
        <v>3.8724128494999999</v>
      </c>
      <c r="H195">
        <f>[5]trip_summary_region!H195</f>
        <v>0.24086022679999999</v>
      </c>
      <c r="I195" t="s">
        <v>116</v>
      </c>
      <c r="J195" t="str">
        <f>[5]trip_summary_region!J195</f>
        <v>2032/33</v>
      </c>
    </row>
    <row r="196" spans="1:10" x14ac:dyDescent="0.2">
      <c r="A196" t="str">
        <f>[5]trip_summary_region!A196</f>
        <v>03 WAIKATO</v>
      </c>
      <c r="B196">
        <f>[5]trip_summary_region!B196</f>
        <v>4</v>
      </c>
      <c r="C196">
        <f>[5]trip_summary_region!C196</f>
        <v>2038</v>
      </c>
      <c r="D196">
        <f>[5]trip_summary_region!D196</f>
        <v>13</v>
      </c>
      <c r="E196">
        <f>[5]trip_summary_region!E196</f>
        <v>20</v>
      </c>
      <c r="F196">
        <f>[5]trip_summary_region!F196</f>
        <v>0.9510391534</v>
      </c>
      <c r="G196">
        <f>[5]trip_summary_region!G196</f>
        <v>3.9639561427999999</v>
      </c>
      <c r="H196">
        <f>[5]trip_summary_region!H196</f>
        <v>0.24114815479999999</v>
      </c>
      <c r="I196" t="s">
        <v>116</v>
      </c>
      <c r="J196" t="str">
        <f>[5]trip_summary_region!J196</f>
        <v>2037/38</v>
      </c>
    </row>
    <row r="197" spans="1:10" x14ac:dyDescent="0.2">
      <c r="A197" t="str">
        <f>[5]trip_summary_region!A197</f>
        <v>03 WAIKATO</v>
      </c>
      <c r="B197">
        <f>[5]trip_summary_region!B197</f>
        <v>4</v>
      </c>
      <c r="C197">
        <f>[5]trip_summary_region!C197</f>
        <v>2043</v>
      </c>
      <c r="D197">
        <f>[5]trip_summary_region!D197</f>
        <v>13</v>
      </c>
      <c r="E197">
        <f>[5]trip_summary_region!E197</f>
        <v>20</v>
      </c>
      <c r="F197">
        <f>[5]trip_summary_region!F197</f>
        <v>0.94668030140000003</v>
      </c>
      <c r="G197">
        <f>[5]trip_summary_region!G197</f>
        <v>4.0583560696000003</v>
      </c>
      <c r="H197">
        <f>[5]trip_summary_region!H197</f>
        <v>0.2412706016</v>
      </c>
      <c r="I197" t="s">
        <v>116</v>
      </c>
      <c r="J197" t="str">
        <f>[5]trip_summary_region!J197</f>
        <v>2042/43</v>
      </c>
    </row>
    <row r="198" spans="1:10" x14ac:dyDescent="0.2">
      <c r="A198" t="str">
        <f>[5]trip_summary_region!A198</f>
        <v>03 WAIKATO</v>
      </c>
      <c r="B198">
        <f>[5]trip_summary_region!B198</f>
        <v>5</v>
      </c>
      <c r="C198">
        <f>[5]trip_summary_region!C198</f>
        <v>2013</v>
      </c>
      <c r="D198">
        <f>[5]trip_summary_region!D198</f>
        <v>16</v>
      </c>
      <c r="E198">
        <f>[5]trip_summary_region!E198</f>
        <v>51</v>
      </c>
      <c r="F198">
        <f>[5]trip_summary_region!F198</f>
        <v>1.8680965575999999</v>
      </c>
      <c r="G198">
        <f>[5]trip_summary_region!G198</f>
        <v>38.030338682999997</v>
      </c>
      <c r="H198">
        <f>[5]trip_summary_region!H198</f>
        <v>0.60639269429999998</v>
      </c>
      <c r="I198" t="str">
        <f>[5]trip_summary_region!I198</f>
        <v>Motorcyclist</v>
      </c>
      <c r="J198" t="str">
        <f>[5]trip_summary_region!J198</f>
        <v>2012/13</v>
      </c>
    </row>
    <row r="199" spans="1:10" x14ac:dyDescent="0.2">
      <c r="A199" t="str">
        <f>[5]trip_summary_region!A199</f>
        <v>03 WAIKATO</v>
      </c>
      <c r="B199">
        <f>[5]trip_summary_region!B199</f>
        <v>5</v>
      </c>
      <c r="C199">
        <f>[5]trip_summary_region!C199</f>
        <v>2018</v>
      </c>
      <c r="D199">
        <f>[5]trip_summary_region!D199</f>
        <v>16</v>
      </c>
      <c r="E199">
        <f>[5]trip_summary_region!E199</f>
        <v>51</v>
      </c>
      <c r="F199">
        <f>[5]trip_summary_region!F199</f>
        <v>1.8105065215</v>
      </c>
      <c r="G199">
        <f>[5]trip_summary_region!G199</f>
        <v>39.067269113999998</v>
      </c>
      <c r="H199">
        <f>[5]trip_summary_region!H199</f>
        <v>0.60472408720000004</v>
      </c>
      <c r="I199" t="str">
        <f>[5]trip_summary_region!I199</f>
        <v>Motorcyclist</v>
      </c>
      <c r="J199" t="str">
        <f>[5]trip_summary_region!J199</f>
        <v>2017/18</v>
      </c>
    </row>
    <row r="200" spans="1:10" x14ac:dyDescent="0.2">
      <c r="A200" t="str">
        <f>[5]trip_summary_region!A200</f>
        <v>03 WAIKATO</v>
      </c>
      <c r="B200">
        <f>[5]trip_summary_region!B200</f>
        <v>5</v>
      </c>
      <c r="C200">
        <f>[5]trip_summary_region!C200</f>
        <v>2023</v>
      </c>
      <c r="D200">
        <f>[5]trip_summary_region!D200</f>
        <v>16</v>
      </c>
      <c r="E200">
        <f>[5]trip_summary_region!E200</f>
        <v>51</v>
      </c>
      <c r="F200">
        <f>[5]trip_summary_region!F200</f>
        <v>1.7566280296000001</v>
      </c>
      <c r="G200">
        <f>[5]trip_summary_region!G200</f>
        <v>39.341600004</v>
      </c>
      <c r="H200">
        <f>[5]trip_summary_region!H200</f>
        <v>0.60112393710000001</v>
      </c>
      <c r="I200" t="str">
        <f>[5]trip_summary_region!I200</f>
        <v>Motorcyclist</v>
      </c>
      <c r="J200" t="str">
        <f>[5]trip_summary_region!J200</f>
        <v>2022/23</v>
      </c>
    </row>
    <row r="201" spans="1:10" x14ac:dyDescent="0.2">
      <c r="A201" t="str">
        <f>[5]trip_summary_region!A201</f>
        <v>03 WAIKATO</v>
      </c>
      <c r="B201">
        <f>[5]trip_summary_region!B201</f>
        <v>5</v>
      </c>
      <c r="C201">
        <f>[5]trip_summary_region!C201</f>
        <v>2028</v>
      </c>
      <c r="D201">
        <f>[5]trip_summary_region!D201</f>
        <v>16</v>
      </c>
      <c r="E201">
        <f>[5]trip_summary_region!E201</f>
        <v>51</v>
      </c>
      <c r="F201">
        <f>[5]trip_summary_region!F201</f>
        <v>1.7016727361999999</v>
      </c>
      <c r="G201">
        <f>[5]trip_summary_region!G201</f>
        <v>38.273178999000002</v>
      </c>
      <c r="H201">
        <f>[5]trip_summary_region!H201</f>
        <v>0.58658774719999995</v>
      </c>
      <c r="I201" t="str">
        <f>[5]trip_summary_region!I201</f>
        <v>Motorcyclist</v>
      </c>
      <c r="J201" t="str">
        <f>[5]trip_summary_region!J201</f>
        <v>2027/28</v>
      </c>
    </row>
    <row r="202" spans="1:10" x14ac:dyDescent="0.2">
      <c r="A202" t="str">
        <f>[5]trip_summary_region!A202</f>
        <v>03 WAIKATO</v>
      </c>
      <c r="B202">
        <f>[5]trip_summary_region!B202</f>
        <v>5</v>
      </c>
      <c r="C202">
        <f>[5]trip_summary_region!C202</f>
        <v>2033</v>
      </c>
      <c r="D202">
        <f>[5]trip_summary_region!D202</f>
        <v>16</v>
      </c>
      <c r="E202">
        <f>[5]trip_summary_region!E202</f>
        <v>51</v>
      </c>
      <c r="F202">
        <f>[5]trip_summary_region!F202</f>
        <v>1.6399714889000001</v>
      </c>
      <c r="G202">
        <f>[5]trip_summary_region!G202</f>
        <v>35.986495767000001</v>
      </c>
      <c r="H202">
        <f>[5]trip_summary_region!H202</f>
        <v>0.5580878011</v>
      </c>
      <c r="I202" t="str">
        <f>[5]trip_summary_region!I202</f>
        <v>Motorcyclist</v>
      </c>
      <c r="J202" t="str">
        <f>[5]trip_summary_region!J202</f>
        <v>2032/33</v>
      </c>
    </row>
    <row r="203" spans="1:10" x14ac:dyDescent="0.2">
      <c r="A203" t="str">
        <f>[5]trip_summary_region!A203</f>
        <v>03 WAIKATO</v>
      </c>
      <c r="B203">
        <f>[5]trip_summary_region!B203</f>
        <v>5</v>
      </c>
      <c r="C203">
        <f>[5]trip_summary_region!C203</f>
        <v>2038</v>
      </c>
      <c r="D203">
        <f>[5]trip_summary_region!D203</f>
        <v>16</v>
      </c>
      <c r="E203">
        <f>[5]trip_summary_region!E203</f>
        <v>51</v>
      </c>
      <c r="F203">
        <f>[5]trip_summary_region!F203</f>
        <v>1.5227283914</v>
      </c>
      <c r="G203">
        <f>[5]trip_summary_region!G203</f>
        <v>32.244708412000001</v>
      </c>
      <c r="H203">
        <f>[5]trip_summary_region!H203</f>
        <v>0.50559415919999995</v>
      </c>
      <c r="I203" t="str">
        <f>[5]trip_summary_region!I203</f>
        <v>Motorcyclist</v>
      </c>
      <c r="J203" t="str">
        <f>[5]trip_summary_region!J203</f>
        <v>2037/38</v>
      </c>
    </row>
    <row r="204" spans="1:10" x14ac:dyDescent="0.2">
      <c r="A204" t="str">
        <f>[5]trip_summary_region!A204</f>
        <v>03 WAIKATO</v>
      </c>
      <c r="B204">
        <f>[5]trip_summary_region!B204</f>
        <v>5</v>
      </c>
      <c r="C204">
        <f>[5]trip_summary_region!C204</f>
        <v>2043</v>
      </c>
      <c r="D204">
        <f>[5]trip_summary_region!D204</f>
        <v>16</v>
      </c>
      <c r="E204">
        <f>[5]trip_summary_region!E204</f>
        <v>51</v>
      </c>
      <c r="F204">
        <f>[5]trip_summary_region!F204</f>
        <v>1.4065124389999999</v>
      </c>
      <c r="G204">
        <f>[5]trip_summary_region!G204</f>
        <v>28.540054794</v>
      </c>
      <c r="H204">
        <f>[5]trip_summary_region!H204</f>
        <v>0.45355252159999998</v>
      </c>
      <c r="I204" t="str">
        <f>[5]trip_summary_region!I204</f>
        <v>Motorcyclist</v>
      </c>
      <c r="J204" t="str">
        <f>[5]trip_summary_region!J204</f>
        <v>2042/43</v>
      </c>
    </row>
    <row r="205" spans="1:10" x14ac:dyDescent="0.2">
      <c r="A205" t="str">
        <f>[5]trip_summary_region!A205</f>
        <v>03 WAIKATO</v>
      </c>
      <c r="B205">
        <f>[5]trip_summary_region!B205</f>
        <v>6</v>
      </c>
      <c r="C205">
        <f>[5]trip_summary_region!C205</f>
        <v>2013</v>
      </c>
      <c r="D205">
        <f>[5]trip_summary_region!D205</f>
        <v>2</v>
      </c>
      <c r="E205">
        <f>[5]trip_summary_region!E205</f>
        <v>5</v>
      </c>
      <c r="F205">
        <f>[5]trip_summary_region!F205</f>
        <v>0.12019006359999999</v>
      </c>
      <c r="G205">
        <f>[5]trip_summary_region!G205</f>
        <v>2.9773519310999998</v>
      </c>
      <c r="H205">
        <f>[5]trip_summary_region!H205</f>
        <v>7.0969514100000006E-2</v>
      </c>
      <c r="I205" t="str">
        <f>[5]trip_summary_region!I205</f>
        <v>Local Train</v>
      </c>
      <c r="J205" t="str">
        <f>[5]trip_summary_region!J205</f>
        <v>2012/13</v>
      </c>
    </row>
    <row r="206" spans="1:10" x14ac:dyDescent="0.2">
      <c r="A206" t="str">
        <f>[5]trip_summary_region!A206</f>
        <v>03 WAIKATO</v>
      </c>
      <c r="B206">
        <f>[5]trip_summary_region!B206</f>
        <v>6</v>
      </c>
      <c r="C206">
        <f>[5]trip_summary_region!C206</f>
        <v>2018</v>
      </c>
      <c r="D206">
        <f>[5]trip_summary_region!D206</f>
        <v>2</v>
      </c>
      <c r="E206">
        <f>[5]trip_summary_region!E206</f>
        <v>5</v>
      </c>
      <c r="F206">
        <f>[5]trip_summary_region!F206</f>
        <v>0.12603751490000001</v>
      </c>
      <c r="G206">
        <f>[5]trip_summary_region!G206</f>
        <v>3.2247440363000002</v>
      </c>
      <c r="H206">
        <f>[5]trip_summary_region!H206</f>
        <v>7.6824290700000006E-2</v>
      </c>
      <c r="I206" t="str">
        <f>[5]trip_summary_region!I206</f>
        <v>Local Train</v>
      </c>
      <c r="J206" t="str">
        <f>[5]trip_summary_region!J206</f>
        <v>2017/18</v>
      </c>
    </row>
    <row r="207" spans="1:10" x14ac:dyDescent="0.2">
      <c r="A207" t="str">
        <f>[5]trip_summary_region!A207</f>
        <v>03 WAIKATO</v>
      </c>
      <c r="B207">
        <f>[5]trip_summary_region!B207</f>
        <v>6</v>
      </c>
      <c r="C207">
        <f>[5]trip_summary_region!C207</f>
        <v>2023</v>
      </c>
      <c r="D207">
        <f>[5]trip_summary_region!D207</f>
        <v>2</v>
      </c>
      <c r="E207">
        <f>[5]trip_summary_region!E207</f>
        <v>5</v>
      </c>
      <c r="F207">
        <f>[5]trip_summary_region!F207</f>
        <v>0.1386505321</v>
      </c>
      <c r="G207">
        <f>[5]trip_summary_region!G207</f>
        <v>3.7852317361000001</v>
      </c>
      <c r="H207">
        <f>[5]trip_summary_region!H207</f>
        <v>9.0082312900000003E-2</v>
      </c>
      <c r="I207" t="str">
        <f>[5]trip_summary_region!I207</f>
        <v>Local Train</v>
      </c>
      <c r="J207" t="str">
        <f>[5]trip_summary_region!J207</f>
        <v>2022/23</v>
      </c>
    </row>
    <row r="208" spans="1:10" x14ac:dyDescent="0.2">
      <c r="A208" t="str">
        <f>[5]trip_summary_region!A208</f>
        <v>03 WAIKATO</v>
      </c>
      <c r="B208">
        <f>[5]trip_summary_region!B208</f>
        <v>6</v>
      </c>
      <c r="C208">
        <f>[5]trip_summary_region!C208</f>
        <v>2028</v>
      </c>
      <c r="D208">
        <f>[5]trip_summary_region!D208</f>
        <v>2</v>
      </c>
      <c r="E208">
        <f>[5]trip_summary_region!E208</f>
        <v>5</v>
      </c>
      <c r="F208">
        <f>[5]trip_summary_region!F208</f>
        <v>0.1530656155</v>
      </c>
      <c r="G208">
        <f>[5]trip_summary_region!G208</f>
        <v>4.2715674273999999</v>
      </c>
      <c r="H208">
        <f>[5]trip_summary_region!H208</f>
        <v>0.1016216734</v>
      </c>
      <c r="I208" t="str">
        <f>[5]trip_summary_region!I208</f>
        <v>Local Train</v>
      </c>
      <c r="J208" t="str">
        <f>[5]trip_summary_region!J208</f>
        <v>2027/28</v>
      </c>
    </row>
    <row r="209" spans="1:10" x14ac:dyDescent="0.2">
      <c r="A209" t="str">
        <f>[5]trip_summary_region!A209</f>
        <v>03 WAIKATO</v>
      </c>
      <c r="B209">
        <f>[5]trip_summary_region!B209</f>
        <v>6</v>
      </c>
      <c r="C209">
        <f>[5]trip_summary_region!C209</f>
        <v>2033</v>
      </c>
      <c r="D209">
        <f>[5]trip_summary_region!D209</f>
        <v>2</v>
      </c>
      <c r="E209">
        <f>[5]trip_summary_region!E209</f>
        <v>5</v>
      </c>
      <c r="F209">
        <f>[5]trip_summary_region!F209</f>
        <v>0.16319836739999999</v>
      </c>
      <c r="G209">
        <f>[5]trip_summary_region!G209</f>
        <v>4.5838057079999999</v>
      </c>
      <c r="H209">
        <f>[5]trip_summary_region!H209</f>
        <v>0.1090391434</v>
      </c>
      <c r="I209" t="str">
        <f>[5]trip_summary_region!I209</f>
        <v>Local Train</v>
      </c>
      <c r="J209" t="str">
        <f>[5]trip_summary_region!J209</f>
        <v>2032/33</v>
      </c>
    </row>
    <row r="210" spans="1:10" x14ac:dyDescent="0.2">
      <c r="A210" t="str">
        <f>[5]trip_summary_region!A210</f>
        <v>03 WAIKATO</v>
      </c>
      <c r="B210">
        <f>[5]trip_summary_region!B210</f>
        <v>6</v>
      </c>
      <c r="C210">
        <f>[5]trip_summary_region!C210</f>
        <v>2038</v>
      </c>
      <c r="D210">
        <f>[5]trip_summary_region!D210</f>
        <v>2</v>
      </c>
      <c r="E210">
        <f>[5]trip_summary_region!E210</f>
        <v>5</v>
      </c>
      <c r="F210">
        <f>[5]trip_summary_region!F210</f>
        <v>0.16873562380000001</v>
      </c>
      <c r="G210">
        <f>[5]trip_summary_region!G210</f>
        <v>4.8505736543999998</v>
      </c>
      <c r="H210">
        <f>[5]trip_summary_region!H210</f>
        <v>0.1153446417</v>
      </c>
      <c r="I210" t="str">
        <f>[5]trip_summary_region!I210</f>
        <v>Local Train</v>
      </c>
      <c r="J210" t="str">
        <f>[5]trip_summary_region!J210</f>
        <v>2037/38</v>
      </c>
    </row>
    <row r="211" spans="1:10" x14ac:dyDescent="0.2">
      <c r="A211" t="str">
        <f>[5]trip_summary_region!A211</f>
        <v>03 WAIKATO</v>
      </c>
      <c r="B211">
        <f>[5]trip_summary_region!B211</f>
        <v>6</v>
      </c>
      <c r="C211">
        <f>[5]trip_summary_region!C211</f>
        <v>2043</v>
      </c>
      <c r="D211">
        <f>[5]trip_summary_region!D211</f>
        <v>2</v>
      </c>
      <c r="E211">
        <f>[5]trip_summary_region!E211</f>
        <v>5</v>
      </c>
      <c r="F211">
        <f>[5]trip_summary_region!F211</f>
        <v>0.1724781611</v>
      </c>
      <c r="G211">
        <f>[5]trip_summary_region!G211</f>
        <v>5.0637603946</v>
      </c>
      <c r="H211">
        <f>[5]trip_summary_region!H211</f>
        <v>0.120376706</v>
      </c>
      <c r="I211" t="str">
        <f>[5]trip_summary_region!I211</f>
        <v>Local Train</v>
      </c>
      <c r="J211" t="str">
        <f>[5]trip_summary_region!J211</f>
        <v>2042/43</v>
      </c>
    </row>
    <row r="212" spans="1:10" x14ac:dyDescent="0.2">
      <c r="A212" t="str">
        <f>[5]trip_summary_region!A212</f>
        <v>03 WAIKATO</v>
      </c>
      <c r="B212">
        <f>[5]trip_summary_region!B212</f>
        <v>7</v>
      </c>
      <c r="C212">
        <f>[5]trip_summary_region!C212</f>
        <v>2013</v>
      </c>
      <c r="D212">
        <f>[5]trip_summary_region!D212</f>
        <v>81</v>
      </c>
      <c r="E212">
        <f>[5]trip_summary_region!E212</f>
        <v>183</v>
      </c>
      <c r="F212">
        <f>[5]trip_summary_region!F212</f>
        <v>5.7199103379</v>
      </c>
      <c r="G212">
        <f>[5]trip_summary_region!G212</f>
        <v>54.303948532</v>
      </c>
      <c r="H212">
        <f>[5]trip_summary_region!H212</f>
        <v>2.2088814398999999</v>
      </c>
      <c r="I212" t="str">
        <f>[5]trip_summary_region!I212</f>
        <v>Local Bus</v>
      </c>
      <c r="J212" t="str">
        <f>[5]trip_summary_region!J212</f>
        <v>2012/13</v>
      </c>
    </row>
    <row r="213" spans="1:10" x14ac:dyDescent="0.2">
      <c r="A213" t="str">
        <f>[5]trip_summary_region!A213</f>
        <v>03 WAIKATO</v>
      </c>
      <c r="B213">
        <f>[5]trip_summary_region!B213</f>
        <v>7</v>
      </c>
      <c r="C213">
        <f>[5]trip_summary_region!C213</f>
        <v>2018</v>
      </c>
      <c r="D213">
        <f>[5]trip_summary_region!D213</f>
        <v>81</v>
      </c>
      <c r="E213">
        <f>[5]trip_summary_region!E213</f>
        <v>183</v>
      </c>
      <c r="F213">
        <f>[5]trip_summary_region!F213</f>
        <v>5.7257349207999999</v>
      </c>
      <c r="G213">
        <f>[5]trip_summary_region!G213</f>
        <v>51.536525441000002</v>
      </c>
      <c r="H213">
        <f>[5]trip_summary_region!H213</f>
        <v>2.1784041637999998</v>
      </c>
      <c r="I213" t="str">
        <f>[5]trip_summary_region!I213</f>
        <v>Local Bus</v>
      </c>
      <c r="J213" t="str">
        <f>[5]trip_summary_region!J213</f>
        <v>2017/18</v>
      </c>
    </row>
    <row r="214" spans="1:10" x14ac:dyDescent="0.2">
      <c r="A214" t="str">
        <f>[5]trip_summary_region!A214</f>
        <v>03 WAIKATO</v>
      </c>
      <c r="B214">
        <f>[5]trip_summary_region!B214</f>
        <v>7</v>
      </c>
      <c r="C214">
        <f>[5]trip_summary_region!C214</f>
        <v>2023</v>
      </c>
      <c r="D214">
        <f>[5]trip_summary_region!D214</f>
        <v>81</v>
      </c>
      <c r="E214">
        <f>[5]trip_summary_region!E214</f>
        <v>183</v>
      </c>
      <c r="F214">
        <f>[5]trip_summary_region!F214</f>
        <v>5.6614309494999997</v>
      </c>
      <c r="G214">
        <f>[5]trip_summary_region!G214</f>
        <v>50.132294424999998</v>
      </c>
      <c r="H214">
        <f>[5]trip_summary_region!H214</f>
        <v>2.1414187404999998</v>
      </c>
      <c r="I214" t="str">
        <f>[5]trip_summary_region!I214</f>
        <v>Local Bus</v>
      </c>
      <c r="J214" t="str">
        <f>[5]trip_summary_region!J214</f>
        <v>2022/23</v>
      </c>
    </row>
    <row r="215" spans="1:10" x14ac:dyDescent="0.2">
      <c r="A215" t="str">
        <f>[5]trip_summary_region!A215</f>
        <v>03 WAIKATO</v>
      </c>
      <c r="B215">
        <f>[5]trip_summary_region!B215</f>
        <v>7</v>
      </c>
      <c r="C215">
        <f>[5]trip_summary_region!C215</f>
        <v>2028</v>
      </c>
      <c r="D215">
        <f>[5]trip_summary_region!D215</f>
        <v>81</v>
      </c>
      <c r="E215">
        <f>[5]trip_summary_region!E215</f>
        <v>183</v>
      </c>
      <c r="F215">
        <f>[5]trip_summary_region!F215</f>
        <v>5.6946054087000002</v>
      </c>
      <c r="G215">
        <f>[5]trip_summary_region!G215</f>
        <v>49.492534735</v>
      </c>
      <c r="H215">
        <f>[5]trip_summary_region!H215</f>
        <v>2.1513853402000001</v>
      </c>
      <c r="I215" t="str">
        <f>[5]trip_summary_region!I215</f>
        <v>Local Bus</v>
      </c>
      <c r="J215" t="str">
        <f>[5]trip_summary_region!J215</f>
        <v>2027/28</v>
      </c>
    </row>
    <row r="216" spans="1:10" x14ac:dyDescent="0.2">
      <c r="A216" t="str">
        <f>[5]trip_summary_region!A216</f>
        <v>03 WAIKATO</v>
      </c>
      <c r="B216">
        <f>[5]trip_summary_region!B216</f>
        <v>7</v>
      </c>
      <c r="C216">
        <f>[5]trip_summary_region!C216</f>
        <v>2033</v>
      </c>
      <c r="D216">
        <f>[5]trip_summary_region!D216</f>
        <v>81</v>
      </c>
      <c r="E216">
        <f>[5]trip_summary_region!E216</f>
        <v>183</v>
      </c>
      <c r="F216">
        <f>[5]trip_summary_region!F216</f>
        <v>5.7077027926000001</v>
      </c>
      <c r="G216">
        <f>[5]trip_summary_region!G216</f>
        <v>48.566042340000003</v>
      </c>
      <c r="H216">
        <f>[5]trip_summary_region!H216</f>
        <v>2.1495823582</v>
      </c>
      <c r="I216" t="str">
        <f>[5]trip_summary_region!I216</f>
        <v>Local Bus</v>
      </c>
      <c r="J216" t="str">
        <f>[5]trip_summary_region!J216</f>
        <v>2032/33</v>
      </c>
    </row>
    <row r="217" spans="1:10" x14ac:dyDescent="0.2">
      <c r="A217" t="str">
        <f>[5]trip_summary_region!A217</f>
        <v>03 WAIKATO</v>
      </c>
      <c r="B217">
        <f>[5]trip_summary_region!B217</f>
        <v>7</v>
      </c>
      <c r="C217">
        <f>[5]trip_summary_region!C217</f>
        <v>2038</v>
      </c>
      <c r="D217">
        <f>[5]trip_summary_region!D217</f>
        <v>81</v>
      </c>
      <c r="E217">
        <f>[5]trip_summary_region!E217</f>
        <v>183</v>
      </c>
      <c r="F217">
        <f>[5]trip_summary_region!F217</f>
        <v>5.6724398447000004</v>
      </c>
      <c r="G217">
        <f>[5]trip_summary_region!G217</f>
        <v>47.671426746999998</v>
      </c>
      <c r="H217">
        <f>[5]trip_summary_region!H217</f>
        <v>2.1339300755999999</v>
      </c>
      <c r="I217" t="str">
        <f>[5]trip_summary_region!I217</f>
        <v>Local Bus</v>
      </c>
      <c r="J217" t="str">
        <f>[5]trip_summary_region!J217</f>
        <v>2037/38</v>
      </c>
    </row>
    <row r="218" spans="1:10" x14ac:dyDescent="0.2">
      <c r="A218" t="str">
        <f>[5]trip_summary_region!A218</f>
        <v>03 WAIKATO</v>
      </c>
      <c r="B218">
        <f>[5]trip_summary_region!B218</f>
        <v>7</v>
      </c>
      <c r="C218">
        <f>[5]trip_summary_region!C218</f>
        <v>2043</v>
      </c>
      <c r="D218">
        <f>[5]trip_summary_region!D218</f>
        <v>81</v>
      </c>
      <c r="E218">
        <f>[5]trip_summary_region!E218</f>
        <v>183</v>
      </c>
      <c r="F218">
        <f>[5]trip_summary_region!F218</f>
        <v>5.5894233382999996</v>
      </c>
      <c r="G218">
        <f>[5]trip_summary_region!G218</f>
        <v>46.578065094000003</v>
      </c>
      <c r="H218">
        <f>[5]trip_summary_region!H218</f>
        <v>2.1051715586999999</v>
      </c>
      <c r="I218" t="str">
        <f>[5]trip_summary_region!I218</f>
        <v>Local Bus</v>
      </c>
      <c r="J218" t="str">
        <f>[5]trip_summary_region!J218</f>
        <v>2042/43</v>
      </c>
    </row>
    <row r="219" spans="1:10" x14ac:dyDescent="0.2">
      <c r="A219" t="str">
        <f>[5]trip_summary_region!A219</f>
        <v>03 WAIKATO</v>
      </c>
      <c r="B219">
        <f>[5]trip_summary_region!B219</f>
        <v>8</v>
      </c>
      <c r="C219">
        <f>[5]trip_summary_region!C219</f>
        <v>2013</v>
      </c>
      <c r="D219">
        <f>[5]trip_summary_region!D219</f>
        <v>3</v>
      </c>
      <c r="E219">
        <f>[5]trip_summary_region!E219</f>
        <v>7</v>
      </c>
      <c r="F219">
        <f>[5]trip_summary_region!F219</f>
        <v>0.2446181519</v>
      </c>
      <c r="G219">
        <f>[5]trip_summary_region!G219</f>
        <v>0</v>
      </c>
      <c r="H219">
        <f>[5]trip_summary_region!H219</f>
        <v>9.3342661800000004E-2</v>
      </c>
      <c r="I219" t="str">
        <f>[5]trip_summary_region!I219</f>
        <v>Local Ferry</v>
      </c>
      <c r="J219" t="str">
        <f>[5]trip_summary_region!J219</f>
        <v>2012/13</v>
      </c>
    </row>
    <row r="220" spans="1:10" x14ac:dyDescent="0.2">
      <c r="A220" t="str">
        <f>[5]trip_summary_region!A220</f>
        <v>03 WAIKATO</v>
      </c>
      <c r="B220">
        <f>[5]trip_summary_region!B220</f>
        <v>8</v>
      </c>
      <c r="C220">
        <f>[5]trip_summary_region!C220</f>
        <v>2018</v>
      </c>
      <c r="D220">
        <f>[5]trip_summary_region!D220</f>
        <v>3</v>
      </c>
      <c r="E220">
        <f>[5]trip_summary_region!E220</f>
        <v>7</v>
      </c>
      <c r="F220">
        <f>[5]trip_summary_region!F220</f>
        <v>0.26666501790000002</v>
      </c>
      <c r="G220">
        <f>[5]trip_summary_region!G220</f>
        <v>0</v>
      </c>
      <c r="H220">
        <f>[5]trip_summary_region!H220</f>
        <v>0.1046778337</v>
      </c>
      <c r="I220" t="str">
        <f>[5]trip_summary_region!I220</f>
        <v>Local Ferry</v>
      </c>
      <c r="J220" t="str">
        <f>[5]trip_summary_region!J220</f>
        <v>2017/18</v>
      </c>
    </row>
    <row r="221" spans="1:10" x14ac:dyDescent="0.2">
      <c r="A221" t="str">
        <f>[5]trip_summary_region!A221</f>
        <v>03 WAIKATO</v>
      </c>
      <c r="B221">
        <f>[5]trip_summary_region!B221</f>
        <v>8</v>
      </c>
      <c r="C221">
        <f>[5]trip_summary_region!C221</f>
        <v>2023</v>
      </c>
      <c r="D221">
        <f>[5]trip_summary_region!D221</f>
        <v>3</v>
      </c>
      <c r="E221">
        <f>[5]trip_summary_region!E221</f>
        <v>7</v>
      </c>
      <c r="F221">
        <f>[5]trip_summary_region!F221</f>
        <v>0.27982721459999998</v>
      </c>
      <c r="G221">
        <f>[5]trip_summary_region!G221</f>
        <v>0</v>
      </c>
      <c r="H221">
        <f>[5]trip_summary_region!H221</f>
        <v>0.1114525544</v>
      </c>
      <c r="I221" t="str">
        <f>[5]trip_summary_region!I221</f>
        <v>Local Ferry</v>
      </c>
      <c r="J221" t="str">
        <f>[5]trip_summary_region!J221</f>
        <v>2022/23</v>
      </c>
    </row>
    <row r="222" spans="1:10" x14ac:dyDescent="0.2">
      <c r="A222" t="str">
        <f>[5]trip_summary_region!A222</f>
        <v>03 WAIKATO</v>
      </c>
      <c r="B222">
        <f>[5]trip_summary_region!B222</f>
        <v>8</v>
      </c>
      <c r="C222">
        <f>[5]trip_summary_region!C222</f>
        <v>2028</v>
      </c>
      <c r="D222">
        <f>[5]trip_summary_region!D222</f>
        <v>3</v>
      </c>
      <c r="E222">
        <f>[5]trip_summary_region!E222</f>
        <v>7</v>
      </c>
      <c r="F222">
        <f>[5]trip_summary_region!F222</f>
        <v>0.30104455829999999</v>
      </c>
      <c r="G222">
        <f>[5]trip_summary_region!G222</f>
        <v>0</v>
      </c>
      <c r="H222">
        <f>[5]trip_summary_region!H222</f>
        <v>0.1226770699</v>
      </c>
      <c r="I222" t="str">
        <f>[5]trip_summary_region!I222</f>
        <v>Local Ferry</v>
      </c>
      <c r="J222" t="str">
        <f>[5]trip_summary_region!J222</f>
        <v>2027/28</v>
      </c>
    </row>
    <row r="223" spans="1:10" x14ac:dyDescent="0.2">
      <c r="A223" t="str">
        <f>[5]trip_summary_region!A223</f>
        <v>03 WAIKATO</v>
      </c>
      <c r="B223">
        <f>[5]trip_summary_region!B223</f>
        <v>8</v>
      </c>
      <c r="C223">
        <f>[5]trip_summary_region!C223</f>
        <v>2033</v>
      </c>
      <c r="D223">
        <f>[5]trip_summary_region!D223</f>
        <v>3</v>
      </c>
      <c r="E223">
        <f>[5]trip_summary_region!E223</f>
        <v>7</v>
      </c>
      <c r="F223">
        <f>[5]trip_summary_region!F223</f>
        <v>0.3087742792</v>
      </c>
      <c r="G223">
        <f>[5]trip_summary_region!G223</f>
        <v>0</v>
      </c>
      <c r="H223">
        <f>[5]trip_summary_region!H223</f>
        <v>0.12633993630000001</v>
      </c>
      <c r="I223" t="str">
        <f>[5]trip_summary_region!I223</f>
        <v>Local Ferry</v>
      </c>
      <c r="J223" t="str">
        <f>[5]trip_summary_region!J223</f>
        <v>2032/33</v>
      </c>
    </row>
    <row r="224" spans="1:10" x14ac:dyDescent="0.2">
      <c r="A224" t="str">
        <f>[5]trip_summary_region!A224</f>
        <v>03 WAIKATO</v>
      </c>
      <c r="B224">
        <f>[5]trip_summary_region!B224</f>
        <v>8</v>
      </c>
      <c r="C224">
        <f>[5]trip_summary_region!C224</f>
        <v>2038</v>
      </c>
      <c r="D224">
        <f>[5]trip_summary_region!D224</f>
        <v>3</v>
      </c>
      <c r="E224">
        <f>[5]trip_summary_region!E224</f>
        <v>7</v>
      </c>
      <c r="F224">
        <f>[5]trip_summary_region!F224</f>
        <v>0.3009980518</v>
      </c>
      <c r="G224">
        <f>[5]trip_summary_region!G224</f>
        <v>0</v>
      </c>
      <c r="H224">
        <f>[5]trip_summary_region!H224</f>
        <v>0.1228553507</v>
      </c>
      <c r="I224" t="str">
        <f>[5]trip_summary_region!I224</f>
        <v>Local Ferry</v>
      </c>
      <c r="J224" t="str">
        <f>[5]trip_summary_region!J224</f>
        <v>2037/38</v>
      </c>
    </row>
    <row r="225" spans="1:10" x14ac:dyDescent="0.2">
      <c r="A225" t="str">
        <f>[5]trip_summary_region!A225</f>
        <v>03 WAIKATO</v>
      </c>
      <c r="B225">
        <f>[5]trip_summary_region!B225</f>
        <v>8</v>
      </c>
      <c r="C225">
        <f>[5]trip_summary_region!C225</f>
        <v>2043</v>
      </c>
      <c r="D225">
        <f>[5]trip_summary_region!D225</f>
        <v>3</v>
      </c>
      <c r="E225">
        <f>[5]trip_summary_region!E225</f>
        <v>7</v>
      </c>
      <c r="F225">
        <f>[5]trip_summary_region!F225</f>
        <v>0.29039867270000003</v>
      </c>
      <c r="G225">
        <f>[5]trip_summary_region!G225</f>
        <v>0</v>
      </c>
      <c r="H225">
        <f>[5]trip_summary_region!H225</f>
        <v>0.1181202234</v>
      </c>
      <c r="I225" t="str">
        <f>[5]trip_summary_region!I225</f>
        <v>Local Ferry</v>
      </c>
      <c r="J225" t="str">
        <f>[5]trip_summary_region!J225</f>
        <v>2042/43</v>
      </c>
    </row>
    <row r="226" spans="1:10" x14ac:dyDescent="0.2">
      <c r="A226" t="str">
        <f>[5]trip_summary_region!A226</f>
        <v>03 WAIKATO</v>
      </c>
      <c r="B226">
        <f>[5]trip_summary_region!B226</f>
        <v>9</v>
      </c>
      <c r="C226">
        <f>[5]trip_summary_region!C226</f>
        <v>2013</v>
      </c>
      <c r="D226">
        <f>[5]trip_summary_region!D226</f>
        <v>17</v>
      </c>
      <c r="E226">
        <f>[5]trip_summary_region!E226</f>
        <v>46</v>
      </c>
      <c r="F226">
        <f>[5]trip_summary_region!F226</f>
        <v>1.8854250596</v>
      </c>
      <c r="G226">
        <f>[5]trip_summary_region!G226</f>
        <v>0</v>
      </c>
      <c r="H226">
        <f>[5]trip_summary_region!H226</f>
        <v>0.63404452519999999</v>
      </c>
      <c r="I226" t="str">
        <f>[5]trip_summary_region!I226</f>
        <v>Other Household Travel</v>
      </c>
      <c r="J226" t="str">
        <f>[5]trip_summary_region!J226</f>
        <v>2012/13</v>
      </c>
    </row>
    <row r="227" spans="1:10" x14ac:dyDescent="0.2">
      <c r="A227" t="str">
        <f>[5]trip_summary_region!A227</f>
        <v>03 WAIKATO</v>
      </c>
      <c r="B227">
        <f>[5]trip_summary_region!B227</f>
        <v>9</v>
      </c>
      <c r="C227">
        <f>[5]trip_summary_region!C227</f>
        <v>2018</v>
      </c>
      <c r="D227">
        <f>[5]trip_summary_region!D227</f>
        <v>17</v>
      </c>
      <c r="E227">
        <f>[5]trip_summary_region!E227</f>
        <v>46</v>
      </c>
      <c r="F227">
        <f>[5]trip_summary_region!F227</f>
        <v>2.0034004061999999</v>
      </c>
      <c r="G227">
        <f>[5]trip_summary_region!G227</f>
        <v>0</v>
      </c>
      <c r="H227">
        <f>[5]trip_summary_region!H227</f>
        <v>0.6553509045</v>
      </c>
      <c r="I227" t="str">
        <f>[5]trip_summary_region!I227</f>
        <v>Other Household Travel</v>
      </c>
      <c r="J227" t="str">
        <f>[5]trip_summary_region!J227</f>
        <v>2017/18</v>
      </c>
    </row>
    <row r="228" spans="1:10" x14ac:dyDescent="0.2">
      <c r="A228" t="str">
        <f>[5]trip_summary_region!A228</f>
        <v>03 WAIKATO</v>
      </c>
      <c r="B228">
        <f>[5]trip_summary_region!B228</f>
        <v>9</v>
      </c>
      <c r="C228">
        <f>[5]trip_summary_region!C228</f>
        <v>2023</v>
      </c>
      <c r="D228">
        <f>[5]trip_summary_region!D228</f>
        <v>17</v>
      </c>
      <c r="E228">
        <f>[5]trip_summary_region!E228</f>
        <v>46</v>
      </c>
      <c r="F228">
        <f>[5]trip_summary_region!F228</f>
        <v>2.1077764355999999</v>
      </c>
      <c r="G228">
        <f>[5]trip_summary_region!G228</f>
        <v>0</v>
      </c>
      <c r="H228">
        <f>[5]trip_summary_region!H228</f>
        <v>0.67284001000000004</v>
      </c>
      <c r="I228" t="str">
        <f>[5]trip_summary_region!I228</f>
        <v>Other Household Travel</v>
      </c>
      <c r="J228" t="str">
        <f>[5]trip_summary_region!J228</f>
        <v>2022/23</v>
      </c>
    </row>
    <row r="229" spans="1:10" x14ac:dyDescent="0.2">
      <c r="A229" t="str">
        <f>[5]trip_summary_region!A229</f>
        <v>03 WAIKATO</v>
      </c>
      <c r="B229">
        <f>[5]trip_summary_region!B229</f>
        <v>9</v>
      </c>
      <c r="C229">
        <f>[5]trip_summary_region!C229</f>
        <v>2028</v>
      </c>
      <c r="D229">
        <f>[5]trip_summary_region!D229</f>
        <v>17</v>
      </c>
      <c r="E229">
        <f>[5]trip_summary_region!E229</f>
        <v>46</v>
      </c>
      <c r="F229">
        <f>[5]trip_summary_region!F229</f>
        <v>2.1976608989000002</v>
      </c>
      <c r="G229">
        <f>[5]trip_summary_region!G229</f>
        <v>0</v>
      </c>
      <c r="H229">
        <f>[5]trip_summary_region!H229</f>
        <v>0.67359742619999996</v>
      </c>
      <c r="I229" t="str">
        <f>[5]trip_summary_region!I229</f>
        <v>Other Household Travel</v>
      </c>
      <c r="J229" t="str">
        <f>[5]trip_summary_region!J229</f>
        <v>2027/28</v>
      </c>
    </row>
    <row r="230" spans="1:10" x14ac:dyDescent="0.2">
      <c r="A230" t="str">
        <f>[5]trip_summary_region!A230</f>
        <v>03 WAIKATO</v>
      </c>
      <c r="B230">
        <f>[5]trip_summary_region!B230</f>
        <v>9</v>
      </c>
      <c r="C230">
        <f>[5]trip_summary_region!C230</f>
        <v>2033</v>
      </c>
      <c r="D230">
        <f>[5]trip_summary_region!D230</f>
        <v>17</v>
      </c>
      <c r="E230">
        <f>[5]trip_summary_region!E230</f>
        <v>46</v>
      </c>
      <c r="F230">
        <f>[5]trip_summary_region!F230</f>
        <v>2.3207338117999998</v>
      </c>
      <c r="G230">
        <f>[5]trip_summary_region!G230</f>
        <v>0</v>
      </c>
      <c r="H230">
        <f>[5]trip_summary_region!H230</f>
        <v>0.67168305319999999</v>
      </c>
      <c r="I230" t="str">
        <f>[5]trip_summary_region!I230</f>
        <v>Other Household Travel</v>
      </c>
      <c r="J230" t="str">
        <f>[5]trip_summary_region!J230</f>
        <v>2032/33</v>
      </c>
    </row>
    <row r="231" spans="1:10" x14ac:dyDescent="0.2">
      <c r="A231" t="str">
        <f>[5]trip_summary_region!A231</f>
        <v>03 WAIKATO</v>
      </c>
      <c r="B231">
        <f>[5]trip_summary_region!B231</f>
        <v>9</v>
      </c>
      <c r="C231">
        <f>[5]trip_summary_region!C231</f>
        <v>2038</v>
      </c>
      <c r="D231">
        <f>[5]trip_summary_region!D231</f>
        <v>17</v>
      </c>
      <c r="E231">
        <f>[5]trip_summary_region!E231</f>
        <v>46</v>
      </c>
      <c r="F231">
        <f>[5]trip_summary_region!F231</f>
        <v>2.3705992278000001</v>
      </c>
      <c r="G231">
        <f>[5]trip_summary_region!G231</f>
        <v>0</v>
      </c>
      <c r="H231">
        <f>[5]trip_summary_region!H231</f>
        <v>0.66277105729999997</v>
      </c>
      <c r="I231" t="str">
        <f>[5]trip_summary_region!I231</f>
        <v>Other Household Travel</v>
      </c>
      <c r="J231" t="str">
        <f>[5]trip_summary_region!J231</f>
        <v>2037/38</v>
      </c>
    </row>
    <row r="232" spans="1:10" x14ac:dyDescent="0.2">
      <c r="A232" t="str">
        <f>[5]trip_summary_region!A232</f>
        <v>03 WAIKATO</v>
      </c>
      <c r="B232">
        <f>[5]trip_summary_region!B232</f>
        <v>9</v>
      </c>
      <c r="C232">
        <f>[5]trip_summary_region!C232</f>
        <v>2043</v>
      </c>
      <c r="D232">
        <f>[5]trip_summary_region!D232</f>
        <v>17</v>
      </c>
      <c r="E232">
        <f>[5]trip_summary_region!E232</f>
        <v>46</v>
      </c>
      <c r="F232">
        <f>[5]trip_summary_region!F232</f>
        <v>2.3320672464999999</v>
      </c>
      <c r="G232">
        <f>[5]trip_summary_region!G232</f>
        <v>0</v>
      </c>
      <c r="H232">
        <f>[5]trip_summary_region!H232</f>
        <v>0.63847556090000002</v>
      </c>
      <c r="I232" t="str">
        <f>[5]trip_summary_region!I232</f>
        <v>Other Household Travel</v>
      </c>
      <c r="J232" t="str">
        <f>[5]trip_summary_region!J232</f>
        <v>2042/43</v>
      </c>
    </row>
    <row r="233" spans="1:10" x14ac:dyDescent="0.2">
      <c r="A233" t="str">
        <f>[5]trip_summary_region!A233</f>
        <v>03 WAIKATO</v>
      </c>
      <c r="B233">
        <f>[5]trip_summary_region!B233</f>
        <v>10</v>
      </c>
      <c r="C233">
        <f>[5]trip_summary_region!C233</f>
        <v>2013</v>
      </c>
      <c r="D233">
        <f>[5]trip_summary_region!D233</f>
        <v>18</v>
      </c>
      <c r="E233">
        <f>[5]trip_summary_region!E233</f>
        <v>32</v>
      </c>
      <c r="F233">
        <f>[5]trip_summary_region!F233</f>
        <v>0.92406733060000001</v>
      </c>
      <c r="G233">
        <f>[5]trip_summary_region!G233</f>
        <v>54.768337629999998</v>
      </c>
      <c r="H233">
        <f>[5]trip_summary_region!H233</f>
        <v>2.3234459650999999</v>
      </c>
      <c r="I233" t="str">
        <f>[5]trip_summary_region!I233</f>
        <v>Air/Non-Local PT</v>
      </c>
      <c r="J233" t="str">
        <f>[5]trip_summary_region!J233</f>
        <v>2012/13</v>
      </c>
    </row>
    <row r="234" spans="1:10" x14ac:dyDescent="0.2">
      <c r="A234" t="str">
        <f>[5]trip_summary_region!A234</f>
        <v>03 WAIKATO</v>
      </c>
      <c r="B234">
        <f>[5]trip_summary_region!B234</f>
        <v>10</v>
      </c>
      <c r="C234">
        <f>[5]trip_summary_region!C234</f>
        <v>2018</v>
      </c>
      <c r="D234">
        <f>[5]trip_summary_region!D234</f>
        <v>18</v>
      </c>
      <c r="E234">
        <f>[5]trip_summary_region!E234</f>
        <v>32</v>
      </c>
      <c r="F234">
        <f>[5]trip_summary_region!F234</f>
        <v>1.023659541</v>
      </c>
      <c r="G234">
        <f>[5]trip_summary_region!G234</f>
        <v>58.321314299000001</v>
      </c>
      <c r="H234">
        <f>[5]trip_summary_region!H234</f>
        <v>2.5956071389000002</v>
      </c>
      <c r="I234" t="str">
        <f>[5]trip_summary_region!I234</f>
        <v>Air/Non-Local PT</v>
      </c>
      <c r="J234" t="str">
        <f>[5]trip_summary_region!J234</f>
        <v>2017/18</v>
      </c>
    </row>
    <row r="235" spans="1:10" x14ac:dyDescent="0.2">
      <c r="A235" t="str">
        <f>[5]trip_summary_region!A235</f>
        <v>03 WAIKATO</v>
      </c>
      <c r="B235">
        <f>[5]trip_summary_region!B235</f>
        <v>10</v>
      </c>
      <c r="C235">
        <f>[5]trip_summary_region!C235</f>
        <v>2023</v>
      </c>
      <c r="D235">
        <f>[5]trip_summary_region!D235</f>
        <v>18</v>
      </c>
      <c r="E235">
        <f>[5]trip_summary_region!E235</f>
        <v>32</v>
      </c>
      <c r="F235">
        <f>[5]trip_summary_region!F235</f>
        <v>1.1421907382000001</v>
      </c>
      <c r="G235">
        <f>[5]trip_summary_region!G235</f>
        <v>61.402125130000002</v>
      </c>
      <c r="H235">
        <f>[5]trip_summary_region!H235</f>
        <v>2.8556200465999999</v>
      </c>
      <c r="I235" t="str">
        <f>[5]trip_summary_region!I235</f>
        <v>Air/Non-Local PT</v>
      </c>
      <c r="J235" t="str">
        <f>[5]trip_summary_region!J235</f>
        <v>2022/23</v>
      </c>
    </row>
    <row r="236" spans="1:10" x14ac:dyDescent="0.2">
      <c r="A236" t="str">
        <f>[5]trip_summary_region!A236</f>
        <v>03 WAIKATO</v>
      </c>
      <c r="B236">
        <f>[5]trip_summary_region!B236</f>
        <v>10</v>
      </c>
      <c r="C236">
        <f>[5]trip_summary_region!C236</f>
        <v>2028</v>
      </c>
      <c r="D236">
        <f>[5]trip_summary_region!D236</f>
        <v>18</v>
      </c>
      <c r="E236">
        <f>[5]trip_summary_region!E236</f>
        <v>32</v>
      </c>
      <c r="F236">
        <f>[5]trip_summary_region!F236</f>
        <v>1.2675978182000001</v>
      </c>
      <c r="G236">
        <f>[5]trip_summary_region!G236</f>
        <v>64.405354600999999</v>
      </c>
      <c r="H236">
        <f>[5]trip_summary_region!H236</f>
        <v>3.1823519722000002</v>
      </c>
      <c r="I236" t="str">
        <f>[5]trip_summary_region!I236</f>
        <v>Air/Non-Local PT</v>
      </c>
      <c r="J236" t="str">
        <f>[5]trip_summary_region!J236</f>
        <v>2027/28</v>
      </c>
    </row>
    <row r="237" spans="1:10" x14ac:dyDescent="0.2">
      <c r="A237" t="str">
        <f>[5]trip_summary_region!A237</f>
        <v>03 WAIKATO</v>
      </c>
      <c r="B237">
        <f>[5]trip_summary_region!B237</f>
        <v>10</v>
      </c>
      <c r="C237">
        <f>[5]trip_summary_region!C237</f>
        <v>2033</v>
      </c>
      <c r="D237">
        <f>[5]trip_summary_region!D237</f>
        <v>18</v>
      </c>
      <c r="E237">
        <f>[5]trip_summary_region!E237</f>
        <v>32</v>
      </c>
      <c r="F237">
        <f>[5]trip_summary_region!F237</f>
        <v>1.3676408996</v>
      </c>
      <c r="G237">
        <f>[5]trip_summary_region!G237</f>
        <v>68.300358532000004</v>
      </c>
      <c r="H237">
        <f>[5]trip_summary_region!H237</f>
        <v>3.4491640044</v>
      </c>
      <c r="I237" t="str">
        <f>[5]trip_summary_region!I237</f>
        <v>Air/Non-Local PT</v>
      </c>
      <c r="J237" t="str">
        <f>[5]trip_summary_region!J237</f>
        <v>2032/33</v>
      </c>
    </row>
    <row r="238" spans="1:10" x14ac:dyDescent="0.2">
      <c r="A238" t="str">
        <f>[5]trip_summary_region!A238</f>
        <v>03 WAIKATO</v>
      </c>
      <c r="B238">
        <f>[5]trip_summary_region!B238</f>
        <v>10</v>
      </c>
      <c r="C238">
        <f>[5]trip_summary_region!C238</f>
        <v>2038</v>
      </c>
      <c r="D238">
        <f>[5]trip_summary_region!D238</f>
        <v>18</v>
      </c>
      <c r="E238">
        <f>[5]trip_summary_region!E238</f>
        <v>32</v>
      </c>
      <c r="F238">
        <f>[5]trip_summary_region!F238</f>
        <v>1.4361630139999999</v>
      </c>
      <c r="G238">
        <f>[5]trip_summary_region!G238</f>
        <v>72.958549443999999</v>
      </c>
      <c r="H238">
        <f>[5]trip_summary_region!H238</f>
        <v>3.5139988008</v>
      </c>
      <c r="I238" t="str">
        <f>[5]trip_summary_region!I238</f>
        <v>Air/Non-Local PT</v>
      </c>
      <c r="J238" t="str">
        <f>[5]trip_summary_region!J238</f>
        <v>2037/38</v>
      </c>
    </row>
    <row r="239" spans="1:10" x14ac:dyDescent="0.2">
      <c r="A239" t="str">
        <f>[5]trip_summary_region!A239</f>
        <v>03 WAIKATO</v>
      </c>
      <c r="B239">
        <f>[5]trip_summary_region!B239</f>
        <v>10</v>
      </c>
      <c r="C239">
        <f>[5]trip_summary_region!C239</f>
        <v>2043</v>
      </c>
      <c r="D239">
        <f>[5]trip_summary_region!D239</f>
        <v>18</v>
      </c>
      <c r="E239">
        <f>[5]trip_summary_region!E239</f>
        <v>32</v>
      </c>
      <c r="F239">
        <f>[5]trip_summary_region!F239</f>
        <v>1.5029459859000001</v>
      </c>
      <c r="G239">
        <f>[5]trip_summary_region!G239</f>
        <v>78.067428015999994</v>
      </c>
      <c r="H239">
        <f>[5]trip_summary_region!H239</f>
        <v>3.5668287424999998</v>
      </c>
      <c r="I239" t="str">
        <f>[5]trip_summary_region!I239</f>
        <v>Air/Non-Local PT</v>
      </c>
      <c r="J239" t="str">
        <f>[5]trip_summary_region!J239</f>
        <v>2042/43</v>
      </c>
    </row>
    <row r="240" spans="1:10" x14ac:dyDescent="0.2">
      <c r="A240" t="str">
        <f>[5]trip_summary_region!A240</f>
        <v>03 WAIKATO</v>
      </c>
      <c r="B240">
        <f>[5]trip_summary_region!B240</f>
        <v>11</v>
      </c>
      <c r="C240">
        <f>[5]trip_summary_region!C240</f>
        <v>2013</v>
      </c>
      <c r="D240">
        <f>[5]trip_summary_region!D240</f>
        <v>52</v>
      </c>
      <c r="E240">
        <f>[5]trip_summary_region!E240</f>
        <v>244</v>
      </c>
      <c r="F240">
        <f>[5]trip_summary_region!F240</f>
        <v>8.7527428694000005</v>
      </c>
      <c r="G240">
        <f>[5]trip_summary_region!G240</f>
        <v>166.86894676</v>
      </c>
      <c r="H240">
        <f>[5]trip_summary_region!H240</f>
        <v>3.3327759721999999</v>
      </c>
      <c r="I240" t="str">
        <f>[5]trip_summary_region!I240</f>
        <v>Non-Household Travel</v>
      </c>
      <c r="J240" t="str">
        <f>[5]trip_summary_region!J240</f>
        <v>2012/13</v>
      </c>
    </row>
    <row r="241" spans="1:10" x14ac:dyDescent="0.2">
      <c r="A241" t="str">
        <f>[5]trip_summary_region!A241</f>
        <v>03 WAIKATO</v>
      </c>
      <c r="B241">
        <f>[5]trip_summary_region!B241</f>
        <v>11</v>
      </c>
      <c r="C241">
        <f>[5]trip_summary_region!C241</f>
        <v>2018</v>
      </c>
      <c r="D241">
        <f>[5]trip_summary_region!D241</f>
        <v>52</v>
      </c>
      <c r="E241">
        <f>[5]trip_summary_region!E241</f>
        <v>244</v>
      </c>
      <c r="F241">
        <f>[5]trip_summary_region!F241</f>
        <v>9.0866560417999995</v>
      </c>
      <c r="G241">
        <f>[5]trip_summary_region!G241</f>
        <v>170.90649252</v>
      </c>
      <c r="H241">
        <f>[5]trip_summary_region!H241</f>
        <v>3.4309005706</v>
      </c>
      <c r="I241" t="str">
        <f>[5]trip_summary_region!I241</f>
        <v>Non-Household Travel</v>
      </c>
      <c r="J241" t="str">
        <f>[5]trip_summary_region!J241</f>
        <v>2017/18</v>
      </c>
    </row>
    <row r="242" spans="1:10" x14ac:dyDescent="0.2">
      <c r="A242" t="str">
        <f>[5]trip_summary_region!A242</f>
        <v>03 WAIKATO</v>
      </c>
      <c r="B242">
        <f>[5]trip_summary_region!B242</f>
        <v>11</v>
      </c>
      <c r="C242">
        <f>[5]trip_summary_region!C242</f>
        <v>2023</v>
      </c>
      <c r="D242">
        <f>[5]trip_summary_region!D242</f>
        <v>52</v>
      </c>
      <c r="E242">
        <f>[5]trip_summary_region!E242</f>
        <v>244</v>
      </c>
      <c r="F242">
        <f>[5]trip_summary_region!F242</f>
        <v>9.1892753584999998</v>
      </c>
      <c r="G242">
        <f>[5]trip_summary_region!G242</f>
        <v>172.72659002</v>
      </c>
      <c r="H242">
        <f>[5]trip_summary_region!H242</f>
        <v>3.4694929380000001</v>
      </c>
      <c r="I242" t="str">
        <f>[5]trip_summary_region!I242</f>
        <v>Non-Household Travel</v>
      </c>
      <c r="J242" t="str">
        <f>[5]trip_summary_region!J242</f>
        <v>2022/23</v>
      </c>
    </row>
    <row r="243" spans="1:10" x14ac:dyDescent="0.2">
      <c r="A243" t="str">
        <f>[5]trip_summary_region!A243</f>
        <v>03 WAIKATO</v>
      </c>
      <c r="B243">
        <f>[5]trip_summary_region!B243</f>
        <v>11</v>
      </c>
      <c r="C243">
        <f>[5]trip_summary_region!C243</f>
        <v>2028</v>
      </c>
      <c r="D243">
        <f>[5]trip_summary_region!D243</f>
        <v>52</v>
      </c>
      <c r="E243">
        <f>[5]trip_summary_region!E243</f>
        <v>244</v>
      </c>
      <c r="F243">
        <f>[5]trip_summary_region!F243</f>
        <v>9.3080625817999998</v>
      </c>
      <c r="G243">
        <f>[5]trip_summary_region!G243</f>
        <v>177.21304817000001</v>
      </c>
      <c r="H243">
        <f>[5]trip_summary_region!H243</f>
        <v>3.5476018424000002</v>
      </c>
      <c r="I243" t="str">
        <f>[5]trip_summary_region!I243</f>
        <v>Non-Household Travel</v>
      </c>
      <c r="J243" t="str">
        <f>[5]trip_summary_region!J243</f>
        <v>2027/28</v>
      </c>
    </row>
    <row r="244" spans="1:10" x14ac:dyDescent="0.2">
      <c r="A244" t="str">
        <f>[5]trip_summary_region!A244</f>
        <v>03 WAIKATO</v>
      </c>
      <c r="B244">
        <f>[5]trip_summary_region!B244</f>
        <v>11</v>
      </c>
      <c r="C244">
        <f>[5]trip_summary_region!C244</f>
        <v>2033</v>
      </c>
      <c r="D244">
        <f>[5]trip_summary_region!D244</f>
        <v>52</v>
      </c>
      <c r="E244">
        <f>[5]trip_summary_region!E244</f>
        <v>244</v>
      </c>
      <c r="F244">
        <f>[5]trip_summary_region!F244</f>
        <v>9.4313776434999994</v>
      </c>
      <c r="G244">
        <f>[5]trip_summary_region!G244</f>
        <v>183.39286111999999</v>
      </c>
      <c r="H244">
        <f>[5]trip_summary_region!H244</f>
        <v>3.6475445584999999</v>
      </c>
      <c r="I244" t="str">
        <f>[5]trip_summary_region!I244</f>
        <v>Non-Household Travel</v>
      </c>
      <c r="J244" t="str">
        <f>[5]trip_summary_region!J244</f>
        <v>2032/33</v>
      </c>
    </row>
    <row r="245" spans="1:10" x14ac:dyDescent="0.2">
      <c r="A245" t="str">
        <f>[5]trip_summary_region!A245</f>
        <v>03 WAIKATO</v>
      </c>
      <c r="B245">
        <f>[5]trip_summary_region!B245</f>
        <v>11</v>
      </c>
      <c r="C245">
        <f>[5]trip_summary_region!C245</f>
        <v>2038</v>
      </c>
      <c r="D245">
        <f>[5]trip_summary_region!D245</f>
        <v>52</v>
      </c>
      <c r="E245">
        <f>[5]trip_summary_region!E245</f>
        <v>244</v>
      </c>
      <c r="F245">
        <f>[5]trip_summary_region!F245</f>
        <v>9.5848856632999997</v>
      </c>
      <c r="G245">
        <f>[5]trip_summary_region!G245</f>
        <v>189.18015742</v>
      </c>
      <c r="H245">
        <f>[5]trip_summary_region!H245</f>
        <v>3.7502860804</v>
      </c>
      <c r="I245" t="str">
        <f>[5]trip_summary_region!I245</f>
        <v>Non-Household Travel</v>
      </c>
      <c r="J245" t="str">
        <f>[5]trip_summary_region!J245</f>
        <v>2037/38</v>
      </c>
    </row>
    <row r="246" spans="1:10" x14ac:dyDescent="0.2">
      <c r="A246" t="str">
        <f>[5]trip_summary_region!A246</f>
        <v>03 WAIKATO</v>
      </c>
      <c r="B246">
        <f>[5]trip_summary_region!B246</f>
        <v>11</v>
      </c>
      <c r="C246">
        <f>[5]trip_summary_region!C246</f>
        <v>2043</v>
      </c>
      <c r="D246">
        <f>[5]trip_summary_region!D246</f>
        <v>52</v>
      </c>
      <c r="E246">
        <f>[5]trip_summary_region!E246</f>
        <v>244</v>
      </c>
      <c r="F246">
        <f>[5]trip_summary_region!F246</f>
        <v>9.6870967024999999</v>
      </c>
      <c r="G246">
        <f>[5]trip_summary_region!G246</f>
        <v>193.99576429999999</v>
      </c>
      <c r="H246">
        <f>[5]trip_summary_region!H246</f>
        <v>3.8330268336</v>
      </c>
      <c r="I246" t="str">
        <f>[5]trip_summary_region!I246</f>
        <v>Non-Household Travel</v>
      </c>
      <c r="J246" t="str">
        <f>[5]trip_summary_region!J246</f>
        <v>2042/43</v>
      </c>
    </row>
    <row r="247" spans="1:10" x14ac:dyDescent="0.2">
      <c r="A247" t="str">
        <f>[5]trip_summary_region!A247</f>
        <v>04 BAY OF PLENTY</v>
      </c>
      <c r="B247">
        <f>[5]trip_summary_region!B247</f>
        <v>0</v>
      </c>
      <c r="C247">
        <f>[5]trip_summary_region!C247</f>
        <v>2013</v>
      </c>
      <c r="D247">
        <f>[5]trip_summary_region!D247</f>
        <v>436</v>
      </c>
      <c r="E247">
        <f>[5]trip_summary_region!E247</f>
        <v>1419</v>
      </c>
      <c r="F247">
        <f>[5]trip_summary_region!F247</f>
        <v>43.402809341999998</v>
      </c>
      <c r="G247">
        <f>[5]trip_summary_region!G247</f>
        <v>35.579183637</v>
      </c>
      <c r="H247">
        <f>[5]trip_summary_region!H247</f>
        <v>9.1706746114000008</v>
      </c>
      <c r="I247" t="str">
        <f>[5]trip_summary_region!I247</f>
        <v>Pedestrian</v>
      </c>
      <c r="J247" t="str">
        <f>[5]trip_summary_region!J247</f>
        <v>2012/13</v>
      </c>
    </row>
    <row r="248" spans="1:10" x14ac:dyDescent="0.2">
      <c r="A248" t="str">
        <f>[5]trip_summary_region!A248</f>
        <v>04 BAY OF PLENTY</v>
      </c>
      <c r="B248">
        <f>[5]trip_summary_region!B248</f>
        <v>0</v>
      </c>
      <c r="C248">
        <f>[5]trip_summary_region!C248</f>
        <v>2018</v>
      </c>
      <c r="D248">
        <f>[5]trip_summary_region!D248</f>
        <v>436</v>
      </c>
      <c r="E248">
        <f>[5]trip_summary_region!E248</f>
        <v>1419</v>
      </c>
      <c r="F248">
        <f>[5]trip_summary_region!F248</f>
        <v>43.663906396000002</v>
      </c>
      <c r="G248">
        <f>[5]trip_summary_region!G248</f>
        <v>35.029163228000002</v>
      </c>
      <c r="H248">
        <f>[5]trip_summary_region!H248</f>
        <v>9.1822825685999998</v>
      </c>
      <c r="I248" t="str">
        <f>[5]trip_summary_region!I248</f>
        <v>Pedestrian</v>
      </c>
      <c r="J248" t="str">
        <f>[5]trip_summary_region!J248</f>
        <v>2017/18</v>
      </c>
    </row>
    <row r="249" spans="1:10" x14ac:dyDescent="0.2">
      <c r="A249" t="str">
        <f>[5]trip_summary_region!A249</f>
        <v>04 BAY OF PLENTY</v>
      </c>
      <c r="B249">
        <f>[5]trip_summary_region!B249</f>
        <v>0</v>
      </c>
      <c r="C249">
        <f>[5]trip_summary_region!C249</f>
        <v>2023</v>
      </c>
      <c r="D249">
        <f>[5]trip_summary_region!D249</f>
        <v>436</v>
      </c>
      <c r="E249">
        <f>[5]trip_summary_region!E249</f>
        <v>1419</v>
      </c>
      <c r="F249">
        <f>[5]trip_summary_region!F249</f>
        <v>44.275137067999999</v>
      </c>
      <c r="G249">
        <f>[5]trip_summary_region!G249</f>
        <v>34.956622230999997</v>
      </c>
      <c r="H249">
        <f>[5]trip_summary_region!H249</f>
        <v>9.2777099450999998</v>
      </c>
      <c r="I249" t="str">
        <f>[5]trip_summary_region!I249</f>
        <v>Pedestrian</v>
      </c>
      <c r="J249" t="str">
        <f>[5]trip_summary_region!J249</f>
        <v>2022/23</v>
      </c>
    </row>
    <row r="250" spans="1:10" x14ac:dyDescent="0.2">
      <c r="A250" t="str">
        <f>[5]trip_summary_region!A250</f>
        <v>04 BAY OF PLENTY</v>
      </c>
      <c r="B250">
        <f>[5]trip_summary_region!B250</f>
        <v>0</v>
      </c>
      <c r="C250">
        <f>[5]trip_summary_region!C250</f>
        <v>2028</v>
      </c>
      <c r="D250">
        <f>[5]trip_summary_region!D250</f>
        <v>436</v>
      </c>
      <c r="E250">
        <f>[5]trip_summary_region!E250</f>
        <v>1419</v>
      </c>
      <c r="F250">
        <f>[5]trip_summary_region!F250</f>
        <v>45.378665779999999</v>
      </c>
      <c r="G250">
        <f>[5]trip_summary_region!G250</f>
        <v>34.989895302000001</v>
      </c>
      <c r="H250">
        <f>[5]trip_summary_region!H250</f>
        <v>9.3779635272000004</v>
      </c>
      <c r="I250" t="str">
        <f>[5]trip_summary_region!I250</f>
        <v>Pedestrian</v>
      </c>
      <c r="J250" t="str">
        <f>[5]trip_summary_region!J250</f>
        <v>2027/28</v>
      </c>
    </row>
    <row r="251" spans="1:10" x14ac:dyDescent="0.2">
      <c r="A251" t="str">
        <f>[5]trip_summary_region!A251</f>
        <v>04 BAY OF PLENTY</v>
      </c>
      <c r="B251">
        <f>[5]trip_summary_region!B251</f>
        <v>0</v>
      </c>
      <c r="C251">
        <f>[5]trip_summary_region!C251</f>
        <v>2033</v>
      </c>
      <c r="D251">
        <f>[5]trip_summary_region!D251</f>
        <v>436</v>
      </c>
      <c r="E251">
        <f>[5]trip_summary_region!E251</f>
        <v>1419</v>
      </c>
      <c r="F251">
        <f>[5]trip_summary_region!F251</f>
        <v>46.01604553</v>
      </c>
      <c r="G251">
        <f>[5]trip_summary_region!G251</f>
        <v>34.515843705999998</v>
      </c>
      <c r="H251">
        <f>[5]trip_summary_region!H251</f>
        <v>9.3398550747000009</v>
      </c>
      <c r="I251" t="str">
        <f>[5]trip_summary_region!I251</f>
        <v>Pedestrian</v>
      </c>
      <c r="J251" t="str">
        <f>[5]trip_summary_region!J251</f>
        <v>2032/33</v>
      </c>
    </row>
    <row r="252" spans="1:10" x14ac:dyDescent="0.2">
      <c r="A252" t="str">
        <f>[5]trip_summary_region!A252</f>
        <v>04 BAY OF PLENTY</v>
      </c>
      <c r="B252">
        <f>[5]trip_summary_region!B252</f>
        <v>0</v>
      </c>
      <c r="C252">
        <f>[5]trip_summary_region!C252</f>
        <v>2038</v>
      </c>
      <c r="D252">
        <f>[5]trip_summary_region!D252</f>
        <v>436</v>
      </c>
      <c r="E252">
        <f>[5]trip_summary_region!E252</f>
        <v>1419</v>
      </c>
      <c r="F252">
        <f>[5]trip_summary_region!F252</f>
        <v>46.498504173999997</v>
      </c>
      <c r="G252">
        <f>[5]trip_summary_region!G252</f>
        <v>34.139319307999997</v>
      </c>
      <c r="H252">
        <f>[5]trip_summary_region!H252</f>
        <v>9.2799116918000006</v>
      </c>
      <c r="I252" t="str">
        <f>[5]trip_summary_region!I252</f>
        <v>Pedestrian</v>
      </c>
      <c r="J252" t="str">
        <f>[5]trip_summary_region!J252</f>
        <v>2037/38</v>
      </c>
    </row>
    <row r="253" spans="1:10" x14ac:dyDescent="0.2">
      <c r="A253" t="str">
        <f>[5]trip_summary_region!A253</f>
        <v>04 BAY OF PLENTY</v>
      </c>
      <c r="B253">
        <f>[5]trip_summary_region!B253</f>
        <v>0</v>
      </c>
      <c r="C253">
        <f>[5]trip_summary_region!C253</f>
        <v>2043</v>
      </c>
      <c r="D253">
        <f>[5]trip_summary_region!D253</f>
        <v>436</v>
      </c>
      <c r="E253">
        <f>[5]trip_summary_region!E253</f>
        <v>1419</v>
      </c>
      <c r="F253">
        <f>[5]trip_summary_region!F253</f>
        <v>46.844869711000001</v>
      </c>
      <c r="G253">
        <f>[5]trip_summary_region!G253</f>
        <v>33.689295264999998</v>
      </c>
      <c r="H253">
        <f>[5]trip_summary_region!H253</f>
        <v>9.1951220658999997</v>
      </c>
      <c r="I253" t="str">
        <f>[5]trip_summary_region!I253</f>
        <v>Pedestrian</v>
      </c>
      <c r="J253" t="str">
        <f>[5]trip_summary_region!J253</f>
        <v>2042/43</v>
      </c>
    </row>
    <row r="254" spans="1:10" x14ac:dyDescent="0.2">
      <c r="A254" t="str">
        <f>[5]trip_summary_region!A254</f>
        <v>04 BAY OF PLENTY</v>
      </c>
      <c r="B254">
        <f>[5]trip_summary_region!B254</f>
        <v>1</v>
      </c>
      <c r="C254">
        <f>[5]trip_summary_region!C254</f>
        <v>2013</v>
      </c>
      <c r="D254">
        <f>[5]trip_summary_region!D254</f>
        <v>53</v>
      </c>
      <c r="E254">
        <f>[5]trip_summary_region!E254</f>
        <v>183</v>
      </c>
      <c r="F254">
        <f>[5]trip_summary_region!F254</f>
        <v>5.1579391552000002</v>
      </c>
      <c r="G254">
        <f>[5]trip_summary_region!G254</f>
        <v>8.5028812633000008</v>
      </c>
      <c r="H254">
        <f>[5]trip_summary_region!H254</f>
        <v>0.91801276549999999</v>
      </c>
      <c r="I254" t="str">
        <f>[5]trip_summary_region!I254</f>
        <v>Cyclist</v>
      </c>
      <c r="J254" t="str">
        <f>[5]trip_summary_region!J254</f>
        <v>2012/13</v>
      </c>
    </row>
    <row r="255" spans="1:10" x14ac:dyDescent="0.2">
      <c r="A255" t="str">
        <f>[5]trip_summary_region!A255</f>
        <v>04 BAY OF PLENTY</v>
      </c>
      <c r="B255">
        <f>[5]trip_summary_region!B255</f>
        <v>1</v>
      </c>
      <c r="C255">
        <f>[5]trip_summary_region!C255</f>
        <v>2018</v>
      </c>
      <c r="D255">
        <f>[5]trip_summary_region!D255</f>
        <v>53</v>
      </c>
      <c r="E255">
        <f>[5]trip_summary_region!E255</f>
        <v>183</v>
      </c>
      <c r="F255">
        <f>[5]trip_summary_region!F255</f>
        <v>4.9827693765000003</v>
      </c>
      <c r="G255">
        <f>[5]trip_summary_region!G255</f>
        <v>8.2315490368000006</v>
      </c>
      <c r="H255">
        <f>[5]trip_summary_region!H255</f>
        <v>0.8791574539</v>
      </c>
      <c r="I255" t="str">
        <f>[5]trip_summary_region!I255</f>
        <v>Cyclist</v>
      </c>
      <c r="J255" t="str">
        <f>[5]trip_summary_region!J255</f>
        <v>2017/18</v>
      </c>
    </row>
    <row r="256" spans="1:10" x14ac:dyDescent="0.2">
      <c r="A256" t="str">
        <f>[5]trip_summary_region!A256</f>
        <v>04 BAY OF PLENTY</v>
      </c>
      <c r="B256">
        <f>[5]trip_summary_region!B256</f>
        <v>1</v>
      </c>
      <c r="C256">
        <f>[5]trip_summary_region!C256</f>
        <v>2023</v>
      </c>
      <c r="D256">
        <f>[5]trip_summary_region!D256</f>
        <v>53</v>
      </c>
      <c r="E256">
        <f>[5]trip_summary_region!E256</f>
        <v>183</v>
      </c>
      <c r="F256">
        <f>[5]trip_summary_region!F256</f>
        <v>4.8955823973000001</v>
      </c>
      <c r="G256">
        <f>[5]trip_summary_region!G256</f>
        <v>8.0982222264000008</v>
      </c>
      <c r="H256">
        <f>[5]trip_summary_region!H256</f>
        <v>0.85836833410000002</v>
      </c>
      <c r="I256" t="str">
        <f>[5]trip_summary_region!I256</f>
        <v>Cyclist</v>
      </c>
      <c r="J256" t="str">
        <f>[5]trip_summary_region!J256</f>
        <v>2022/23</v>
      </c>
    </row>
    <row r="257" spans="1:10" x14ac:dyDescent="0.2">
      <c r="A257" t="str">
        <f>[5]trip_summary_region!A257</f>
        <v>04 BAY OF PLENTY</v>
      </c>
      <c r="B257">
        <f>[5]trip_summary_region!B257</f>
        <v>1</v>
      </c>
      <c r="C257">
        <f>[5]trip_summary_region!C257</f>
        <v>2028</v>
      </c>
      <c r="D257">
        <f>[5]trip_summary_region!D257</f>
        <v>53</v>
      </c>
      <c r="E257">
        <f>[5]trip_summary_region!E257</f>
        <v>183</v>
      </c>
      <c r="F257">
        <f>[5]trip_summary_region!F257</f>
        <v>4.9782720830000002</v>
      </c>
      <c r="G257">
        <f>[5]trip_summary_region!G257</f>
        <v>8.2095150522000004</v>
      </c>
      <c r="H257">
        <f>[5]trip_summary_region!H257</f>
        <v>0.86409261400000004</v>
      </c>
      <c r="I257" t="str">
        <f>[5]trip_summary_region!I257</f>
        <v>Cyclist</v>
      </c>
      <c r="J257" t="str">
        <f>[5]trip_summary_region!J257</f>
        <v>2027/28</v>
      </c>
    </row>
    <row r="258" spans="1:10" x14ac:dyDescent="0.2">
      <c r="A258" t="str">
        <f>[5]trip_summary_region!A258</f>
        <v>04 BAY OF PLENTY</v>
      </c>
      <c r="B258">
        <f>[5]trip_summary_region!B258</f>
        <v>1</v>
      </c>
      <c r="C258">
        <f>[5]trip_summary_region!C258</f>
        <v>2033</v>
      </c>
      <c r="D258">
        <f>[5]trip_summary_region!D258</f>
        <v>53</v>
      </c>
      <c r="E258">
        <f>[5]trip_summary_region!E258</f>
        <v>183</v>
      </c>
      <c r="F258">
        <f>[5]trip_summary_region!F258</f>
        <v>4.9989148572</v>
      </c>
      <c r="G258">
        <f>[5]trip_summary_region!G258</f>
        <v>8.1483671742000006</v>
      </c>
      <c r="H258">
        <f>[5]trip_summary_region!H258</f>
        <v>0.85656932129999996</v>
      </c>
      <c r="I258" t="str">
        <f>[5]trip_summary_region!I258</f>
        <v>Cyclist</v>
      </c>
      <c r="J258" t="str">
        <f>[5]trip_summary_region!J258</f>
        <v>2032/33</v>
      </c>
    </row>
    <row r="259" spans="1:10" x14ac:dyDescent="0.2">
      <c r="A259" t="str">
        <f>[5]trip_summary_region!A259</f>
        <v>04 BAY OF PLENTY</v>
      </c>
      <c r="B259">
        <f>[5]trip_summary_region!B259</f>
        <v>1</v>
      </c>
      <c r="C259">
        <f>[5]trip_summary_region!C259</f>
        <v>2038</v>
      </c>
      <c r="D259">
        <f>[5]trip_summary_region!D259</f>
        <v>53</v>
      </c>
      <c r="E259">
        <f>[5]trip_summary_region!E259</f>
        <v>183</v>
      </c>
      <c r="F259">
        <f>[5]trip_summary_region!F259</f>
        <v>4.9790502586000001</v>
      </c>
      <c r="G259">
        <f>[5]trip_summary_region!G259</f>
        <v>8.1552031444999997</v>
      </c>
      <c r="H259">
        <f>[5]trip_summary_region!H259</f>
        <v>0.84786423399999999</v>
      </c>
      <c r="I259" t="str">
        <f>[5]trip_summary_region!I259</f>
        <v>Cyclist</v>
      </c>
      <c r="J259" t="str">
        <f>[5]trip_summary_region!J259</f>
        <v>2037/38</v>
      </c>
    </row>
    <row r="260" spans="1:10" x14ac:dyDescent="0.2">
      <c r="A260" t="str">
        <f>[5]trip_summary_region!A260</f>
        <v>04 BAY OF PLENTY</v>
      </c>
      <c r="B260">
        <f>[5]trip_summary_region!B260</f>
        <v>1</v>
      </c>
      <c r="C260">
        <f>[5]trip_summary_region!C260</f>
        <v>2043</v>
      </c>
      <c r="D260">
        <f>[5]trip_summary_region!D260</f>
        <v>53</v>
      </c>
      <c r="E260">
        <f>[5]trip_summary_region!E260</f>
        <v>183</v>
      </c>
      <c r="F260">
        <f>[5]trip_summary_region!F260</f>
        <v>4.9420739463999999</v>
      </c>
      <c r="G260">
        <f>[5]trip_summary_region!G260</f>
        <v>8.1458586698000008</v>
      </c>
      <c r="H260">
        <f>[5]trip_summary_region!H260</f>
        <v>0.83733579680000003</v>
      </c>
      <c r="I260" t="str">
        <f>[5]trip_summary_region!I260</f>
        <v>Cyclist</v>
      </c>
      <c r="J260" t="str">
        <f>[5]trip_summary_region!J260</f>
        <v>2042/43</v>
      </c>
    </row>
    <row r="261" spans="1:10" x14ac:dyDescent="0.2">
      <c r="A261" t="str">
        <f>[5]trip_summary_region!A261</f>
        <v>04 BAY OF PLENTY</v>
      </c>
      <c r="B261">
        <f>[5]trip_summary_region!B261</f>
        <v>2</v>
      </c>
      <c r="C261">
        <f>[5]trip_summary_region!C261</f>
        <v>2013</v>
      </c>
      <c r="D261">
        <f>[5]trip_summary_region!D261</f>
        <v>777</v>
      </c>
      <c r="E261">
        <f>[5]trip_summary_region!E261</f>
        <v>5260</v>
      </c>
      <c r="F261">
        <f>[5]trip_summary_region!F261</f>
        <v>178.59124365</v>
      </c>
      <c r="G261">
        <f>[5]trip_summary_region!G261</f>
        <v>1972.0747595</v>
      </c>
      <c r="H261">
        <f>[5]trip_summary_region!H261</f>
        <v>45.59682093</v>
      </c>
      <c r="I261" t="str">
        <f>[5]trip_summary_region!I261</f>
        <v>Light Vehicle Driver</v>
      </c>
      <c r="J261" t="str">
        <f>[5]trip_summary_region!J261</f>
        <v>2012/13</v>
      </c>
    </row>
    <row r="262" spans="1:10" x14ac:dyDescent="0.2">
      <c r="A262" t="str">
        <f>[5]trip_summary_region!A262</f>
        <v>04 BAY OF PLENTY</v>
      </c>
      <c r="B262">
        <f>[5]trip_summary_region!B262</f>
        <v>2</v>
      </c>
      <c r="C262">
        <f>[5]trip_summary_region!C262</f>
        <v>2018</v>
      </c>
      <c r="D262">
        <f>[5]trip_summary_region!D262</f>
        <v>777</v>
      </c>
      <c r="E262">
        <f>[5]trip_summary_region!E262</f>
        <v>5260</v>
      </c>
      <c r="F262">
        <f>[5]trip_summary_region!F262</f>
        <v>183.41807656</v>
      </c>
      <c r="G262">
        <f>[5]trip_summary_region!G262</f>
        <v>2056.0025636999999</v>
      </c>
      <c r="H262">
        <f>[5]trip_summary_region!H262</f>
        <v>47.237207701000003</v>
      </c>
      <c r="I262" t="str">
        <f>[5]trip_summary_region!I262</f>
        <v>Light Vehicle Driver</v>
      </c>
      <c r="J262" t="str">
        <f>[5]trip_summary_region!J262</f>
        <v>2017/18</v>
      </c>
    </row>
    <row r="263" spans="1:10" x14ac:dyDescent="0.2">
      <c r="A263" t="str">
        <f>[5]trip_summary_region!A263</f>
        <v>04 BAY OF PLENTY</v>
      </c>
      <c r="B263">
        <f>[5]trip_summary_region!B263</f>
        <v>2</v>
      </c>
      <c r="C263">
        <f>[5]trip_summary_region!C263</f>
        <v>2023</v>
      </c>
      <c r="D263">
        <f>[5]trip_summary_region!D263</f>
        <v>777</v>
      </c>
      <c r="E263">
        <f>[5]trip_summary_region!E263</f>
        <v>5260</v>
      </c>
      <c r="F263">
        <f>[5]trip_summary_region!F263</f>
        <v>189.97582352000001</v>
      </c>
      <c r="G263">
        <f>[5]trip_summary_region!G263</f>
        <v>2154.2082433</v>
      </c>
      <c r="H263">
        <f>[5]trip_summary_region!H263</f>
        <v>49.263257840999998</v>
      </c>
      <c r="I263" t="str">
        <f>[5]trip_summary_region!I263</f>
        <v>Light Vehicle Driver</v>
      </c>
      <c r="J263" t="str">
        <f>[5]trip_summary_region!J263</f>
        <v>2022/23</v>
      </c>
    </row>
    <row r="264" spans="1:10" x14ac:dyDescent="0.2">
      <c r="A264" t="str">
        <f>[5]trip_summary_region!A264</f>
        <v>04 BAY OF PLENTY</v>
      </c>
      <c r="B264">
        <f>[5]trip_summary_region!B264</f>
        <v>2</v>
      </c>
      <c r="C264">
        <f>[5]trip_summary_region!C264</f>
        <v>2028</v>
      </c>
      <c r="D264">
        <f>[5]trip_summary_region!D264</f>
        <v>777</v>
      </c>
      <c r="E264">
        <f>[5]trip_summary_region!E264</f>
        <v>5260</v>
      </c>
      <c r="F264">
        <f>[5]trip_summary_region!F264</f>
        <v>199.51884321</v>
      </c>
      <c r="G264">
        <f>[5]trip_summary_region!G264</f>
        <v>2285.9314626999999</v>
      </c>
      <c r="H264">
        <f>[5]trip_summary_region!H264</f>
        <v>52.094210295000003</v>
      </c>
      <c r="I264" t="str">
        <f>[5]trip_summary_region!I264</f>
        <v>Light Vehicle Driver</v>
      </c>
      <c r="J264" t="str">
        <f>[5]trip_summary_region!J264</f>
        <v>2027/28</v>
      </c>
    </row>
    <row r="265" spans="1:10" x14ac:dyDescent="0.2">
      <c r="A265" t="str">
        <f>[5]trip_summary_region!A265</f>
        <v>04 BAY OF PLENTY</v>
      </c>
      <c r="B265">
        <f>[5]trip_summary_region!B265</f>
        <v>2</v>
      </c>
      <c r="C265">
        <f>[5]trip_summary_region!C265</f>
        <v>2033</v>
      </c>
      <c r="D265">
        <f>[5]trip_summary_region!D265</f>
        <v>777</v>
      </c>
      <c r="E265">
        <f>[5]trip_summary_region!E265</f>
        <v>5260</v>
      </c>
      <c r="F265">
        <f>[5]trip_summary_region!F265</f>
        <v>205.87266271999999</v>
      </c>
      <c r="G265">
        <f>[5]trip_summary_region!G265</f>
        <v>2374.3156632</v>
      </c>
      <c r="H265">
        <f>[5]trip_summary_region!H265</f>
        <v>54.006944941</v>
      </c>
      <c r="I265" t="str">
        <f>[5]trip_summary_region!I265</f>
        <v>Light Vehicle Driver</v>
      </c>
      <c r="J265" t="str">
        <f>[5]trip_summary_region!J265</f>
        <v>2032/33</v>
      </c>
    </row>
    <row r="266" spans="1:10" x14ac:dyDescent="0.2">
      <c r="A266" t="str">
        <f>[5]trip_summary_region!A266</f>
        <v>04 BAY OF PLENTY</v>
      </c>
      <c r="B266">
        <f>[5]trip_summary_region!B266</f>
        <v>2</v>
      </c>
      <c r="C266">
        <f>[5]trip_summary_region!C266</f>
        <v>2038</v>
      </c>
      <c r="D266">
        <f>[5]trip_summary_region!D266</f>
        <v>777</v>
      </c>
      <c r="E266">
        <f>[5]trip_summary_region!E266</f>
        <v>5260</v>
      </c>
      <c r="F266">
        <f>[5]trip_summary_region!F266</f>
        <v>208.25289835999999</v>
      </c>
      <c r="G266">
        <f>[5]trip_summary_region!G266</f>
        <v>2410.4551999999999</v>
      </c>
      <c r="H266">
        <f>[5]trip_summary_region!H266</f>
        <v>54.844608465999997</v>
      </c>
      <c r="I266" t="str">
        <f>[5]trip_summary_region!I266</f>
        <v>Light Vehicle Driver</v>
      </c>
      <c r="J266" t="str">
        <f>[5]trip_summary_region!J266</f>
        <v>2037/38</v>
      </c>
    </row>
    <row r="267" spans="1:10" x14ac:dyDescent="0.2">
      <c r="A267" t="str">
        <f>[5]trip_summary_region!A267</f>
        <v>04 BAY OF PLENTY</v>
      </c>
      <c r="B267">
        <f>[5]trip_summary_region!B267</f>
        <v>2</v>
      </c>
      <c r="C267">
        <f>[5]trip_summary_region!C267</f>
        <v>2043</v>
      </c>
      <c r="D267">
        <f>[5]trip_summary_region!D267</f>
        <v>777</v>
      </c>
      <c r="E267">
        <f>[5]trip_summary_region!E267</f>
        <v>5260</v>
      </c>
      <c r="F267">
        <f>[5]trip_summary_region!F267</f>
        <v>209.72284010999999</v>
      </c>
      <c r="G267">
        <f>[5]trip_summary_region!G267</f>
        <v>2435.6388357999999</v>
      </c>
      <c r="H267">
        <f>[5]trip_summary_region!H267</f>
        <v>55.457790736</v>
      </c>
      <c r="I267" t="str">
        <f>[5]trip_summary_region!I267</f>
        <v>Light Vehicle Driver</v>
      </c>
      <c r="J267" t="str">
        <f>[5]trip_summary_region!J267</f>
        <v>2042/43</v>
      </c>
    </row>
    <row r="268" spans="1:10" x14ac:dyDescent="0.2">
      <c r="A268" t="str">
        <f>[5]trip_summary_region!A268</f>
        <v>04 BAY OF PLENTY</v>
      </c>
      <c r="B268">
        <f>[5]trip_summary_region!B268</f>
        <v>3</v>
      </c>
      <c r="C268">
        <f>[5]trip_summary_region!C268</f>
        <v>2013</v>
      </c>
      <c r="D268">
        <f>[5]trip_summary_region!D268</f>
        <v>591</v>
      </c>
      <c r="E268">
        <f>[5]trip_summary_region!E268</f>
        <v>2668</v>
      </c>
      <c r="F268">
        <f>[5]trip_summary_region!F268</f>
        <v>98.719582360000004</v>
      </c>
      <c r="G268">
        <f>[5]trip_summary_region!G268</f>
        <v>1385.2330090999999</v>
      </c>
      <c r="H268">
        <f>[5]trip_summary_region!H268</f>
        <v>28.895615969000001</v>
      </c>
      <c r="I268" t="str">
        <f>[5]trip_summary_region!I268</f>
        <v>Light Vehicle Passenger</v>
      </c>
      <c r="J268" t="str">
        <f>[5]trip_summary_region!J268</f>
        <v>2012/13</v>
      </c>
    </row>
    <row r="269" spans="1:10" x14ac:dyDescent="0.2">
      <c r="A269" t="str">
        <f>[5]trip_summary_region!A269</f>
        <v>04 BAY OF PLENTY</v>
      </c>
      <c r="B269">
        <f>[5]trip_summary_region!B269</f>
        <v>3</v>
      </c>
      <c r="C269">
        <f>[5]trip_summary_region!C269</f>
        <v>2018</v>
      </c>
      <c r="D269">
        <f>[5]trip_summary_region!D269</f>
        <v>591</v>
      </c>
      <c r="E269">
        <f>[5]trip_summary_region!E269</f>
        <v>2668</v>
      </c>
      <c r="F269">
        <f>[5]trip_summary_region!F269</f>
        <v>97.677089113999997</v>
      </c>
      <c r="G269">
        <f>[5]trip_summary_region!G269</f>
        <v>1446.0898532000001</v>
      </c>
      <c r="H269">
        <f>[5]trip_summary_region!H269</f>
        <v>29.624864923000001</v>
      </c>
      <c r="I269" t="str">
        <f>[5]trip_summary_region!I269</f>
        <v>Light Vehicle Passenger</v>
      </c>
      <c r="J269" t="str">
        <f>[5]trip_summary_region!J269</f>
        <v>2017/18</v>
      </c>
    </row>
    <row r="270" spans="1:10" x14ac:dyDescent="0.2">
      <c r="A270" t="str">
        <f>[5]trip_summary_region!A270</f>
        <v>04 BAY OF PLENTY</v>
      </c>
      <c r="B270">
        <f>[5]trip_summary_region!B270</f>
        <v>3</v>
      </c>
      <c r="C270">
        <f>[5]trip_summary_region!C270</f>
        <v>2023</v>
      </c>
      <c r="D270">
        <f>[5]trip_summary_region!D270</f>
        <v>591</v>
      </c>
      <c r="E270">
        <f>[5]trip_summary_region!E270</f>
        <v>2668</v>
      </c>
      <c r="F270">
        <f>[5]trip_summary_region!F270</f>
        <v>97.260813882999997</v>
      </c>
      <c r="G270">
        <f>[5]trip_summary_region!G270</f>
        <v>1498.4200486</v>
      </c>
      <c r="H270">
        <f>[5]trip_summary_region!H270</f>
        <v>30.356712344999998</v>
      </c>
      <c r="I270" t="str">
        <f>[5]trip_summary_region!I270</f>
        <v>Light Vehicle Passenger</v>
      </c>
      <c r="J270" t="str">
        <f>[5]trip_summary_region!J270</f>
        <v>2022/23</v>
      </c>
    </row>
    <row r="271" spans="1:10" x14ac:dyDescent="0.2">
      <c r="A271" t="str">
        <f>[5]trip_summary_region!A271</f>
        <v>04 BAY OF PLENTY</v>
      </c>
      <c r="B271">
        <f>[5]trip_summary_region!B271</f>
        <v>3</v>
      </c>
      <c r="C271">
        <f>[5]trip_summary_region!C271</f>
        <v>2028</v>
      </c>
      <c r="D271">
        <f>[5]trip_summary_region!D271</f>
        <v>591</v>
      </c>
      <c r="E271">
        <f>[5]trip_summary_region!E271</f>
        <v>2668</v>
      </c>
      <c r="F271">
        <f>[5]trip_summary_region!F271</f>
        <v>98.100619762999997</v>
      </c>
      <c r="G271">
        <f>[5]trip_summary_region!G271</f>
        <v>1554.5235935999999</v>
      </c>
      <c r="H271">
        <f>[5]trip_summary_region!H271</f>
        <v>31.248359484000002</v>
      </c>
      <c r="I271" t="str">
        <f>[5]trip_summary_region!I271</f>
        <v>Light Vehicle Passenger</v>
      </c>
      <c r="J271" t="str">
        <f>[5]trip_summary_region!J271</f>
        <v>2027/28</v>
      </c>
    </row>
    <row r="272" spans="1:10" x14ac:dyDescent="0.2">
      <c r="A272" t="str">
        <f>[5]trip_summary_region!A272</f>
        <v>04 BAY OF PLENTY</v>
      </c>
      <c r="B272">
        <f>[5]trip_summary_region!B272</f>
        <v>3</v>
      </c>
      <c r="C272">
        <f>[5]trip_summary_region!C272</f>
        <v>2033</v>
      </c>
      <c r="D272">
        <f>[5]trip_summary_region!D272</f>
        <v>591</v>
      </c>
      <c r="E272">
        <f>[5]trip_summary_region!E272</f>
        <v>2668</v>
      </c>
      <c r="F272">
        <f>[5]trip_summary_region!F272</f>
        <v>98.181350034999994</v>
      </c>
      <c r="G272">
        <f>[5]trip_summary_region!G272</f>
        <v>1579.7949521999999</v>
      </c>
      <c r="H272">
        <f>[5]trip_summary_region!H272</f>
        <v>31.609344279999998</v>
      </c>
      <c r="I272" t="str">
        <f>[5]trip_summary_region!I272</f>
        <v>Light Vehicle Passenger</v>
      </c>
      <c r="J272" t="str">
        <f>[5]trip_summary_region!J272</f>
        <v>2032/33</v>
      </c>
    </row>
    <row r="273" spans="1:10" x14ac:dyDescent="0.2">
      <c r="A273" t="str">
        <f>[5]trip_summary_region!A273</f>
        <v>04 BAY OF PLENTY</v>
      </c>
      <c r="B273">
        <f>[5]trip_summary_region!B273</f>
        <v>3</v>
      </c>
      <c r="C273">
        <f>[5]trip_summary_region!C273</f>
        <v>2038</v>
      </c>
      <c r="D273">
        <f>[5]trip_summary_region!D273</f>
        <v>591</v>
      </c>
      <c r="E273">
        <f>[5]trip_summary_region!E273</f>
        <v>2668</v>
      </c>
      <c r="F273">
        <f>[5]trip_summary_region!F273</f>
        <v>97.591675924</v>
      </c>
      <c r="G273">
        <f>[5]trip_summary_region!G273</f>
        <v>1590.506359</v>
      </c>
      <c r="H273">
        <f>[5]trip_summary_region!H273</f>
        <v>31.709783174999998</v>
      </c>
      <c r="I273" t="str">
        <f>[5]trip_summary_region!I273</f>
        <v>Light Vehicle Passenger</v>
      </c>
      <c r="J273" t="str">
        <f>[5]trip_summary_region!J273</f>
        <v>2037/38</v>
      </c>
    </row>
    <row r="274" spans="1:10" x14ac:dyDescent="0.2">
      <c r="A274" t="str">
        <f>[5]trip_summary_region!A274</f>
        <v>04 BAY OF PLENTY</v>
      </c>
      <c r="B274">
        <f>[5]trip_summary_region!B274</f>
        <v>3</v>
      </c>
      <c r="C274">
        <f>[5]trip_summary_region!C274</f>
        <v>2043</v>
      </c>
      <c r="D274">
        <f>[5]trip_summary_region!D274</f>
        <v>591</v>
      </c>
      <c r="E274">
        <f>[5]trip_summary_region!E274</f>
        <v>2668</v>
      </c>
      <c r="F274">
        <f>[5]trip_summary_region!F274</f>
        <v>96.694828552000004</v>
      </c>
      <c r="G274">
        <f>[5]trip_summary_region!G274</f>
        <v>1595.193364</v>
      </c>
      <c r="H274">
        <f>[5]trip_summary_region!H274</f>
        <v>31.698775372</v>
      </c>
      <c r="I274" t="str">
        <f>[5]trip_summary_region!I274</f>
        <v>Light Vehicle Passenger</v>
      </c>
      <c r="J274" t="str">
        <f>[5]trip_summary_region!J274</f>
        <v>2042/43</v>
      </c>
    </row>
    <row r="275" spans="1:10" x14ac:dyDescent="0.2">
      <c r="A275" t="str">
        <f>[5]trip_summary_region!A275</f>
        <v>04 BAY OF PLENTY</v>
      </c>
      <c r="B275">
        <f>[5]trip_summary_region!B275</f>
        <v>4</v>
      </c>
      <c r="C275">
        <f>[5]trip_summary_region!C275</f>
        <v>2013</v>
      </c>
      <c r="D275">
        <f>[5]trip_summary_region!D275</f>
        <v>4</v>
      </c>
      <c r="E275">
        <f>[5]trip_summary_region!E275</f>
        <v>8</v>
      </c>
      <c r="F275">
        <f>[5]trip_summary_region!F275</f>
        <v>0.15552198610000001</v>
      </c>
      <c r="G275">
        <f>[5]trip_summary_region!G275</f>
        <v>0.98369936449999995</v>
      </c>
      <c r="H275">
        <f>[5]trip_summary_region!H275</f>
        <v>7.3048454499999999E-2</v>
      </c>
      <c r="I275" t="s">
        <v>116</v>
      </c>
      <c r="J275" t="str">
        <f>[5]trip_summary_region!J275</f>
        <v>2012/13</v>
      </c>
    </row>
    <row r="276" spans="1:10" x14ac:dyDescent="0.2">
      <c r="A276" t="str">
        <f>[5]trip_summary_region!A276</f>
        <v>04 BAY OF PLENTY</v>
      </c>
      <c r="B276">
        <f>[5]trip_summary_region!B276</f>
        <v>4</v>
      </c>
      <c r="C276">
        <f>[5]trip_summary_region!C276</f>
        <v>2018</v>
      </c>
      <c r="D276">
        <f>[5]trip_summary_region!D276</f>
        <v>4</v>
      </c>
      <c r="E276">
        <f>[5]trip_summary_region!E276</f>
        <v>8</v>
      </c>
      <c r="F276">
        <f>[5]trip_summary_region!F276</f>
        <v>0.14137100180000001</v>
      </c>
      <c r="G276">
        <f>[5]trip_summary_region!G276</f>
        <v>0.89351436979999999</v>
      </c>
      <c r="H276">
        <f>[5]trip_summary_region!H276</f>
        <v>6.6438523900000004E-2</v>
      </c>
      <c r="I276" t="s">
        <v>116</v>
      </c>
      <c r="J276" t="str">
        <f>[5]trip_summary_region!J276</f>
        <v>2017/18</v>
      </c>
    </row>
    <row r="277" spans="1:10" x14ac:dyDescent="0.2">
      <c r="A277" t="str">
        <f>[5]trip_summary_region!A277</f>
        <v>04 BAY OF PLENTY</v>
      </c>
      <c r="B277">
        <f>[5]trip_summary_region!B277</f>
        <v>4</v>
      </c>
      <c r="C277">
        <f>[5]trip_summary_region!C277</f>
        <v>2023</v>
      </c>
      <c r="D277">
        <f>[5]trip_summary_region!D277</f>
        <v>4</v>
      </c>
      <c r="E277">
        <f>[5]trip_summary_region!E277</f>
        <v>8</v>
      </c>
      <c r="F277">
        <f>[5]trip_summary_region!F277</f>
        <v>0.13093516099999999</v>
      </c>
      <c r="G277">
        <f>[5]trip_summary_region!G277</f>
        <v>0.85966123189999999</v>
      </c>
      <c r="H277">
        <f>[5]trip_summary_region!H277</f>
        <v>6.3879517100000005E-2</v>
      </c>
      <c r="I277" t="s">
        <v>116</v>
      </c>
      <c r="J277" t="str">
        <f>[5]trip_summary_region!J277</f>
        <v>2022/23</v>
      </c>
    </row>
    <row r="278" spans="1:10" x14ac:dyDescent="0.2">
      <c r="A278" t="str">
        <f>[5]trip_summary_region!A278</f>
        <v>04 BAY OF PLENTY</v>
      </c>
      <c r="B278">
        <f>[5]trip_summary_region!B278</f>
        <v>4</v>
      </c>
      <c r="C278">
        <f>[5]trip_summary_region!C278</f>
        <v>2028</v>
      </c>
      <c r="D278">
        <f>[5]trip_summary_region!D278</f>
        <v>4</v>
      </c>
      <c r="E278">
        <f>[5]trip_summary_region!E278</f>
        <v>8</v>
      </c>
      <c r="F278">
        <f>[5]trip_summary_region!F278</f>
        <v>0.12536028390000001</v>
      </c>
      <c r="G278">
        <f>[5]trip_summary_region!G278</f>
        <v>0.8724248711</v>
      </c>
      <c r="H278">
        <f>[5]trip_summary_region!H278</f>
        <v>6.4537960300000002E-2</v>
      </c>
      <c r="I278" t="s">
        <v>116</v>
      </c>
      <c r="J278" t="str">
        <f>[5]trip_summary_region!J278</f>
        <v>2027/28</v>
      </c>
    </row>
    <row r="279" spans="1:10" x14ac:dyDescent="0.2">
      <c r="A279" t="str">
        <f>[5]trip_summary_region!A279</f>
        <v>04 BAY OF PLENTY</v>
      </c>
      <c r="B279">
        <f>[5]trip_summary_region!B279</f>
        <v>4</v>
      </c>
      <c r="C279">
        <f>[5]trip_summary_region!C279</f>
        <v>2033</v>
      </c>
      <c r="D279">
        <f>[5]trip_summary_region!D279</f>
        <v>4</v>
      </c>
      <c r="E279">
        <f>[5]trip_summary_region!E279</f>
        <v>8</v>
      </c>
      <c r="F279">
        <f>[5]trip_summary_region!F279</f>
        <v>0.1199400987</v>
      </c>
      <c r="G279">
        <f>[5]trip_summary_region!G279</f>
        <v>0.84285550490000005</v>
      </c>
      <c r="H279">
        <f>[5]trip_summary_region!H279</f>
        <v>6.1972370300000003E-2</v>
      </c>
      <c r="I279" t="s">
        <v>116</v>
      </c>
      <c r="J279" t="str">
        <f>[5]trip_summary_region!J279</f>
        <v>2032/33</v>
      </c>
    </row>
    <row r="280" spans="1:10" x14ac:dyDescent="0.2">
      <c r="A280" t="str">
        <f>[5]trip_summary_region!A280</f>
        <v>04 BAY OF PLENTY</v>
      </c>
      <c r="B280">
        <f>[5]trip_summary_region!B280</f>
        <v>4</v>
      </c>
      <c r="C280">
        <f>[5]trip_summary_region!C280</f>
        <v>2038</v>
      </c>
      <c r="D280">
        <f>[5]trip_summary_region!D280</f>
        <v>4</v>
      </c>
      <c r="E280">
        <f>[5]trip_summary_region!E280</f>
        <v>8</v>
      </c>
      <c r="F280">
        <f>[5]trip_summary_region!F280</f>
        <v>0.1161409333</v>
      </c>
      <c r="G280">
        <f>[5]trip_summary_region!G280</f>
        <v>0.8182133506</v>
      </c>
      <c r="H280">
        <f>[5]trip_summary_region!H280</f>
        <v>6.0184243200000001E-2</v>
      </c>
      <c r="I280" t="s">
        <v>116</v>
      </c>
      <c r="J280" t="str">
        <f>[5]trip_summary_region!J280</f>
        <v>2037/38</v>
      </c>
    </row>
    <row r="281" spans="1:10" x14ac:dyDescent="0.2">
      <c r="A281" t="str">
        <f>[5]trip_summary_region!A281</f>
        <v>04 BAY OF PLENTY</v>
      </c>
      <c r="B281">
        <f>[5]trip_summary_region!B281</f>
        <v>4</v>
      </c>
      <c r="C281">
        <f>[5]trip_summary_region!C281</f>
        <v>2043</v>
      </c>
      <c r="D281">
        <f>[5]trip_summary_region!D281</f>
        <v>4</v>
      </c>
      <c r="E281">
        <f>[5]trip_summary_region!E281</f>
        <v>8</v>
      </c>
      <c r="F281">
        <f>[5]trip_summary_region!F281</f>
        <v>0.1114040967</v>
      </c>
      <c r="G281">
        <f>[5]trip_summary_region!G281</f>
        <v>0.78926405300000002</v>
      </c>
      <c r="H281">
        <f>[5]trip_summary_region!H281</f>
        <v>5.8150837499999997E-2</v>
      </c>
      <c r="I281" t="s">
        <v>116</v>
      </c>
      <c r="J281" t="str">
        <f>[5]trip_summary_region!J281</f>
        <v>2042/43</v>
      </c>
    </row>
    <row r="282" spans="1:10" x14ac:dyDescent="0.2">
      <c r="A282" t="str">
        <f>[5]trip_summary_region!A282</f>
        <v>04 BAY OF PLENTY</v>
      </c>
      <c r="B282">
        <f>[5]trip_summary_region!B282</f>
        <v>5</v>
      </c>
      <c r="C282">
        <f>[5]trip_summary_region!C282</f>
        <v>2013</v>
      </c>
      <c r="D282">
        <f>[5]trip_summary_region!D282</f>
        <v>10</v>
      </c>
      <c r="E282">
        <f>[5]trip_summary_region!E282</f>
        <v>40</v>
      </c>
      <c r="F282">
        <f>[5]trip_summary_region!F282</f>
        <v>0.90641599910000004</v>
      </c>
      <c r="G282">
        <f>[5]trip_summary_region!G282</f>
        <v>35.608960758999999</v>
      </c>
      <c r="H282">
        <f>[5]trip_summary_region!H282</f>
        <v>0.60409197079999999</v>
      </c>
      <c r="I282" t="str">
        <f>[5]trip_summary_region!I282</f>
        <v>Motorcyclist</v>
      </c>
      <c r="J282" t="str">
        <f>[5]trip_summary_region!J282</f>
        <v>2012/13</v>
      </c>
    </row>
    <row r="283" spans="1:10" x14ac:dyDescent="0.2">
      <c r="A283" t="str">
        <f>[5]trip_summary_region!A283</f>
        <v>04 BAY OF PLENTY</v>
      </c>
      <c r="B283">
        <f>[5]trip_summary_region!B283</f>
        <v>5</v>
      </c>
      <c r="C283">
        <f>[5]trip_summary_region!C283</f>
        <v>2018</v>
      </c>
      <c r="D283">
        <f>[5]trip_summary_region!D283</f>
        <v>10</v>
      </c>
      <c r="E283">
        <f>[5]trip_summary_region!E283</f>
        <v>40</v>
      </c>
      <c r="F283">
        <f>[5]trip_summary_region!F283</f>
        <v>0.95704096250000004</v>
      </c>
      <c r="G283">
        <f>[5]trip_summary_region!G283</f>
        <v>38.225260372000001</v>
      </c>
      <c r="H283">
        <f>[5]trip_summary_region!H283</f>
        <v>0.64585139979999995</v>
      </c>
      <c r="I283" t="str">
        <f>[5]trip_summary_region!I283</f>
        <v>Motorcyclist</v>
      </c>
      <c r="J283" t="str">
        <f>[5]trip_summary_region!J283</f>
        <v>2017/18</v>
      </c>
    </row>
    <row r="284" spans="1:10" x14ac:dyDescent="0.2">
      <c r="A284" t="str">
        <f>[5]trip_summary_region!A284</f>
        <v>04 BAY OF PLENTY</v>
      </c>
      <c r="B284">
        <f>[5]trip_summary_region!B284</f>
        <v>5</v>
      </c>
      <c r="C284">
        <f>[5]trip_summary_region!C284</f>
        <v>2023</v>
      </c>
      <c r="D284">
        <f>[5]trip_summary_region!D284</f>
        <v>10</v>
      </c>
      <c r="E284">
        <f>[5]trip_summary_region!E284</f>
        <v>40</v>
      </c>
      <c r="F284">
        <f>[5]trip_summary_region!F284</f>
        <v>0.98681349119999995</v>
      </c>
      <c r="G284">
        <f>[5]trip_summary_region!G284</f>
        <v>39.383273011999997</v>
      </c>
      <c r="H284">
        <f>[5]trip_summary_region!H284</f>
        <v>0.66414298589999998</v>
      </c>
      <c r="I284" t="str">
        <f>[5]trip_summary_region!I284</f>
        <v>Motorcyclist</v>
      </c>
      <c r="J284" t="str">
        <f>[5]trip_summary_region!J284</f>
        <v>2022/23</v>
      </c>
    </row>
    <row r="285" spans="1:10" x14ac:dyDescent="0.2">
      <c r="A285" t="str">
        <f>[5]trip_summary_region!A285</f>
        <v>04 BAY OF PLENTY</v>
      </c>
      <c r="B285">
        <f>[5]trip_summary_region!B285</f>
        <v>5</v>
      </c>
      <c r="C285">
        <f>[5]trip_summary_region!C285</f>
        <v>2028</v>
      </c>
      <c r="D285">
        <f>[5]trip_summary_region!D285</f>
        <v>10</v>
      </c>
      <c r="E285">
        <f>[5]trip_summary_region!E285</f>
        <v>40</v>
      </c>
      <c r="F285">
        <f>[5]trip_summary_region!F285</f>
        <v>1.0218663844</v>
      </c>
      <c r="G285">
        <f>[5]trip_summary_region!G285</f>
        <v>40.676002734000001</v>
      </c>
      <c r="H285">
        <f>[5]trip_summary_region!H285</f>
        <v>0.68447772120000006</v>
      </c>
      <c r="I285" t="str">
        <f>[5]trip_summary_region!I285</f>
        <v>Motorcyclist</v>
      </c>
      <c r="J285" t="str">
        <f>[5]trip_summary_region!J285</f>
        <v>2027/28</v>
      </c>
    </row>
    <row r="286" spans="1:10" x14ac:dyDescent="0.2">
      <c r="A286" t="str">
        <f>[5]trip_summary_region!A286</f>
        <v>04 BAY OF PLENTY</v>
      </c>
      <c r="B286">
        <f>[5]trip_summary_region!B286</f>
        <v>5</v>
      </c>
      <c r="C286">
        <f>[5]trip_summary_region!C286</f>
        <v>2033</v>
      </c>
      <c r="D286">
        <f>[5]trip_summary_region!D286</f>
        <v>10</v>
      </c>
      <c r="E286">
        <f>[5]trip_summary_region!E286</f>
        <v>40</v>
      </c>
      <c r="F286">
        <f>[5]trip_summary_region!F286</f>
        <v>1.0248171406</v>
      </c>
      <c r="G286">
        <f>[5]trip_summary_region!G286</f>
        <v>40.772050935999999</v>
      </c>
      <c r="H286">
        <f>[5]trip_summary_region!H286</f>
        <v>0.68622905059999995</v>
      </c>
      <c r="I286" t="str">
        <f>[5]trip_summary_region!I286</f>
        <v>Motorcyclist</v>
      </c>
      <c r="J286" t="str">
        <f>[5]trip_summary_region!J286</f>
        <v>2032/33</v>
      </c>
    </row>
    <row r="287" spans="1:10" x14ac:dyDescent="0.2">
      <c r="A287" t="str">
        <f>[5]trip_summary_region!A287</f>
        <v>04 BAY OF PLENTY</v>
      </c>
      <c r="B287">
        <f>[5]trip_summary_region!B287</f>
        <v>5</v>
      </c>
      <c r="C287">
        <f>[5]trip_summary_region!C287</f>
        <v>2038</v>
      </c>
      <c r="D287">
        <f>[5]trip_summary_region!D287</f>
        <v>10</v>
      </c>
      <c r="E287">
        <f>[5]trip_summary_region!E287</f>
        <v>40</v>
      </c>
      <c r="F287">
        <f>[5]trip_summary_region!F287</f>
        <v>1.0034397989999999</v>
      </c>
      <c r="G287">
        <f>[5]trip_summary_region!G287</f>
        <v>40.133745939000001</v>
      </c>
      <c r="H287">
        <f>[5]trip_summary_region!H287</f>
        <v>0.67630531670000005</v>
      </c>
      <c r="I287" t="str">
        <f>[5]trip_summary_region!I287</f>
        <v>Motorcyclist</v>
      </c>
      <c r="J287" t="str">
        <f>[5]trip_summary_region!J287</f>
        <v>2037/38</v>
      </c>
    </row>
    <row r="288" spans="1:10" x14ac:dyDescent="0.2">
      <c r="A288" t="str">
        <f>[5]trip_summary_region!A288</f>
        <v>04 BAY OF PLENTY</v>
      </c>
      <c r="B288">
        <f>[5]trip_summary_region!B288</f>
        <v>5</v>
      </c>
      <c r="C288">
        <f>[5]trip_summary_region!C288</f>
        <v>2043</v>
      </c>
      <c r="D288">
        <f>[5]trip_summary_region!D288</f>
        <v>10</v>
      </c>
      <c r="E288">
        <f>[5]trip_summary_region!E288</f>
        <v>40</v>
      </c>
      <c r="F288">
        <f>[5]trip_summary_region!F288</f>
        <v>0.97501016439999999</v>
      </c>
      <c r="G288">
        <f>[5]trip_summary_region!G288</f>
        <v>39.234323132999997</v>
      </c>
      <c r="H288">
        <f>[5]trip_summary_region!H288</f>
        <v>0.66196281099999998</v>
      </c>
      <c r="I288" t="str">
        <f>[5]trip_summary_region!I288</f>
        <v>Motorcyclist</v>
      </c>
      <c r="J288" t="str">
        <f>[5]trip_summary_region!J288</f>
        <v>2042/43</v>
      </c>
    </row>
    <row r="289" spans="1:10" x14ac:dyDescent="0.2">
      <c r="A289" t="str">
        <f>[5]trip_summary_region!A289</f>
        <v>04 BAY OF PLENTY</v>
      </c>
      <c r="B289">
        <f>[5]trip_summary_region!B289</f>
        <v>7</v>
      </c>
      <c r="C289">
        <f>[5]trip_summary_region!C289</f>
        <v>2013</v>
      </c>
      <c r="D289">
        <f>[5]trip_summary_region!D289</f>
        <v>73</v>
      </c>
      <c r="E289">
        <f>[5]trip_summary_region!E289</f>
        <v>194</v>
      </c>
      <c r="F289">
        <f>[5]trip_summary_region!F289</f>
        <v>7.4672006229000001</v>
      </c>
      <c r="G289">
        <f>[5]trip_summary_region!G289</f>
        <v>52.669440211999998</v>
      </c>
      <c r="H289">
        <f>[5]trip_summary_region!H289</f>
        <v>2.9412276716000001</v>
      </c>
      <c r="I289" t="str">
        <f>[5]trip_summary_region!I289</f>
        <v>Local Bus</v>
      </c>
      <c r="J289" t="str">
        <f>[5]trip_summary_region!J289</f>
        <v>2012/13</v>
      </c>
    </row>
    <row r="290" spans="1:10" x14ac:dyDescent="0.2">
      <c r="A290" t="str">
        <f>[5]trip_summary_region!A290</f>
        <v>04 BAY OF PLENTY</v>
      </c>
      <c r="B290">
        <f>[5]trip_summary_region!B290</f>
        <v>7</v>
      </c>
      <c r="C290">
        <f>[5]trip_summary_region!C290</f>
        <v>2018</v>
      </c>
      <c r="D290">
        <f>[5]trip_summary_region!D290</f>
        <v>73</v>
      </c>
      <c r="E290">
        <f>[5]trip_summary_region!E290</f>
        <v>194</v>
      </c>
      <c r="F290">
        <f>[5]trip_summary_region!F290</f>
        <v>7.2202824368999998</v>
      </c>
      <c r="G290">
        <f>[5]trip_summary_region!G290</f>
        <v>49.998238008999998</v>
      </c>
      <c r="H290">
        <f>[5]trip_summary_region!H290</f>
        <v>2.8010159497</v>
      </c>
      <c r="I290" t="str">
        <f>[5]trip_summary_region!I290</f>
        <v>Local Bus</v>
      </c>
      <c r="J290" t="str">
        <f>[5]trip_summary_region!J290</f>
        <v>2017/18</v>
      </c>
    </row>
    <row r="291" spans="1:10" x14ac:dyDescent="0.2">
      <c r="A291" t="str">
        <f>[5]trip_summary_region!A291</f>
        <v>04 BAY OF PLENTY</v>
      </c>
      <c r="B291">
        <f>[5]trip_summary_region!B291</f>
        <v>7</v>
      </c>
      <c r="C291">
        <f>[5]trip_summary_region!C291</f>
        <v>2023</v>
      </c>
      <c r="D291">
        <f>[5]trip_summary_region!D291</f>
        <v>73</v>
      </c>
      <c r="E291">
        <f>[5]trip_summary_region!E291</f>
        <v>194</v>
      </c>
      <c r="F291">
        <f>[5]trip_summary_region!F291</f>
        <v>7.0483778690000003</v>
      </c>
      <c r="G291">
        <f>[5]trip_summary_region!G291</f>
        <v>48.204225807999997</v>
      </c>
      <c r="H291">
        <f>[5]trip_summary_region!H291</f>
        <v>2.7055517973000001</v>
      </c>
      <c r="I291" t="str">
        <f>[5]trip_summary_region!I291</f>
        <v>Local Bus</v>
      </c>
      <c r="J291" t="str">
        <f>[5]trip_summary_region!J291</f>
        <v>2022/23</v>
      </c>
    </row>
    <row r="292" spans="1:10" x14ac:dyDescent="0.2">
      <c r="A292" t="str">
        <f>[5]trip_summary_region!A292</f>
        <v>04 BAY OF PLENTY</v>
      </c>
      <c r="B292">
        <f>[5]trip_summary_region!B292</f>
        <v>7</v>
      </c>
      <c r="C292">
        <f>[5]trip_summary_region!C292</f>
        <v>2028</v>
      </c>
      <c r="D292">
        <f>[5]trip_summary_region!D292</f>
        <v>73</v>
      </c>
      <c r="E292">
        <f>[5]trip_summary_region!E292</f>
        <v>194</v>
      </c>
      <c r="F292">
        <f>[5]trip_summary_region!F292</f>
        <v>7.0339497007</v>
      </c>
      <c r="G292">
        <f>[5]trip_summary_region!G292</f>
        <v>46.578744061999998</v>
      </c>
      <c r="H292">
        <f>[5]trip_summary_region!H292</f>
        <v>2.6569454331000002</v>
      </c>
      <c r="I292" t="str">
        <f>[5]trip_summary_region!I292</f>
        <v>Local Bus</v>
      </c>
      <c r="J292" t="str">
        <f>[5]trip_summary_region!J292</f>
        <v>2027/28</v>
      </c>
    </row>
    <row r="293" spans="1:10" x14ac:dyDescent="0.2">
      <c r="A293" t="str">
        <f>[5]trip_summary_region!A293</f>
        <v>04 BAY OF PLENTY</v>
      </c>
      <c r="B293">
        <f>[5]trip_summary_region!B293</f>
        <v>7</v>
      </c>
      <c r="C293">
        <f>[5]trip_summary_region!C293</f>
        <v>2033</v>
      </c>
      <c r="D293">
        <f>[5]trip_summary_region!D293</f>
        <v>73</v>
      </c>
      <c r="E293">
        <f>[5]trip_summary_region!E293</f>
        <v>194</v>
      </c>
      <c r="F293">
        <f>[5]trip_summary_region!F293</f>
        <v>6.9950660974999996</v>
      </c>
      <c r="G293">
        <f>[5]trip_summary_region!G293</f>
        <v>44.546903673000003</v>
      </c>
      <c r="H293">
        <f>[5]trip_summary_region!H293</f>
        <v>2.5967820613999999</v>
      </c>
      <c r="I293" t="str">
        <f>[5]trip_summary_region!I293</f>
        <v>Local Bus</v>
      </c>
      <c r="J293" t="str">
        <f>[5]trip_summary_region!J293</f>
        <v>2032/33</v>
      </c>
    </row>
    <row r="294" spans="1:10" x14ac:dyDescent="0.2">
      <c r="A294" t="str">
        <f>[5]trip_summary_region!A294</f>
        <v>04 BAY OF PLENTY</v>
      </c>
      <c r="B294">
        <f>[5]trip_summary_region!B294</f>
        <v>7</v>
      </c>
      <c r="C294">
        <f>[5]trip_summary_region!C294</f>
        <v>2038</v>
      </c>
      <c r="D294">
        <f>[5]trip_summary_region!D294</f>
        <v>73</v>
      </c>
      <c r="E294">
        <f>[5]trip_summary_region!E294</f>
        <v>194</v>
      </c>
      <c r="F294">
        <f>[5]trip_summary_region!F294</f>
        <v>6.9814892734000003</v>
      </c>
      <c r="G294">
        <f>[5]trip_summary_region!G294</f>
        <v>43.075124041999999</v>
      </c>
      <c r="H294">
        <f>[5]trip_summary_region!H294</f>
        <v>2.5508458577000002</v>
      </c>
      <c r="I294" t="str">
        <f>[5]trip_summary_region!I294</f>
        <v>Local Bus</v>
      </c>
      <c r="J294" t="str">
        <f>[5]trip_summary_region!J294</f>
        <v>2037/38</v>
      </c>
    </row>
    <row r="295" spans="1:10" x14ac:dyDescent="0.2">
      <c r="A295" t="str">
        <f>[5]trip_summary_region!A295</f>
        <v>04 BAY OF PLENTY</v>
      </c>
      <c r="B295">
        <f>[5]trip_summary_region!B295</f>
        <v>7</v>
      </c>
      <c r="C295">
        <f>[5]trip_summary_region!C295</f>
        <v>2043</v>
      </c>
      <c r="D295">
        <f>[5]trip_summary_region!D295</f>
        <v>73</v>
      </c>
      <c r="E295">
        <f>[5]trip_summary_region!E295</f>
        <v>194</v>
      </c>
      <c r="F295">
        <f>[5]trip_summary_region!F295</f>
        <v>6.9398570434</v>
      </c>
      <c r="G295">
        <f>[5]trip_summary_region!G295</f>
        <v>41.474494905999997</v>
      </c>
      <c r="H295">
        <f>[5]trip_summary_region!H295</f>
        <v>2.4954603698</v>
      </c>
      <c r="I295" t="str">
        <f>[5]trip_summary_region!I295</f>
        <v>Local Bus</v>
      </c>
      <c r="J295" t="str">
        <f>[5]trip_summary_region!J295</f>
        <v>2042/43</v>
      </c>
    </row>
    <row r="296" spans="1:10" x14ac:dyDescent="0.2">
      <c r="A296" t="str">
        <f>[5]trip_summary_region!A296</f>
        <v>04 BAY OF PLENTY</v>
      </c>
      <c r="B296">
        <f>[5]trip_summary_region!B296</f>
        <v>9</v>
      </c>
      <c r="C296">
        <f>[5]trip_summary_region!C296</f>
        <v>2013</v>
      </c>
      <c r="D296">
        <f>[5]trip_summary_region!D296</f>
        <v>13</v>
      </c>
      <c r="E296">
        <f>[5]trip_summary_region!E296</f>
        <v>34</v>
      </c>
      <c r="F296">
        <f>[5]trip_summary_region!F296</f>
        <v>0.59853678389999998</v>
      </c>
      <c r="G296">
        <f>[5]trip_summary_region!G296</f>
        <v>0</v>
      </c>
      <c r="H296">
        <f>[5]trip_summary_region!H296</f>
        <v>0.21279540499999999</v>
      </c>
      <c r="I296" t="str">
        <f>[5]trip_summary_region!I296</f>
        <v>Other Household Travel</v>
      </c>
      <c r="J296" t="str">
        <f>[5]trip_summary_region!J296</f>
        <v>2012/13</v>
      </c>
    </row>
    <row r="297" spans="1:10" x14ac:dyDescent="0.2">
      <c r="A297" t="str">
        <f>[5]trip_summary_region!A297</f>
        <v>04 BAY OF PLENTY</v>
      </c>
      <c r="B297">
        <f>[5]trip_summary_region!B297</f>
        <v>9</v>
      </c>
      <c r="C297">
        <f>[5]trip_summary_region!C297</f>
        <v>2018</v>
      </c>
      <c r="D297">
        <f>[5]trip_summary_region!D297</f>
        <v>13</v>
      </c>
      <c r="E297">
        <f>[5]trip_summary_region!E297</f>
        <v>34</v>
      </c>
      <c r="F297">
        <f>[5]trip_summary_region!F297</f>
        <v>0.58393492899999999</v>
      </c>
      <c r="G297">
        <f>[5]trip_summary_region!G297</f>
        <v>0</v>
      </c>
      <c r="H297">
        <f>[5]trip_summary_region!H297</f>
        <v>0.2140601795</v>
      </c>
      <c r="I297" t="str">
        <f>[5]trip_summary_region!I297</f>
        <v>Other Household Travel</v>
      </c>
      <c r="J297" t="str">
        <f>[5]trip_summary_region!J297</f>
        <v>2017/18</v>
      </c>
    </row>
    <row r="298" spans="1:10" x14ac:dyDescent="0.2">
      <c r="A298" t="str">
        <f>[5]trip_summary_region!A298</f>
        <v>04 BAY OF PLENTY</v>
      </c>
      <c r="B298">
        <f>[5]trip_summary_region!B298</f>
        <v>9</v>
      </c>
      <c r="C298">
        <f>[5]trip_summary_region!C298</f>
        <v>2023</v>
      </c>
      <c r="D298">
        <f>[5]trip_summary_region!D298</f>
        <v>13</v>
      </c>
      <c r="E298">
        <f>[5]trip_summary_region!E298</f>
        <v>34</v>
      </c>
      <c r="F298">
        <f>[5]trip_summary_region!F298</f>
        <v>0.54891596399999998</v>
      </c>
      <c r="G298">
        <f>[5]trip_summary_region!G298</f>
        <v>0</v>
      </c>
      <c r="H298">
        <f>[5]trip_summary_region!H298</f>
        <v>0.20741327409999999</v>
      </c>
      <c r="I298" t="str">
        <f>[5]trip_summary_region!I298</f>
        <v>Other Household Travel</v>
      </c>
      <c r="J298" t="str">
        <f>[5]trip_summary_region!J298</f>
        <v>2022/23</v>
      </c>
    </row>
    <row r="299" spans="1:10" x14ac:dyDescent="0.2">
      <c r="A299" t="str">
        <f>[5]trip_summary_region!A299</f>
        <v>04 BAY OF PLENTY</v>
      </c>
      <c r="B299">
        <f>[5]trip_summary_region!B299</f>
        <v>9</v>
      </c>
      <c r="C299">
        <f>[5]trip_summary_region!C299</f>
        <v>2028</v>
      </c>
      <c r="D299">
        <f>[5]trip_summary_region!D299</f>
        <v>13</v>
      </c>
      <c r="E299">
        <f>[5]trip_summary_region!E299</f>
        <v>34</v>
      </c>
      <c r="F299">
        <f>[5]trip_summary_region!F299</f>
        <v>0.48920022289999998</v>
      </c>
      <c r="G299">
        <f>[5]trip_summary_region!G299</f>
        <v>0</v>
      </c>
      <c r="H299">
        <f>[5]trip_summary_region!H299</f>
        <v>0.1889488272</v>
      </c>
      <c r="I299" t="str">
        <f>[5]trip_summary_region!I299</f>
        <v>Other Household Travel</v>
      </c>
      <c r="J299" t="str">
        <f>[5]trip_summary_region!J299</f>
        <v>2027/28</v>
      </c>
    </row>
    <row r="300" spans="1:10" x14ac:dyDescent="0.2">
      <c r="A300" t="str">
        <f>[5]trip_summary_region!A300</f>
        <v>04 BAY OF PLENTY</v>
      </c>
      <c r="B300">
        <f>[5]trip_summary_region!B300</f>
        <v>9</v>
      </c>
      <c r="C300">
        <f>[5]trip_summary_region!C300</f>
        <v>2033</v>
      </c>
      <c r="D300">
        <f>[5]trip_summary_region!D300</f>
        <v>13</v>
      </c>
      <c r="E300">
        <f>[5]trip_summary_region!E300</f>
        <v>34</v>
      </c>
      <c r="F300">
        <f>[5]trip_summary_region!F300</f>
        <v>0.43803934030000002</v>
      </c>
      <c r="G300">
        <f>[5]trip_summary_region!G300</f>
        <v>0</v>
      </c>
      <c r="H300">
        <f>[5]trip_summary_region!H300</f>
        <v>0.16679952270000001</v>
      </c>
      <c r="I300" t="str">
        <f>[5]trip_summary_region!I300</f>
        <v>Other Household Travel</v>
      </c>
      <c r="J300" t="str">
        <f>[5]trip_summary_region!J300</f>
        <v>2032/33</v>
      </c>
    </row>
    <row r="301" spans="1:10" x14ac:dyDescent="0.2">
      <c r="A301" t="str">
        <f>[5]trip_summary_region!A301</f>
        <v>04 BAY OF PLENTY</v>
      </c>
      <c r="B301">
        <f>[5]trip_summary_region!B301</f>
        <v>9</v>
      </c>
      <c r="C301">
        <f>[5]trip_summary_region!C301</f>
        <v>2038</v>
      </c>
      <c r="D301">
        <f>[5]trip_summary_region!D301</f>
        <v>13</v>
      </c>
      <c r="E301">
        <f>[5]trip_summary_region!E301</f>
        <v>34</v>
      </c>
      <c r="F301">
        <f>[5]trip_summary_region!F301</f>
        <v>0.39757612910000001</v>
      </c>
      <c r="G301">
        <f>[5]trip_summary_region!G301</f>
        <v>0</v>
      </c>
      <c r="H301">
        <f>[5]trip_summary_region!H301</f>
        <v>0.151038226</v>
      </c>
      <c r="I301" t="str">
        <f>[5]trip_summary_region!I301</f>
        <v>Other Household Travel</v>
      </c>
      <c r="J301" t="str">
        <f>[5]trip_summary_region!J301</f>
        <v>2037/38</v>
      </c>
    </row>
    <row r="302" spans="1:10" x14ac:dyDescent="0.2">
      <c r="A302" t="str">
        <f>[5]trip_summary_region!A302</f>
        <v>04 BAY OF PLENTY</v>
      </c>
      <c r="B302">
        <f>[5]trip_summary_region!B302</f>
        <v>9</v>
      </c>
      <c r="C302">
        <f>[5]trip_summary_region!C302</f>
        <v>2043</v>
      </c>
      <c r="D302">
        <f>[5]trip_summary_region!D302</f>
        <v>13</v>
      </c>
      <c r="E302">
        <f>[5]trip_summary_region!E302</f>
        <v>34</v>
      </c>
      <c r="F302">
        <f>[5]trip_summary_region!F302</f>
        <v>0.36027070999999999</v>
      </c>
      <c r="G302">
        <f>[5]trip_summary_region!G302</f>
        <v>0</v>
      </c>
      <c r="H302">
        <f>[5]trip_summary_region!H302</f>
        <v>0.13633162130000001</v>
      </c>
      <c r="I302" t="str">
        <f>[5]trip_summary_region!I302</f>
        <v>Other Household Travel</v>
      </c>
      <c r="J302" t="str">
        <f>[5]trip_summary_region!J302</f>
        <v>2042/43</v>
      </c>
    </row>
    <row r="303" spans="1:10" x14ac:dyDescent="0.2">
      <c r="A303" t="str">
        <f>[5]trip_summary_region!A303</f>
        <v>04 BAY OF PLENTY</v>
      </c>
      <c r="B303">
        <f>[5]trip_summary_region!B303</f>
        <v>10</v>
      </c>
      <c r="C303">
        <f>[5]trip_summary_region!C303</f>
        <v>2013</v>
      </c>
      <c r="D303">
        <f>[5]trip_summary_region!D303</f>
        <v>10</v>
      </c>
      <c r="E303">
        <f>[5]trip_summary_region!E303</f>
        <v>20</v>
      </c>
      <c r="F303">
        <f>[5]trip_summary_region!F303</f>
        <v>0.7132672793</v>
      </c>
      <c r="G303">
        <f>[5]trip_summary_region!G303</f>
        <v>34.241381883000003</v>
      </c>
      <c r="H303">
        <f>[5]trip_summary_region!H303</f>
        <v>1.7899343983</v>
      </c>
      <c r="I303" t="str">
        <f>[5]trip_summary_region!I303</f>
        <v>Air/Non-Local PT</v>
      </c>
      <c r="J303" t="str">
        <f>[5]trip_summary_region!J303</f>
        <v>2012/13</v>
      </c>
    </row>
    <row r="304" spans="1:10" x14ac:dyDescent="0.2">
      <c r="A304" t="str">
        <f>[5]trip_summary_region!A304</f>
        <v>04 BAY OF PLENTY</v>
      </c>
      <c r="B304">
        <f>[5]trip_summary_region!B304</f>
        <v>10</v>
      </c>
      <c r="C304">
        <f>[5]trip_summary_region!C304</f>
        <v>2018</v>
      </c>
      <c r="D304">
        <f>[5]trip_summary_region!D304</f>
        <v>10</v>
      </c>
      <c r="E304">
        <f>[5]trip_summary_region!E304</f>
        <v>20</v>
      </c>
      <c r="F304">
        <f>[5]trip_summary_region!F304</f>
        <v>0.75127165920000005</v>
      </c>
      <c r="G304">
        <f>[5]trip_summary_region!G304</f>
        <v>36.950546549000002</v>
      </c>
      <c r="H304">
        <f>[5]trip_summary_region!H304</f>
        <v>2.1462591542</v>
      </c>
      <c r="I304" t="str">
        <f>[5]trip_summary_region!I304</f>
        <v>Air/Non-Local PT</v>
      </c>
      <c r="J304" t="str">
        <f>[5]trip_summary_region!J304</f>
        <v>2017/18</v>
      </c>
    </row>
    <row r="305" spans="1:10" x14ac:dyDescent="0.2">
      <c r="A305" t="str">
        <f>[5]trip_summary_region!A305</f>
        <v>04 BAY OF PLENTY</v>
      </c>
      <c r="B305">
        <f>[5]trip_summary_region!B305</f>
        <v>10</v>
      </c>
      <c r="C305">
        <f>[5]trip_summary_region!C305</f>
        <v>2023</v>
      </c>
      <c r="D305">
        <f>[5]trip_summary_region!D305</f>
        <v>10</v>
      </c>
      <c r="E305">
        <f>[5]trip_summary_region!E305</f>
        <v>20</v>
      </c>
      <c r="F305">
        <f>[5]trip_summary_region!F305</f>
        <v>0.78764339969999997</v>
      </c>
      <c r="G305">
        <f>[5]trip_summary_region!G305</f>
        <v>39.184537900000002</v>
      </c>
      <c r="H305">
        <f>[5]trip_summary_region!H305</f>
        <v>2.4484507055</v>
      </c>
      <c r="I305" t="str">
        <f>[5]trip_summary_region!I305</f>
        <v>Air/Non-Local PT</v>
      </c>
      <c r="J305" t="str">
        <f>[5]trip_summary_region!J305</f>
        <v>2022/23</v>
      </c>
    </row>
    <row r="306" spans="1:10" x14ac:dyDescent="0.2">
      <c r="A306" t="str">
        <f>[5]trip_summary_region!A306</f>
        <v>04 BAY OF PLENTY</v>
      </c>
      <c r="B306">
        <f>[5]trip_summary_region!B306</f>
        <v>10</v>
      </c>
      <c r="C306">
        <f>[5]trip_summary_region!C306</f>
        <v>2028</v>
      </c>
      <c r="D306">
        <f>[5]trip_summary_region!D306</f>
        <v>10</v>
      </c>
      <c r="E306">
        <f>[5]trip_summary_region!E306</f>
        <v>20</v>
      </c>
      <c r="F306">
        <f>[5]trip_summary_region!F306</f>
        <v>0.81399801540000005</v>
      </c>
      <c r="G306">
        <f>[5]trip_summary_region!G306</f>
        <v>41.155143424999999</v>
      </c>
      <c r="H306">
        <f>[5]trip_summary_region!H306</f>
        <v>2.6198758183000002</v>
      </c>
      <c r="I306" t="str">
        <f>[5]trip_summary_region!I306</f>
        <v>Air/Non-Local PT</v>
      </c>
      <c r="J306" t="str">
        <f>[5]trip_summary_region!J306</f>
        <v>2027/28</v>
      </c>
    </row>
    <row r="307" spans="1:10" x14ac:dyDescent="0.2">
      <c r="A307" t="str">
        <f>[5]trip_summary_region!A307</f>
        <v>04 BAY OF PLENTY</v>
      </c>
      <c r="B307">
        <f>[5]trip_summary_region!B307</f>
        <v>10</v>
      </c>
      <c r="C307">
        <f>[5]trip_summary_region!C307</f>
        <v>2033</v>
      </c>
      <c r="D307">
        <f>[5]trip_summary_region!D307</f>
        <v>10</v>
      </c>
      <c r="E307">
        <f>[5]trip_summary_region!E307</f>
        <v>20</v>
      </c>
      <c r="F307">
        <f>[5]trip_summary_region!F307</f>
        <v>0.82363591690000004</v>
      </c>
      <c r="G307">
        <f>[5]trip_summary_region!G307</f>
        <v>42.446049633000001</v>
      </c>
      <c r="H307">
        <f>[5]trip_summary_region!H307</f>
        <v>2.6855782141</v>
      </c>
      <c r="I307" t="str">
        <f>[5]trip_summary_region!I307</f>
        <v>Air/Non-Local PT</v>
      </c>
      <c r="J307" t="str">
        <f>[5]trip_summary_region!J307</f>
        <v>2032/33</v>
      </c>
    </row>
    <row r="308" spans="1:10" x14ac:dyDescent="0.2">
      <c r="A308" t="str">
        <f>[5]trip_summary_region!A308</f>
        <v>04 BAY OF PLENTY</v>
      </c>
      <c r="B308">
        <f>[5]trip_summary_region!B308</f>
        <v>10</v>
      </c>
      <c r="C308">
        <f>[5]trip_summary_region!C308</f>
        <v>2038</v>
      </c>
      <c r="D308">
        <f>[5]trip_summary_region!D308</f>
        <v>10</v>
      </c>
      <c r="E308">
        <f>[5]trip_summary_region!E308</f>
        <v>20</v>
      </c>
      <c r="F308">
        <f>[5]trip_summary_region!F308</f>
        <v>0.86082751680000003</v>
      </c>
      <c r="G308">
        <f>[5]trip_summary_region!G308</f>
        <v>46.995145976000003</v>
      </c>
      <c r="H308">
        <f>[5]trip_summary_region!H308</f>
        <v>2.7549573533</v>
      </c>
      <c r="I308" t="str">
        <f>[5]trip_summary_region!I308</f>
        <v>Air/Non-Local PT</v>
      </c>
      <c r="J308" t="str">
        <f>[5]trip_summary_region!J308</f>
        <v>2037/38</v>
      </c>
    </row>
    <row r="309" spans="1:10" x14ac:dyDescent="0.2">
      <c r="A309" t="str">
        <f>[5]trip_summary_region!A309</f>
        <v>04 BAY OF PLENTY</v>
      </c>
      <c r="B309">
        <f>[5]trip_summary_region!B309</f>
        <v>10</v>
      </c>
      <c r="C309">
        <f>[5]trip_summary_region!C309</f>
        <v>2043</v>
      </c>
      <c r="D309">
        <f>[5]trip_summary_region!D309</f>
        <v>10</v>
      </c>
      <c r="E309">
        <f>[5]trip_summary_region!E309</f>
        <v>20</v>
      </c>
      <c r="F309">
        <f>[5]trip_summary_region!F309</f>
        <v>0.8991403939</v>
      </c>
      <c r="G309">
        <f>[5]trip_summary_region!G309</f>
        <v>51.827595293000002</v>
      </c>
      <c r="H309">
        <f>[5]trip_summary_region!H309</f>
        <v>2.8169120833000001</v>
      </c>
      <c r="I309" t="str">
        <f>[5]trip_summary_region!I309</f>
        <v>Air/Non-Local PT</v>
      </c>
      <c r="J309" t="str">
        <f>[5]trip_summary_region!J309</f>
        <v>2042/43</v>
      </c>
    </row>
    <row r="310" spans="1:10" x14ac:dyDescent="0.2">
      <c r="A310" t="str">
        <f>[5]trip_summary_region!A310</f>
        <v>04 BAY OF PLENTY</v>
      </c>
      <c r="B310">
        <f>[5]trip_summary_region!B310</f>
        <v>11</v>
      </c>
      <c r="C310">
        <f>[5]trip_summary_region!C310</f>
        <v>2013</v>
      </c>
      <c r="D310">
        <f>[5]trip_summary_region!D310</f>
        <v>6</v>
      </c>
      <c r="E310">
        <f>[5]trip_summary_region!E310</f>
        <v>33</v>
      </c>
      <c r="F310">
        <f>[5]trip_summary_region!F310</f>
        <v>1.4872690419000001</v>
      </c>
      <c r="G310">
        <f>[5]trip_summary_region!G310</f>
        <v>13.901388431999999</v>
      </c>
      <c r="H310">
        <f>[5]trip_summary_region!H310</f>
        <v>0.32958292379999998</v>
      </c>
      <c r="I310" t="str">
        <f>[5]trip_summary_region!I310</f>
        <v>Non-Household Travel</v>
      </c>
      <c r="J310" t="str">
        <f>[5]trip_summary_region!J310</f>
        <v>2012/13</v>
      </c>
    </row>
    <row r="311" spans="1:10" x14ac:dyDescent="0.2">
      <c r="A311" t="str">
        <f>[5]trip_summary_region!A311</f>
        <v>04 BAY OF PLENTY</v>
      </c>
      <c r="B311">
        <f>[5]trip_summary_region!B311</f>
        <v>11</v>
      </c>
      <c r="C311">
        <f>[5]trip_summary_region!C311</f>
        <v>2018</v>
      </c>
      <c r="D311">
        <f>[5]trip_summary_region!D311</f>
        <v>6</v>
      </c>
      <c r="E311">
        <f>[5]trip_summary_region!E311</f>
        <v>33</v>
      </c>
      <c r="F311">
        <f>[5]trip_summary_region!F311</f>
        <v>1.5962606815</v>
      </c>
      <c r="G311">
        <f>[5]trip_summary_region!G311</f>
        <v>13.703505698000001</v>
      </c>
      <c r="H311">
        <f>[5]trip_summary_region!H311</f>
        <v>0.34161361169999999</v>
      </c>
      <c r="I311" t="str">
        <f>[5]trip_summary_region!I311</f>
        <v>Non-Household Travel</v>
      </c>
      <c r="J311" t="str">
        <f>[5]trip_summary_region!J311</f>
        <v>2017/18</v>
      </c>
    </row>
    <row r="312" spans="1:10" x14ac:dyDescent="0.2">
      <c r="A312" t="str">
        <f>[5]trip_summary_region!A312</f>
        <v>04 BAY OF PLENTY</v>
      </c>
      <c r="B312">
        <f>[5]trip_summary_region!B312</f>
        <v>11</v>
      </c>
      <c r="C312">
        <f>[5]trip_summary_region!C312</f>
        <v>2023</v>
      </c>
      <c r="D312">
        <f>[5]trip_summary_region!D312</f>
        <v>6</v>
      </c>
      <c r="E312">
        <f>[5]trip_summary_region!E312</f>
        <v>33</v>
      </c>
      <c r="F312">
        <f>[5]trip_summary_region!F312</f>
        <v>1.6362467155</v>
      </c>
      <c r="G312">
        <f>[5]trip_summary_region!G312</f>
        <v>13.148696230000001</v>
      </c>
      <c r="H312">
        <f>[5]trip_summary_region!H312</f>
        <v>0.34114521009999998</v>
      </c>
      <c r="I312" t="str">
        <f>[5]trip_summary_region!I312</f>
        <v>Non-Household Travel</v>
      </c>
      <c r="J312" t="str">
        <f>[5]trip_summary_region!J312</f>
        <v>2022/23</v>
      </c>
    </row>
    <row r="313" spans="1:10" x14ac:dyDescent="0.2">
      <c r="A313" t="str">
        <f>[5]trip_summary_region!A313</f>
        <v>04 BAY OF PLENTY</v>
      </c>
      <c r="B313">
        <f>[5]trip_summary_region!B313</f>
        <v>11</v>
      </c>
      <c r="C313">
        <f>[5]trip_summary_region!C313</f>
        <v>2028</v>
      </c>
      <c r="D313">
        <f>[5]trip_summary_region!D313</f>
        <v>6</v>
      </c>
      <c r="E313">
        <f>[5]trip_summary_region!E313</f>
        <v>33</v>
      </c>
      <c r="F313">
        <f>[5]trip_summary_region!F313</f>
        <v>1.6613004330000001</v>
      </c>
      <c r="G313">
        <f>[5]trip_summary_region!G313</f>
        <v>12.656842887</v>
      </c>
      <c r="H313">
        <f>[5]trip_summary_region!H313</f>
        <v>0.33826262730000001</v>
      </c>
      <c r="I313" t="str">
        <f>[5]trip_summary_region!I313</f>
        <v>Non-Household Travel</v>
      </c>
      <c r="J313" t="str">
        <f>[5]trip_summary_region!J313</f>
        <v>2027/28</v>
      </c>
    </row>
    <row r="314" spans="1:10" x14ac:dyDescent="0.2">
      <c r="A314" t="str">
        <f>[5]trip_summary_region!A314</f>
        <v>04 BAY OF PLENTY</v>
      </c>
      <c r="B314">
        <f>[5]trip_summary_region!B314</f>
        <v>11</v>
      </c>
      <c r="C314">
        <f>[5]trip_summary_region!C314</f>
        <v>2033</v>
      </c>
      <c r="D314">
        <f>[5]trip_summary_region!D314</f>
        <v>6</v>
      </c>
      <c r="E314">
        <f>[5]trip_summary_region!E314</f>
        <v>33</v>
      </c>
      <c r="F314">
        <f>[5]trip_summary_region!F314</f>
        <v>1.6640417673000001</v>
      </c>
      <c r="G314">
        <f>[5]trip_summary_region!G314</f>
        <v>12.384461176</v>
      </c>
      <c r="H314">
        <f>[5]trip_summary_region!H314</f>
        <v>0.33490472589999998</v>
      </c>
      <c r="I314" t="str">
        <f>[5]trip_summary_region!I314</f>
        <v>Non-Household Travel</v>
      </c>
      <c r="J314" t="str">
        <f>[5]trip_summary_region!J314</f>
        <v>2032/33</v>
      </c>
    </row>
    <row r="315" spans="1:10" x14ac:dyDescent="0.2">
      <c r="A315" t="str">
        <f>[5]trip_summary_region!A315</f>
        <v>04 BAY OF PLENTY</v>
      </c>
      <c r="B315">
        <f>[5]trip_summary_region!B315</f>
        <v>11</v>
      </c>
      <c r="C315">
        <f>[5]trip_summary_region!C315</f>
        <v>2038</v>
      </c>
      <c r="D315">
        <f>[5]trip_summary_region!D315</f>
        <v>6</v>
      </c>
      <c r="E315">
        <f>[5]trip_summary_region!E315</f>
        <v>33</v>
      </c>
      <c r="F315">
        <f>[5]trip_summary_region!F315</f>
        <v>1.6655679764</v>
      </c>
      <c r="G315">
        <f>[5]trip_summary_region!G315</f>
        <v>12.244832233</v>
      </c>
      <c r="H315">
        <f>[5]trip_summary_region!H315</f>
        <v>0.33318871960000002</v>
      </c>
      <c r="I315" t="str">
        <f>[5]trip_summary_region!I315</f>
        <v>Non-Household Travel</v>
      </c>
      <c r="J315" t="str">
        <f>[5]trip_summary_region!J315</f>
        <v>2037/38</v>
      </c>
    </row>
    <row r="316" spans="1:10" x14ac:dyDescent="0.2">
      <c r="A316" t="str">
        <f>[5]trip_summary_region!A316</f>
        <v>04 BAY OF PLENTY</v>
      </c>
      <c r="B316">
        <f>[5]trip_summary_region!B316</f>
        <v>11</v>
      </c>
      <c r="C316">
        <f>[5]trip_summary_region!C316</f>
        <v>2043</v>
      </c>
      <c r="D316">
        <f>[5]trip_summary_region!D316</f>
        <v>6</v>
      </c>
      <c r="E316">
        <f>[5]trip_summary_region!E316</f>
        <v>33</v>
      </c>
      <c r="F316">
        <f>[5]trip_summary_region!F316</f>
        <v>1.6543897406000001</v>
      </c>
      <c r="G316">
        <f>[5]trip_summary_region!G316</f>
        <v>11.954122501000001</v>
      </c>
      <c r="H316">
        <f>[5]trip_summary_region!H316</f>
        <v>0.32839068900000001</v>
      </c>
      <c r="I316" t="str">
        <f>[5]trip_summary_region!I316</f>
        <v>Non-Household Travel</v>
      </c>
      <c r="J316" t="str">
        <f>[5]trip_summary_region!J316</f>
        <v>2042/43</v>
      </c>
    </row>
    <row r="317" spans="1:10" x14ac:dyDescent="0.2">
      <c r="A317" t="str">
        <f>[5]trip_summary_region!A317</f>
        <v>05 GISBORNE</v>
      </c>
      <c r="B317">
        <f>[5]trip_summary_region!B317</f>
        <v>0</v>
      </c>
      <c r="C317">
        <f>[5]trip_summary_region!C317</f>
        <v>2013</v>
      </c>
      <c r="D317">
        <f>[5]trip_summary_region!D317</f>
        <v>242</v>
      </c>
      <c r="E317">
        <f>[5]trip_summary_region!E317</f>
        <v>910</v>
      </c>
      <c r="F317">
        <f>[5]trip_summary_region!F317</f>
        <v>12.564280467</v>
      </c>
      <c r="G317">
        <f>[5]trip_summary_region!G317</f>
        <v>7.5635235767999998</v>
      </c>
      <c r="H317">
        <f>[5]trip_summary_region!H317</f>
        <v>2.2694063563000002</v>
      </c>
      <c r="I317" t="str">
        <f>[5]trip_summary_region!I317</f>
        <v>Pedestrian</v>
      </c>
      <c r="J317" t="str">
        <f>[5]trip_summary_region!J317</f>
        <v>2012/13</v>
      </c>
    </row>
    <row r="318" spans="1:10" x14ac:dyDescent="0.2">
      <c r="A318" t="str">
        <f>[5]trip_summary_region!A318</f>
        <v>05 GISBORNE</v>
      </c>
      <c r="B318">
        <f>[5]trip_summary_region!B318</f>
        <v>0</v>
      </c>
      <c r="C318">
        <f>[5]trip_summary_region!C318</f>
        <v>2018</v>
      </c>
      <c r="D318">
        <f>[5]trip_summary_region!D318</f>
        <v>242</v>
      </c>
      <c r="E318">
        <f>[5]trip_summary_region!E318</f>
        <v>910</v>
      </c>
      <c r="F318">
        <f>[5]trip_summary_region!F318</f>
        <v>12.023739207</v>
      </c>
      <c r="G318">
        <f>[5]trip_summary_region!G318</f>
        <v>7.2528211206000002</v>
      </c>
      <c r="H318">
        <f>[5]trip_summary_region!H318</f>
        <v>2.1443385381</v>
      </c>
      <c r="I318" t="str">
        <f>[5]trip_summary_region!I318</f>
        <v>Pedestrian</v>
      </c>
      <c r="J318" t="str">
        <f>[5]trip_summary_region!J318</f>
        <v>2017/18</v>
      </c>
    </row>
    <row r="319" spans="1:10" x14ac:dyDescent="0.2">
      <c r="A319" t="str">
        <f>[5]trip_summary_region!A319</f>
        <v>05 GISBORNE</v>
      </c>
      <c r="B319">
        <f>[5]trip_summary_region!B319</f>
        <v>0</v>
      </c>
      <c r="C319">
        <f>[5]trip_summary_region!C319</f>
        <v>2023</v>
      </c>
      <c r="D319">
        <f>[5]trip_summary_region!D319</f>
        <v>242</v>
      </c>
      <c r="E319">
        <f>[5]trip_summary_region!E319</f>
        <v>910</v>
      </c>
      <c r="F319">
        <f>[5]trip_summary_region!F319</f>
        <v>11.532272677</v>
      </c>
      <c r="G319">
        <f>[5]trip_summary_region!G319</f>
        <v>6.9979999291999997</v>
      </c>
      <c r="H319">
        <f>[5]trip_summary_region!H319</f>
        <v>2.0330296758999999</v>
      </c>
      <c r="I319" t="str">
        <f>[5]trip_summary_region!I319</f>
        <v>Pedestrian</v>
      </c>
      <c r="J319" t="str">
        <f>[5]trip_summary_region!J319</f>
        <v>2022/23</v>
      </c>
    </row>
    <row r="320" spans="1:10" x14ac:dyDescent="0.2">
      <c r="A320" t="str">
        <f>[5]trip_summary_region!A320</f>
        <v>05 GISBORNE</v>
      </c>
      <c r="B320">
        <f>[5]trip_summary_region!B320</f>
        <v>0</v>
      </c>
      <c r="C320">
        <f>[5]trip_summary_region!C320</f>
        <v>2028</v>
      </c>
      <c r="D320">
        <f>[5]trip_summary_region!D320</f>
        <v>242</v>
      </c>
      <c r="E320">
        <f>[5]trip_summary_region!E320</f>
        <v>910</v>
      </c>
      <c r="F320">
        <f>[5]trip_summary_region!F320</f>
        <v>11.206286798000001</v>
      </c>
      <c r="G320">
        <f>[5]trip_summary_region!G320</f>
        <v>6.8955779729</v>
      </c>
      <c r="H320">
        <f>[5]trip_summary_region!H320</f>
        <v>1.9715908959999999</v>
      </c>
      <c r="I320" t="str">
        <f>[5]trip_summary_region!I320</f>
        <v>Pedestrian</v>
      </c>
      <c r="J320" t="str">
        <f>[5]trip_summary_region!J320</f>
        <v>2027/28</v>
      </c>
    </row>
    <row r="321" spans="1:10" x14ac:dyDescent="0.2">
      <c r="A321" t="str">
        <f>[5]trip_summary_region!A321</f>
        <v>05 GISBORNE</v>
      </c>
      <c r="B321">
        <f>[5]trip_summary_region!B321</f>
        <v>0</v>
      </c>
      <c r="C321">
        <f>[5]trip_summary_region!C321</f>
        <v>2033</v>
      </c>
      <c r="D321">
        <f>[5]trip_summary_region!D321</f>
        <v>242</v>
      </c>
      <c r="E321">
        <f>[5]trip_summary_region!E321</f>
        <v>910</v>
      </c>
      <c r="F321">
        <f>[5]trip_summary_region!F321</f>
        <v>10.811240716</v>
      </c>
      <c r="G321">
        <f>[5]trip_summary_region!G321</f>
        <v>6.7623229240000002</v>
      </c>
      <c r="H321">
        <f>[5]trip_summary_region!H321</f>
        <v>1.9065517891999999</v>
      </c>
      <c r="I321" t="str">
        <f>[5]trip_summary_region!I321</f>
        <v>Pedestrian</v>
      </c>
      <c r="J321" t="str">
        <f>[5]trip_summary_region!J321</f>
        <v>2032/33</v>
      </c>
    </row>
    <row r="322" spans="1:10" x14ac:dyDescent="0.2">
      <c r="A322" t="str">
        <f>[5]trip_summary_region!A322</f>
        <v>05 GISBORNE</v>
      </c>
      <c r="B322">
        <f>[5]trip_summary_region!B322</f>
        <v>0</v>
      </c>
      <c r="C322">
        <f>[5]trip_summary_region!C322</f>
        <v>2038</v>
      </c>
      <c r="D322">
        <f>[5]trip_summary_region!D322</f>
        <v>242</v>
      </c>
      <c r="E322">
        <f>[5]trip_summary_region!E322</f>
        <v>910</v>
      </c>
      <c r="F322">
        <f>[5]trip_summary_region!F322</f>
        <v>10.395809867000001</v>
      </c>
      <c r="G322">
        <f>[5]trip_summary_region!G322</f>
        <v>6.5479053763000001</v>
      </c>
      <c r="H322">
        <f>[5]trip_summary_region!H322</f>
        <v>1.8345743454000001</v>
      </c>
      <c r="I322" t="str">
        <f>[5]trip_summary_region!I322</f>
        <v>Pedestrian</v>
      </c>
      <c r="J322" t="str">
        <f>[5]trip_summary_region!J322</f>
        <v>2037/38</v>
      </c>
    </row>
    <row r="323" spans="1:10" x14ac:dyDescent="0.2">
      <c r="A323" t="str">
        <f>[5]trip_summary_region!A323</f>
        <v>05 GISBORNE</v>
      </c>
      <c r="B323">
        <f>[5]trip_summary_region!B323</f>
        <v>0</v>
      </c>
      <c r="C323">
        <f>[5]trip_summary_region!C323</f>
        <v>2043</v>
      </c>
      <c r="D323">
        <f>[5]trip_summary_region!D323</f>
        <v>242</v>
      </c>
      <c r="E323">
        <f>[5]trip_summary_region!E323</f>
        <v>910</v>
      </c>
      <c r="F323">
        <f>[5]trip_summary_region!F323</f>
        <v>9.9891379479999998</v>
      </c>
      <c r="G323">
        <f>[5]trip_summary_region!G323</f>
        <v>6.3593151610999996</v>
      </c>
      <c r="H323">
        <f>[5]trip_summary_region!H323</f>
        <v>1.7650849249</v>
      </c>
      <c r="I323" t="str">
        <f>[5]trip_summary_region!I323</f>
        <v>Pedestrian</v>
      </c>
      <c r="J323" t="str">
        <f>[5]trip_summary_region!J323</f>
        <v>2042/43</v>
      </c>
    </row>
    <row r="324" spans="1:10" x14ac:dyDescent="0.2">
      <c r="A324" t="str">
        <f>[5]trip_summary_region!A324</f>
        <v>05 GISBORNE</v>
      </c>
      <c r="B324">
        <f>[5]trip_summary_region!B324</f>
        <v>1</v>
      </c>
      <c r="C324">
        <f>[5]trip_summary_region!C324</f>
        <v>2013</v>
      </c>
      <c r="D324">
        <f>[5]trip_summary_region!D324</f>
        <v>27</v>
      </c>
      <c r="E324">
        <f>[5]trip_summary_region!E324</f>
        <v>100</v>
      </c>
      <c r="F324">
        <f>[5]trip_summary_region!F324</f>
        <v>1.1119455742</v>
      </c>
      <c r="G324">
        <f>[5]trip_summary_region!G324</f>
        <v>3.8031873472000002</v>
      </c>
      <c r="H324">
        <f>[5]trip_summary_region!H324</f>
        <v>0.28046850410000002</v>
      </c>
      <c r="I324" t="str">
        <f>[5]trip_summary_region!I324</f>
        <v>Cyclist</v>
      </c>
      <c r="J324" t="str">
        <f>[5]trip_summary_region!J324</f>
        <v>2012/13</v>
      </c>
    </row>
    <row r="325" spans="1:10" x14ac:dyDescent="0.2">
      <c r="A325" t="str">
        <f>[5]trip_summary_region!A325</f>
        <v>05 GISBORNE</v>
      </c>
      <c r="B325">
        <f>[5]trip_summary_region!B325</f>
        <v>1</v>
      </c>
      <c r="C325">
        <f>[5]trip_summary_region!C325</f>
        <v>2018</v>
      </c>
      <c r="D325">
        <f>[5]trip_summary_region!D325</f>
        <v>27</v>
      </c>
      <c r="E325">
        <f>[5]trip_summary_region!E325</f>
        <v>100</v>
      </c>
      <c r="F325">
        <f>[5]trip_summary_region!F325</f>
        <v>1.0552291790999999</v>
      </c>
      <c r="G325">
        <f>[5]trip_summary_region!G325</f>
        <v>3.4117002201000002</v>
      </c>
      <c r="H325">
        <f>[5]trip_summary_region!H325</f>
        <v>0.25728426230000001</v>
      </c>
      <c r="I325" t="str">
        <f>[5]trip_summary_region!I325</f>
        <v>Cyclist</v>
      </c>
      <c r="J325" t="str">
        <f>[5]trip_summary_region!J325</f>
        <v>2017/18</v>
      </c>
    </row>
    <row r="326" spans="1:10" x14ac:dyDescent="0.2">
      <c r="A326" t="str">
        <f>[5]trip_summary_region!A326</f>
        <v>05 GISBORNE</v>
      </c>
      <c r="B326">
        <f>[5]trip_summary_region!B326</f>
        <v>1</v>
      </c>
      <c r="C326">
        <f>[5]trip_summary_region!C326</f>
        <v>2023</v>
      </c>
      <c r="D326">
        <f>[5]trip_summary_region!D326</f>
        <v>27</v>
      </c>
      <c r="E326">
        <f>[5]trip_summary_region!E326</f>
        <v>100</v>
      </c>
      <c r="F326">
        <f>[5]trip_summary_region!F326</f>
        <v>1.0207482426000001</v>
      </c>
      <c r="G326">
        <f>[5]trip_summary_region!G326</f>
        <v>3.1850713970000002</v>
      </c>
      <c r="H326">
        <f>[5]trip_summary_region!H326</f>
        <v>0.2413770368</v>
      </c>
      <c r="I326" t="str">
        <f>[5]trip_summary_region!I326</f>
        <v>Cyclist</v>
      </c>
      <c r="J326" t="str">
        <f>[5]trip_summary_region!J326</f>
        <v>2022/23</v>
      </c>
    </row>
    <row r="327" spans="1:10" x14ac:dyDescent="0.2">
      <c r="A327" t="str">
        <f>[5]trip_summary_region!A327</f>
        <v>05 GISBORNE</v>
      </c>
      <c r="B327">
        <f>[5]trip_summary_region!B327</f>
        <v>1</v>
      </c>
      <c r="C327">
        <f>[5]trip_summary_region!C327</f>
        <v>2028</v>
      </c>
      <c r="D327">
        <f>[5]trip_summary_region!D327</f>
        <v>27</v>
      </c>
      <c r="E327">
        <f>[5]trip_summary_region!E327</f>
        <v>100</v>
      </c>
      <c r="F327">
        <f>[5]trip_summary_region!F327</f>
        <v>0.95880657130000002</v>
      </c>
      <c r="G327">
        <f>[5]trip_summary_region!G327</f>
        <v>2.8557916342</v>
      </c>
      <c r="H327">
        <f>[5]trip_summary_region!H327</f>
        <v>0.21695063170000001</v>
      </c>
      <c r="I327" t="str">
        <f>[5]trip_summary_region!I327</f>
        <v>Cyclist</v>
      </c>
      <c r="J327" t="str">
        <f>[5]trip_summary_region!J327</f>
        <v>2027/28</v>
      </c>
    </row>
    <row r="328" spans="1:10" x14ac:dyDescent="0.2">
      <c r="A328" t="str">
        <f>[5]trip_summary_region!A328</f>
        <v>05 GISBORNE</v>
      </c>
      <c r="B328">
        <f>[5]trip_summary_region!B328</f>
        <v>1</v>
      </c>
      <c r="C328">
        <f>[5]trip_summary_region!C328</f>
        <v>2033</v>
      </c>
      <c r="D328">
        <f>[5]trip_summary_region!D328</f>
        <v>27</v>
      </c>
      <c r="E328">
        <f>[5]trip_summary_region!E328</f>
        <v>100</v>
      </c>
      <c r="F328">
        <f>[5]trip_summary_region!F328</f>
        <v>0.88616061820000003</v>
      </c>
      <c r="G328">
        <f>[5]trip_summary_region!G328</f>
        <v>2.5178031110000001</v>
      </c>
      <c r="H328">
        <f>[5]trip_summary_region!H328</f>
        <v>0.19423348930000001</v>
      </c>
      <c r="I328" t="str">
        <f>[5]trip_summary_region!I328</f>
        <v>Cyclist</v>
      </c>
      <c r="J328" t="str">
        <f>[5]trip_summary_region!J328</f>
        <v>2032/33</v>
      </c>
    </row>
    <row r="329" spans="1:10" x14ac:dyDescent="0.2">
      <c r="A329" t="str">
        <f>[5]trip_summary_region!A329</f>
        <v>05 GISBORNE</v>
      </c>
      <c r="B329">
        <f>[5]trip_summary_region!B329</f>
        <v>1</v>
      </c>
      <c r="C329">
        <f>[5]trip_summary_region!C329</f>
        <v>2038</v>
      </c>
      <c r="D329">
        <f>[5]trip_summary_region!D329</f>
        <v>27</v>
      </c>
      <c r="E329">
        <f>[5]trip_summary_region!E329</f>
        <v>100</v>
      </c>
      <c r="F329">
        <f>[5]trip_summary_region!F329</f>
        <v>0.81700756900000004</v>
      </c>
      <c r="G329">
        <f>[5]trip_summary_region!G329</f>
        <v>2.1958084669</v>
      </c>
      <c r="H329">
        <f>[5]trip_summary_region!H329</f>
        <v>0.17452505530000001</v>
      </c>
      <c r="I329" t="str">
        <f>[5]trip_summary_region!I329</f>
        <v>Cyclist</v>
      </c>
      <c r="J329" t="str">
        <f>[5]trip_summary_region!J329</f>
        <v>2037/38</v>
      </c>
    </row>
    <row r="330" spans="1:10" x14ac:dyDescent="0.2">
      <c r="A330" t="str">
        <f>[5]trip_summary_region!A330</f>
        <v>05 GISBORNE</v>
      </c>
      <c r="B330">
        <f>[5]trip_summary_region!B330</f>
        <v>1</v>
      </c>
      <c r="C330">
        <f>[5]trip_summary_region!C330</f>
        <v>2043</v>
      </c>
      <c r="D330">
        <f>[5]trip_summary_region!D330</f>
        <v>27</v>
      </c>
      <c r="E330">
        <f>[5]trip_summary_region!E330</f>
        <v>100</v>
      </c>
      <c r="F330">
        <f>[5]trip_summary_region!F330</f>
        <v>0.75474610320000002</v>
      </c>
      <c r="G330">
        <f>[5]trip_summary_region!G330</f>
        <v>1.9230287718000001</v>
      </c>
      <c r="H330">
        <f>[5]trip_summary_region!H330</f>
        <v>0.1574952013</v>
      </c>
      <c r="I330" t="str">
        <f>[5]trip_summary_region!I330</f>
        <v>Cyclist</v>
      </c>
      <c r="J330" t="str">
        <f>[5]trip_summary_region!J330</f>
        <v>2042/43</v>
      </c>
    </row>
    <row r="331" spans="1:10" x14ac:dyDescent="0.2">
      <c r="A331" t="str">
        <f>[5]trip_summary_region!A331</f>
        <v>05 GISBORNE</v>
      </c>
      <c r="B331">
        <f>[5]trip_summary_region!B331</f>
        <v>2</v>
      </c>
      <c r="C331">
        <f>[5]trip_summary_region!C331</f>
        <v>2013</v>
      </c>
      <c r="D331">
        <f>[5]trip_summary_region!D331</f>
        <v>319</v>
      </c>
      <c r="E331">
        <f>[5]trip_summary_region!E331</f>
        <v>2307</v>
      </c>
      <c r="F331">
        <f>[5]trip_summary_region!F331</f>
        <v>28.776347379000001</v>
      </c>
      <c r="G331">
        <f>[5]trip_summary_region!G331</f>
        <v>241.40144318</v>
      </c>
      <c r="H331">
        <f>[5]trip_summary_region!H331</f>
        <v>6.0182660548999998</v>
      </c>
      <c r="I331" t="str">
        <f>[5]trip_summary_region!I331</f>
        <v>Light Vehicle Driver</v>
      </c>
      <c r="J331" t="str">
        <f>[5]trip_summary_region!J331</f>
        <v>2012/13</v>
      </c>
    </row>
    <row r="332" spans="1:10" x14ac:dyDescent="0.2">
      <c r="A332" t="str">
        <f>[5]trip_summary_region!A332</f>
        <v>05 GISBORNE</v>
      </c>
      <c r="B332">
        <f>[5]trip_summary_region!B332</f>
        <v>2</v>
      </c>
      <c r="C332">
        <f>[5]trip_summary_region!C332</f>
        <v>2018</v>
      </c>
      <c r="D332">
        <f>[5]trip_summary_region!D332</f>
        <v>319</v>
      </c>
      <c r="E332">
        <f>[5]trip_summary_region!E332</f>
        <v>2307</v>
      </c>
      <c r="F332">
        <f>[5]trip_summary_region!F332</f>
        <v>29.134700394999999</v>
      </c>
      <c r="G332">
        <f>[5]trip_summary_region!G332</f>
        <v>249.01406451</v>
      </c>
      <c r="H332">
        <f>[5]trip_summary_region!H332</f>
        <v>6.1855221816999997</v>
      </c>
      <c r="I332" t="str">
        <f>[5]trip_summary_region!I332</f>
        <v>Light Vehicle Driver</v>
      </c>
      <c r="J332" t="str">
        <f>[5]trip_summary_region!J332</f>
        <v>2017/18</v>
      </c>
    </row>
    <row r="333" spans="1:10" x14ac:dyDescent="0.2">
      <c r="A333" t="str">
        <f>[5]trip_summary_region!A333</f>
        <v>05 GISBORNE</v>
      </c>
      <c r="B333">
        <f>[5]trip_summary_region!B333</f>
        <v>2</v>
      </c>
      <c r="C333">
        <f>[5]trip_summary_region!C333</f>
        <v>2023</v>
      </c>
      <c r="D333">
        <f>[5]trip_summary_region!D333</f>
        <v>319</v>
      </c>
      <c r="E333">
        <f>[5]trip_summary_region!E333</f>
        <v>2307</v>
      </c>
      <c r="F333">
        <f>[5]trip_summary_region!F333</f>
        <v>28.888584314999999</v>
      </c>
      <c r="G333">
        <f>[5]trip_summary_region!G333</f>
        <v>248.86502960999999</v>
      </c>
      <c r="H333">
        <f>[5]trip_summary_region!H333</f>
        <v>6.1910240926000002</v>
      </c>
      <c r="I333" t="str">
        <f>[5]trip_summary_region!I333</f>
        <v>Light Vehicle Driver</v>
      </c>
      <c r="J333" t="str">
        <f>[5]trip_summary_region!J333</f>
        <v>2022/23</v>
      </c>
    </row>
    <row r="334" spans="1:10" x14ac:dyDescent="0.2">
      <c r="A334" t="str">
        <f>[5]trip_summary_region!A334</f>
        <v>05 GISBORNE</v>
      </c>
      <c r="B334">
        <f>[5]trip_summary_region!B334</f>
        <v>2</v>
      </c>
      <c r="C334">
        <f>[5]trip_summary_region!C334</f>
        <v>2028</v>
      </c>
      <c r="D334">
        <f>[5]trip_summary_region!D334</f>
        <v>319</v>
      </c>
      <c r="E334">
        <f>[5]trip_summary_region!E334</f>
        <v>2307</v>
      </c>
      <c r="F334">
        <f>[5]trip_summary_region!F334</f>
        <v>28.587075886000001</v>
      </c>
      <c r="G334">
        <f>[5]trip_summary_region!G334</f>
        <v>247.77573294000001</v>
      </c>
      <c r="H334">
        <f>[5]trip_summary_region!H334</f>
        <v>6.1760729365999998</v>
      </c>
      <c r="I334" t="str">
        <f>[5]trip_summary_region!I334</f>
        <v>Light Vehicle Driver</v>
      </c>
      <c r="J334" t="str">
        <f>[5]trip_summary_region!J334</f>
        <v>2027/28</v>
      </c>
    </row>
    <row r="335" spans="1:10" x14ac:dyDescent="0.2">
      <c r="A335" t="str">
        <f>[5]trip_summary_region!A335</f>
        <v>05 GISBORNE</v>
      </c>
      <c r="B335">
        <f>[5]trip_summary_region!B335</f>
        <v>2</v>
      </c>
      <c r="C335">
        <f>[5]trip_summary_region!C335</f>
        <v>2033</v>
      </c>
      <c r="D335">
        <f>[5]trip_summary_region!D335</f>
        <v>319</v>
      </c>
      <c r="E335">
        <f>[5]trip_summary_region!E335</f>
        <v>2307</v>
      </c>
      <c r="F335">
        <f>[5]trip_summary_region!F335</f>
        <v>28.121178266000001</v>
      </c>
      <c r="G335">
        <f>[5]trip_summary_region!G335</f>
        <v>245.75296420999999</v>
      </c>
      <c r="H335">
        <f>[5]trip_summary_region!H335</f>
        <v>6.1249258626999996</v>
      </c>
      <c r="I335" t="str">
        <f>[5]trip_summary_region!I335</f>
        <v>Light Vehicle Driver</v>
      </c>
      <c r="J335" t="str">
        <f>[5]trip_summary_region!J335</f>
        <v>2032/33</v>
      </c>
    </row>
    <row r="336" spans="1:10" x14ac:dyDescent="0.2">
      <c r="A336" t="str">
        <f>[5]trip_summary_region!A336</f>
        <v>05 GISBORNE</v>
      </c>
      <c r="B336">
        <f>[5]trip_summary_region!B336</f>
        <v>2</v>
      </c>
      <c r="C336">
        <f>[5]trip_summary_region!C336</f>
        <v>2038</v>
      </c>
      <c r="D336">
        <f>[5]trip_summary_region!D336</f>
        <v>319</v>
      </c>
      <c r="E336">
        <f>[5]trip_summary_region!E336</f>
        <v>2307</v>
      </c>
      <c r="F336">
        <f>[5]trip_summary_region!F336</f>
        <v>27.646499775999999</v>
      </c>
      <c r="G336">
        <f>[5]trip_summary_region!G336</f>
        <v>243.45413425999999</v>
      </c>
      <c r="H336">
        <f>[5]trip_summary_region!H336</f>
        <v>6.0673329263999998</v>
      </c>
      <c r="I336" t="str">
        <f>[5]trip_summary_region!I336</f>
        <v>Light Vehicle Driver</v>
      </c>
      <c r="J336" t="str">
        <f>[5]trip_summary_region!J336</f>
        <v>2037/38</v>
      </c>
    </row>
    <row r="337" spans="1:10" x14ac:dyDescent="0.2">
      <c r="A337" t="str">
        <f>[5]trip_summary_region!A337</f>
        <v>05 GISBORNE</v>
      </c>
      <c r="B337">
        <f>[5]trip_summary_region!B337</f>
        <v>2</v>
      </c>
      <c r="C337">
        <f>[5]trip_summary_region!C337</f>
        <v>2043</v>
      </c>
      <c r="D337">
        <f>[5]trip_summary_region!D337</f>
        <v>319</v>
      </c>
      <c r="E337">
        <f>[5]trip_summary_region!E337</f>
        <v>2307</v>
      </c>
      <c r="F337">
        <f>[5]trip_summary_region!F337</f>
        <v>27.109909185999999</v>
      </c>
      <c r="G337">
        <f>[5]trip_summary_region!G337</f>
        <v>240.38093218</v>
      </c>
      <c r="H337">
        <f>[5]trip_summary_region!H337</f>
        <v>5.9964062882000002</v>
      </c>
      <c r="I337" t="str">
        <f>[5]trip_summary_region!I337</f>
        <v>Light Vehicle Driver</v>
      </c>
      <c r="J337" t="str">
        <f>[5]trip_summary_region!J337</f>
        <v>2042/43</v>
      </c>
    </row>
    <row r="338" spans="1:10" x14ac:dyDescent="0.2">
      <c r="A338" t="str">
        <f>[5]trip_summary_region!A338</f>
        <v>05 GISBORNE</v>
      </c>
      <c r="B338">
        <f>[5]trip_summary_region!B338</f>
        <v>3</v>
      </c>
      <c r="C338">
        <f>[5]trip_summary_region!C338</f>
        <v>2013</v>
      </c>
      <c r="D338">
        <f>[5]trip_summary_region!D338</f>
        <v>278</v>
      </c>
      <c r="E338">
        <f>[5]trip_summary_region!E338</f>
        <v>1431</v>
      </c>
      <c r="F338">
        <f>[5]trip_summary_region!F338</f>
        <v>18.791024854</v>
      </c>
      <c r="G338">
        <f>[5]trip_summary_region!G338</f>
        <v>174.74236519999999</v>
      </c>
      <c r="H338">
        <f>[5]trip_summary_region!H338</f>
        <v>4.5909579553000004</v>
      </c>
      <c r="I338" t="str">
        <f>[5]trip_summary_region!I338</f>
        <v>Light Vehicle Passenger</v>
      </c>
      <c r="J338" t="str">
        <f>[5]trip_summary_region!J338</f>
        <v>2012/13</v>
      </c>
    </row>
    <row r="339" spans="1:10" x14ac:dyDescent="0.2">
      <c r="A339" t="str">
        <f>[5]trip_summary_region!A339</f>
        <v>05 GISBORNE</v>
      </c>
      <c r="B339">
        <f>[5]trip_summary_region!B339</f>
        <v>3</v>
      </c>
      <c r="C339">
        <f>[5]trip_summary_region!C339</f>
        <v>2018</v>
      </c>
      <c r="D339">
        <f>[5]trip_summary_region!D339</f>
        <v>278</v>
      </c>
      <c r="E339">
        <f>[5]trip_summary_region!E339</f>
        <v>1431</v>
      </c>
      <c r="F339">
        <f>[5]trip_summary_region!F339</f>
        <v>17.509201803</v>
      </c>
      <c r="G339">
        <f>[5]trip_summary_region!G339</f>
        <v>164.37102755000001</v>
      </c>
      <c r="H339">
        <f>[5]trip_summary_region!H339</f>
        <v>4.3565148779999996</v>
      </c>
      <c r="I339" t="str">
        <f>[5]trip_summary_region!I339</f>
        <v>Light Vehicle Passenger</v>
      </c>
      <c r="J339" t="str">
        <f>[5]trip_summary_region!J339</f>
        <v>2017/18</v>
      </c>
    </row>
    <row r="340" spans="1:10" x14ac:dyDescent="0.2">
      <c r="A340" t="str">
        <f>[5]trip_summary_region!A340</f>
        <v>05 GISBORNE</v>
      </c>
      <c r="B340">
        <f>[5]trip_summary_region!B340</f>
        <v>3</v>
      </c>
      <c r="C340">
        <f>[5]trip_summary_region!C340</f>
        <v>2023</v>
      </c>
      <c r="D340">
        <f>[5]trip_summary_region!D340</f>
        <v>278</v>
      </c>
      <c r="E340">
        <f>[5]trip_summary_region!E340</f>
        <v>1431</v>
      </c>
      <c r="F340">
        <f>[5]trip_summary_region!F340</f>
        <v>16.401976054999999</v>
      </c>
      <c r="G340">
        <f>[5]trip_summary_region!G340</f>
        <v>155.63407165999999</v>
      </c>
      <c r="H340">
        <f>[5]trip_summary_region!H340</f>
        <v>4.1419480037999996</v>
      </c>
      <c r="I340" t="str">
        <f>[5]trip_summary_region!I340</f>
        <v>Light Vehicle Passenger</v>
      </c>
      <c r="J340" t="str">
        <f>[5]trip_summary_region!J340</f>
        <v>2022/23</v>
      </c>
    </row>
    <row r="341" spans="1:10" x14ac:dyDescent="0.2">
      <c r="A341" t="str">
        <f>[5]trip_summary_region!A341</f>
        <v>05 GISBORNE</v>
      </c>
      <c r="B341">
        <f>[5]trip_summary_region!B341</f>
        <v>3</v>
      </c>
      <c r="C341">
        <f>[5]trip_summary_region!C341</f>
        <v>2028</v>
      </c>
      <c r="D341">
        <f>[5]trip_summary_region!D341</f>
        <v>278</v>
      </c>
      <c r="E341">
        <f>[5]trip_summary_region!E341</f>
        <v>1431</v>
      </c>
      <c r="F341">
        <f>[5]trip_summary_region!F341</f>
        <v>15.419976277</v>
      </c>
      <c r="G341">
        <f>[5]trip_summary_region!G341</f>
        <v>148.26253584</v>
      </c>
      <c r="H341">
        <f>[5]trip_summary_region!H341</f>
        <v>3.9422345055000001</v>
      </c>
      <c r="I341" t="str">
        <f>[5]trip_summary_region!I341</f>
        <v>Light Vehicle Passenger</v>
      </c>
      <c r="J341" t="str">
        <f>[5]trip_summary_region!J341</f>
        <v>2027/28</v>
      </c>
    </row>
    <row r="342" spans="1:10" x14ac:dyDescent="0.2">
      <c r="A342" t="str">
        <f>[5]trip_summary_region!A342</f>
        <v>05 GISBORNE</v>
      </c>
      <c r="B342">
        <f>[5]trip_summary_region!B342</f>
        <v>3</v>
      </c>
      <c r="C342">
        <f>[5]trip_summary_region!C342</f>
        <v>2033</v>
      </c>
      <c r="D342">
        <f>[5]trip_summary_region!D342</f>
        <v>278</v>
      </c>
      <c r="E342">
        <f>[5]trip_summary_region!E342</f>
        <v>1431</v>
      </c>
      <c r="F342">
        <f>[5]trip_summary_region!F342</f>
        <v>14.522580057000001</v>
      </c>
      <c r="G342">
        <f>[5]trip_summary_region!G342</f>
        <v>139.59158424</v>
      </c>
      <c r="H342">
        <f>[5]trip_summary_region!H342</f>
        <v>3.7163157827000002</v>
      </c>
      <c r="I342" t="str">
        <f>[5]trip_summary_region!I342</f>
        <v>Light Vehicle Passenger</v>
      </c>
      <c r="J342" t="str">
        <f>[5]trip_summary_region!J342</f>
        <v>2032/33</v>
      </c>
    </row>
    <row r="343" spans="1:10" x14ac:dyDescent="0.2">
      <c r="A343" t="str">
        <f>[5]trip_summary_region!A343</f>
        <v>05 GISBORNE</v>
      </c>
      <c r="B343">
        <f>[5]trip_summary_region!B343</f>
        <v>3</v>
      </c>
      <c r="C343">
        <f>[5]trip_summary_region!C343</f>
        <v>2038</v>
      </c>
      <c r="D343">
        <f>[5]trip_summary_region!D343</f>
        <v>278</v>
      </c>
      <c r="E343">
        <f>[5]trip_summary_region!E343</f>
        <v>1431</v>
      </c>
      <c r="F343">
        <f>[5]trip_summary_region!F343</f>
        <v>13.817559822</v>
      </c>
      <c r="G343">
        <f>[5]trip_summary_region!G343</f>
        <v>132.46024281000001</v>
      </c>
      <c r="H343">
        <f>[5]trip_summary_region!H343</f>
        <v>3.5542546963000001</v>
      </c>
      <c r="I343" t="str">
        <f>[5]trip_summary_region!I343</f>
        <v>Light Vehicle Passenger</v>
      </c>
      <c r="J343" t="str">
        <f>[5]trip_summary_region!J343</f>
        <v>2037/38</v>
      </c>
    </row>
    <row r="344" spans="1:10" x14ac:dyDescent="0.2">
      <c r="A344" t="str">
        <f>[5]trip_summary_region!A344</f>
        <v>05 GISBORNE</v>
      </c>
      <c r="B344">
        <f>[5]trip_summary_region!B344</f>
        <v>3</v>
      </c>
      <c r="C344">
        <f>[5]trip_summary_region!C344</f>
        <v>2043</v>
      </c>
      <c r="D344">
        <f>[5]trip_summary_region!D344</f>
        <v>278</v>
      </c>
      <c r="E344">
        <f>[5]trip_summary_region!E344</f>
        <v>1431</v>
      </c>
      <c r="F344">
        <f>[5]trip_summary_region!F344</f>
        <v>13.118438191999999</v>
      </c>
      <c r="G344">
        <f>[5]trip_summary_region!G344</f>
        <v>125.51128602999999</v>
      </c>
      <c r="H344">
        <f>[5]trip_summary_region!H344</f>
        <v>3.3999913052999999</v>
      </c>
      <c r="I344" t="str">
        <f>[5]trip_summary_region!I344</f>
        <v>Light Vehicle Passenger</v>
      </c>
      <c r="J344" t="str">
        <f>[5]trip_summary_region!J344</f>
        <v>2042/43</v>
      </c>
    </row>
    <row r="345" spans="1:10" x14ac:dyDescent="0.2">
      <c r="A345" t="str">
        <f>[5]trip_summary_region!A345</f>
        <v>05 GISBORNE</v>
      </c>
      <c r="B345">
        <f>[5]trip_summary_region!B345</f>
        <v>4</v>
      </c>
      <c r="C345">
        <f>[5]trip_summary_region!C345</f>
        <v>2013</v>
      </c>
      <c r="D345">
        <f>[5]trip_summary_region!D345</f>
        <v>2</v>
      </c>
      <c r="E345">
        <f>[5]trip_summary_region!E345</f>
        <v>2</v>
      </c>
      <c r="F345">
        <f>[5]trip_summary_region!F345</f>
        <v>2.27015811E-2</v>
      </c>
      <c r="G345">
        <f>[5]trip_summary_region!G345</f>
        <v>0.1174510768</v>
      </c>
      <c r="H345">
        <f>[5]trip_summary_region!H345</f>
        <v>5.0534828E-3</v>
      </c>
      <c r="I345" t="s">
        <v>116</v>
      </c>
      <c r="J345" t="str">
        <f>[5]trip_summary_region!J345</f>
        <v>2012/13</v>
      </c>
    </row>
    <row r="346" spans="1:10" x14ac:dyDescent="0.2">
      <c r="A346" t="str">
        <f>[5]trip_summary_region!A346</f>
        <v>05 GISBORNE</v>
      </c>
      <c r="B346">
        <f>[5]trip_summary_region!B346</f>
        <v>4</v>
      </c>
      <c r="C346">
        <f>[5]trip_summary_region!C346</f>
        <v>2018</v>
      </c>
      <c r="D346">
        <f>[5]trip_summary_region!D346</f>
        <v>2</v>
      </c>
      <c r="E346">
        <f>[5]trip_summary_region!E346</f>
        <v>2</v>
      </c>
      <c r="F346">
        <f>[5]trip_summary_region!F346</f>
        <v>2.44828154E-2</v>
      </c>
      <c r="G346">
        <f>[5]trip_summary_region!G346</f>
        <v>0.16236521579999999</v>
      </c>
      <c r="H346">
        <f>[5]trip_summary_region!H346</f>
        <v>6.7867372000000002E-3</v>
      </c>
      <c r="I346" t="s">
        <v>116</v>
      </c>
      <c r="J346" t="str">
        <f>[5]trip_summary_region!J346</f>
        <v>2017/18</v>
      </c>
    </row>
    <row r="347" spans="1:10" x14ac:dyDescent="0.2">
      <c r="A347" t="str">
        <f>[5]trip_summary_region!A347</f>
        <v>05 GISBORNE</v>
      </c>
      <c r="B347">
        <f>[5]trip_summary_region!B347</f>
        <v>4</v>
      </c>
      <c r="C347">
        <f>[5]trip_summary_region!C347</f>
        <v>2023</v>
      </c>
      <c r="D347">
        <f>[5]trip_summary_region!D347</f>
        <v>2</v>
      </c>
      <c r="E347">
        <f>[5]trip_summary_region!E347</f>
        <v>2</v>
      </c>
      <c r="F347">
        <f>[5]trip_summary_region!F347</f>
        <v>2.8913963300000001E-2</v>
      </c>
      <c r="G347">
        <f>[5]trip_summary_region!G347</f>
        <v>0.2325307405</v>
      </c>
      <c r="H347">
        <f>[5]trip_summary_region!H347</f>
        <v>9.5420512999999998E-3</v>
      </c>
      <c r="I347" t="s">
        <v>116</v>
      </c>
      <c r="J347" t="str">
        <f>[5]trip_summary_region!J347</f>
        <v>2022/23</v>
      </c>
    </row>
    <row r="348" spans="1:10" x14ac:dyDescent="0.2">
      <c r="A348" t="str">
        <f>[5]trip_summary_region!A348</f>
        <v>05 GISBORNE</v>
      </c>
      <c r="B348">
        <f>[5]trip_summary_region!B348</f>
        <v>4</v>
      </c>
      <c r="C348">
        <f>[5]trip_summary_region!C348</f>
        <v>2028</v>
      </c>
      <c r="D348">
        <f>[5]trip_summary_region!D348</f>
        <v>2</v>
      </c>
      <c r="E348">
        <f>[5]trip_summary_region!E348</f>
        <v>2</v>
      </c>
      <c r="F348">
        <f>[5]trip_summary_region!F348</f>
        <v>3.6333705600000002E-2</v>
      </c>
      <c r="G348">
        <f>[5]trip_summary_region!G348</f>
        <v>0.33604516559999997</v>
      </c>
      <c r="H348">
        <f>[5]trip_summary_region!H348</f>
        <v>1.36324181E-2</v>
      </c>
      <c r="I348" t="s">
        <v>116</v>
      </c>
      <c r="J348" t="str">
        <f>[5]trip_summary_region!J348</f>
        <v>2027/28</v>
      </c>
    </row>
    <row r="349" spans="1:10" x14ac:dyDescent="0.2">
      <c r="A349" t="str">
        <f>[5]trip_summary_region!A349</f>
        <v>05 GISBORNE</v>
      </c>
      <c r="B349">
        <f>[5]trip_summary_region!B349</f>
        <v>4</v>
      </c>
      <c r="C349">
        <f>[5]trip_summary_region!C349</f>
        <v>2033</v>
      </c>
      <c r="D349">
        <f>[5]trip_summary_region!D349</f>
        <v>2</v>
      </c>
      <c r="E349">
        <f>[5]trip_summary_region!E349</f>
        <v>2</v>
      </c>
      <c r="F349">
        <f>[5]trip_summary_region!F349</f>
        <v>4.3758269699999998E-2</v>
      </c>
      <c r="G349">
        <f>[5]trip_summary_region!G349</f>
        <v>0.44887741889999999</v>
      </c>
      <c r="H349">
        <f>[5]trip_summary_region!H349</f>
        <v>1.8071832699999998E-2</v>
      </c>
      <c r="I349" t="s">
        <v>116</v>
      </c>
      <c r="J349" t="str">
        <f>[5]trip_summary_region!J349</f>
        <v>2032/33</v>
      </c>
    </row>
    <row r="350" spans="1:10" x14ac:dyDescent="0.2">
      <c r="A350" t="str">
        <f>[5]trip_summary_region!A350</f>
        <v>05 GISBORNE</v>
      </c>
      <c r="B350">
        <f>[5]trip_summary_region!B350</f>
        <v>4</v>
      </c>
      <c r="C350">
        <f>[5]trip_summary_region!C350</f>
        <v>2038</v>
      </c>
      <c r="D350">
        <f>[5]trip_summary_region!D350</f>
        <v>2</v>
      </c>
      <c r="E350">
        <f>[5]trip_summary_region!E350</f>
        <v>2</v>
      </c>
      <c r="F350">
        <f>[5]trip_summary_region!F350</f>
        <v>4.9484436600000001E-2</v>
      </c>
      <c r="G350">
        <f>[5]trip_summary_region!G350</f>
        <v>0.5283648675</v>
      </c>
      <c r="H350">
        <f>[5]trip_summary_region!H350</f>
        <v>2.1213601799999999E-2</v>
      </c>
      <c r="I350" t="s">
        <v>116</v>
      </c>
      <c r="J350" t="str">
        <f>[5]trip_summary_region!J350</f>
        <v>2037/38</v>
      </c>
    </row>
    <row r="351" spans="1:10" x14ac:dyDescent="0.2">
      <c r="A351" t="str">
        <f>[5]trip_summary_region!A351</f>
        <v>05 GISBORNE</v>
      </c>
      <c r="B351">
        <f>[5]trip_summary_region!B351</f>
        <v>4</v>
      </c>
      <c r="C351">
        <f>[5]trip_summary_region!C351</f>
        <v>2043</v>
      </c>
      <c r="D351">
        <f>[5]trip_summary_region!D351</f>
        <v>2</v>
      </c>
      <c r="E351">
        <f>[5]trip_summary_region!E351</f>
        <v>2</v>
      </c>
      <c r="F351">
        <f>[5]trip_summary_region!F351</f>
        <v>5.6081116600000001E-2</v>
      </c>
      <c r="G351">
        <f>[5]trip_summary_region!G351</f>
        <v>0.62030354070000004</v>
      </c>
      <c r="H351">
        <f>[5]trip_summary_region!H351</f>
        <v>2.4846745900000002E-2</v>
      </c>
      <c r="I351" t="s">
        <v>116</v>
      </c>
      <c r="J351" t="str">
        <f>[5]trip_summary_region!J351</f>
        <v>2042/43</v>
      </c>
    </row>
    <row r="352" spans="1:10" x14ac:dyDescent="0.2">
      <c r="A352" t="str">
        <f>[5]trip_summary_region!A352</f>
        <v>05 GISBORNE</v>
      </c>
      <c r="B352">
        <f>[5]trip_summary_region!B352</f>
        <v>5</v>
      </c>
      <c r="C352">
        <f>[5]trip_summary_region!C352</f>
        <v>2013</v>
      </c>
      <c r="D352">
        <f>[5]trip_summary_region!D352</f>
        <v>3</v>
      </c>
      <c r="E352">
        <f>[5]trip_summary_region!E352</f>
        <v>16</v>
      </c>
      <c r="F352">
        <f>[5]trip_summary_region!F352</f>
        <v>0.20072163900000001</v>
      </c>
      <c r="G352">
        <f>[5]trip_summary_region!G352</f>
        <v>0.95186353219999997</v>
      </c>
      <c r="H352">
        <f>[5]trip_summary_region!H352</f>
        <v>4.6418087199999999E-2</v>
      </c>
      <c r="I352" t="str">
        <f>[5]trip_summary_region!I352</f>
        <v>Motorcyclist</v>
      </c>
      <c r="J352" t="str">
        <f>[5]trip_summary_region!J352</f>
        <v>2012/13</v>
      </c>
    </row>
    <row r="353" spans="1:10" x14ac:dyDescent="0.2">
      <c r="A353" t="str">
        <f>[5]trip_summary_region!A353</f>
        <v>05 GISBORNE</v>
      </c>
      <c r="B353">
        <f>[5]trip_summary_region!B353</f>
        <v>5</v>
      </c>
      <c r="C353">
        <f>[5]trip_summary_region!C353</f>
        <v>2018</v>
      </c>
      <c r="D353">
        <f>[5]trip_summary_region!D353</f>
        <v>3</v>
      </c>
      <c r="E353">
        <f>[5]trip_summary_region!E353</f>
        <v>16</v>
      </c>
      <c r="F353">
        <f>[5]trip_summary_region!F353</f>
        <v>0.20011529810000001</v>
      </c>
      <c r="G353">
        <f>[5]trip_summary_region!G353</f>
        <v>0.97544022939999997</v>
      </c>
      <c r="H353">
        <f>[5]trip_summary_region!H353</f>
        <v>4.6325207299999997E-2</v>
      </c>
      <c r="I353" t="str">
        <f>[5]trip_summary_region!I353</f>
        <v>Motorcyclist</v>
      </c>
      <c r="J353" t="str">
        <f>[5]trip_summary_region!J353</f>
        <v>2017/18</v>
      </c>
    </row>
    <row r="354" spans="1:10" x14ac:dyDescent="0.2">
      <c r="A354" t="str">
        <f>[5]trip_summary_region!A354</f>
        <v>05 GISBORNE</v>
      </c>
      <c r="B354">
        <f>[5]trip_summary_region!B354</f>
        <v>5</v>
      </c>
      <c r="C354">
        <f>[5]trip_summary_region!C354</f>
        <v>2023</v>
      </c>
      <c r="D354">
        <f>[5]trip_summary_region!D354</f>
        <v>3</v>
      </c>
      <c r="E354">
        <f>[5]trip_summary_region!E354</f>
        <v>16</v>
      </c>
      <c r="F354">
        <f>[5]trip_summary_region!F354</f>
        <v>0.18921009920000001</v>
      </c>
      <c r="G354">
        <f>[5]trip_summary_region!G354</f>
        <v>0.94498969830000001</v>
      </c>
      <c r="H354">
        <f>[5]trip_summary_region!H354</f>
        <v>4.3856214800000001E-2</v>
      </c>
      <c r="I354" t="str">
        <f>[5]trip_summary_region!I354</f>
        <v>Motorcyclist</v>
      </c>
      <c r="J354" t="str">
        <f>[5]trip_summary_region!J354</f>
        <v>2022/23</v>
      </c>
    </row>
    <row r="355" spans="1:10" x14ac:dyDescent="0.2">
      <c r="A355" t="str">
        <f>[5]trip_summary_region!A355</f>
        <v>05 GISBORNE</v>
      </c>
      <c r="B355">
        <f>[5]trip_summary_region!B355</f>
        <v>5</v>
      </c>
      <c r="C355">
        <f>[5]trip_summary_region!C355</f>
        <v>2028</v>
      </c>
      <c r="D355">
        <f>[5]trip_summary_region!D355</f>
        <v>3</v>
      </c>
      <c r="E355">
        <f>[5]trip_summary_region!E355</f>
        <v>16</v>
      </c>
      <c r="F355">
        <f>[5]trip_summary_region!F355</f>
        <v>0.1751730246</v>
      </c>
      <c r="G355">
        <f>[5]trip_summary_region!G355</f>
        <v>0.89218041510000001</v>
      </c>
      <c r="H355">
        <f>[5]trip_summary_region!H355</f>
        <v>4.0851320500000003E-2</v>
      </c>
      <c r="I355" t="str">
        <f>[5]trip_summary_region!I355</f>
        <v>Motorcyclist</v>
      </c>
      <c r="J355" t="str">
        <f>[5]trip_summary_region!J355</f>
        <v>2027/28</v>
      </c>
    </row>
    <row r="356" spans="1:10" x14ac:dyDescent="0.2">
      <c r="A356" t="str">
        <f>[5]trip_summary_region!A356</f>
        <v>05 GISBORNE</v>
      </c>
      <c r="B356">
        <f>[5]trip_summary_region!B356</f>
        <v>5</v>
      </c>
      <c r="C356">
        <f>[5]trip_summary_region!C356</f>
        <v>2033</v>
      </c>
      <c r="D356">
        <f>[5]trip_summary_region!D356</f>
        <v>3</v>
      </c>
      <c r="E356">
        <f>[5]trip_summary_region!E356</f>
        <v>16</v>
      </c>
      <c r="F356">
        <f>[5]trip_summary_region!F356</f>
        <v>0.16242442469999999</v>
      </c>
      <c r="G356">
        <f>[5]trip_summary_region!G356</f>
        <v>0.82323159990000006</v>
      </c>
      <c r="H356">
        <f>[5]trip_summary_region!H356</f>
        <v>3.8047514300000002E-2</v>
      </c>
      <c r="I356" t="str">
        <f>[5]trip_summary_region!I356</f>
        <v>Motorcyclist</v>
      </c>
      <c r="J356" t="str">
        <f>[5]trip_summary_region!J356</f>
        <v>2032/33</v>
      </c>
    </row>
    <row r="357" spans="1:10" x14ac:dyDescent="0.2">
      <c r="A357" t="str">
        <f>[5]trip_summary_region!A357</f>
        <v>05 GISBORNE</v>
      </c>
      <c r="B357">
        <f>[5]trip_summary_region!B357</f>
        <v>5</v>
      </c>
      <c r="C357">
        <f>[5]trip_summary_region!C357</f>
        <v>2038</v>
      </c>
      <c r="D357">
        <f>[5]trip_summary_region!D357</f>
        <v>3</v>
      </c>
      <c r="E357">
        <f>[5]trip_summary_region!E357</f>
        <v>16</v>
      </c>
      <c r="F357">
        <f>[5]trip_summary_region!F357</f>
        <v>0.15276950610000001</v>
      </c>
      <c r="G357">
        <f>[5]trip_summary_region!G357</f>
        <v>0.75770159410000004</v>
      </c>
      <c r="H357">
        <f>[5]trip_summary_region!H357</f>
        <v>3.5876436999999997E-2</v>
      </c>
      <c r="I357" t="str">
        <f>[5]trip_summary_region!I357</f>
        <v>Motorcyclist</v>
      </c>
      <c r="J357" t="str">
        <f>[5]trip_summary_region!J357</f>
        <v>2037/38</v>
      </c>
    </row>
    <row r="358" spans="1:10" x14ac:dyDescent="0.2">
      <c r="A358" t="str">
        <f>[5]trip_summary_region!A358</f>
        <v>05 GISBORNE</v>
      </c>
      <c r="B358">
        <f>[5]trip_summary_region!B358</f>
        <v>5</v>
      </c>
      <c r="C358">
        <f>[5]trip_summary_region!C358</f>
        <v>2043</v>
      </c>
      <c r="D358">
        <f>[5]trip_summary_region!D358</f>
        <v>3</v>
      </c>
      <c r="E358">
        <f>[5]trip_summary_region!E358</f>
        <v>16</v>
      </c>
      <c r="F358">
        <f>[5]trip_summary_region!F358</f>
        <v>0.14246196180000001</v>
      </c>
      <c r="G358">
        <f>[5]trip_summary_region!G358</f>
        <v>0.69292214129999996</v>
      </c>
      <c r="H358">
        <f>[5]trip_summary_region!H358</f>
        <v>3.3546605600000001E-2</v>
      </c>
      <c r="I358" t="str">
        <f>[5]trip_summary_region!I358</f>
        <v>Motorcyclist</v>
      </c>
      <c r="J358" t="str">
        <f>[5]trip_summary_region!J358</f>
        <v>2042/43</v>
      </c>
    </row>
    <row r="359" spans="1:10" x14ac:dyDescent="0.2">
      <c r="A359" t="str">
        <f>[5]trip_summary_region!A359</f>
        <v>05 GISBORNE</v>
      </c>
      <c r="B359">
        <f>[5]trip_summary_region!B359</f>
        <v>6</v>
      </c>
      <c r="C359">
        <f>[5]trip_summary_region!C359</f>
        <v>2013</v>
      </c>
      <c r="D359">
        <f>[5]trip_summary_region!D359</f>
        <v>1</v>
      </c>
      <c r="E359">
        <f>[5]trip_summary_region!E359</f>
        <v>3</v>
      </c>
      <c r="F359">
        <f>[5]trip_summary_region!F359</f>
        <v>2.2764127700000001E-2</v>
      </c>
      <c r="G359">
        <f>[5]trip_summary_region!G359</f>
        <v>0</v>
      </c>
      <c r="H359">
        <f>[5]trip_summary_region!H359</f>
        <v>2.5293475000000001E-3</v>
      </c>
      <c r="I359" t="str">
        <f>[5]trip_summary_region!I359</f>
        <v>Local Train</v>
      </c>
      <c r="J359" t="str">
        <f>[5]trip_summary_region!J359</f>
        <v>2012/13</v>
      </c>
    </row>
    <row r="360" spans="1:10" x14ac:dyDescent="0.2">
      <c r="A360" t="str">
        <f>[5]trip_summary_region!A360</f>
        <v>05 GISBORNE</v>
      </c>
      <c r="B360">
        <f>[5]trip_summary_region!B360</f>
        <v>6</v>
      </c>
      <c r="C360">
        <f>[5]trip_summary_region!C360</f>
        <v>2018</v>
      </c>
      <c r="D360">
        <f>[5]trip_summary_region!D360</f>
        <v>1</v>
      </c>
      <c r="E360">
        <f>[5]trip_summary_region!E360</f>
        <v>3</v>
      </c>
      <c r="F360">
        <f>[5]trip_summary_region!F360</f>
        <v>3.3968115899999998E-2</v>
      </c>
      <c r="G360">
        <f>[5]trip_summary_region!G360</f>
        <v>0</v>
      </c>
      <c r="H360">
        <f>[5]trip_summary_region!H360</f>
        <v>3.7713642000000002E-3</v>
      </c>
      <c r="I360" t="str">
        <f>[5]trip_summary_region!I360</f>
        <v>Local Train</v>
      </c>
      <c r="J360" t="str">
        <f>[5]trip_summary_region!J360</f>
        <v>2017/18</v>
      </c>
    </row>
    <row r="361" spans="1:10" x14ac:dyDescent="0.2">
      <c r="A361" t="str">
        <f>[5]trip_summary_region!A361</f>
        <v>05 GISBORNE</v>
      </c>
      <c r="B361">
        <f>[5]trip_summary_region!B361</f>
        <v>6</v>
      </c>
      <c r="C361">
        <f>[5]trip_summary_region!C361</f>
        <v>2023</v>
      </c>
      <c r="D361">
        <f>[5]trip_summary_region!D361</f>
        <v>1</v>
      </c>
      <c r="E361">
        <f>[5]trip_summary_region!E361</f>
        <v>3</v>
      </c>
      <c r="F361">
        <f>[5]trip_summary_region!F361</f>
        <v>5.0797137899999997E-2</v>
      </c>
      <c r="G361">
        <f>[5]trip_summary_region!G361</f>
        <v>0</v>
      </c>
      <c r="H361">
        <f>[5]trip_summary_region!H361</f>
        <v>5.6363867999999996E-3</v>
      </c>
      <c r="I361" t="str">
        <f>[5]trip_summary_region!I361</f>
        <v>Local Train</v>
      </c>
      <c r="J361" t="str">
        <f>[5]trip_summary_region!J361</f>
        <v>2022/23</v>
      </c>
    </row>
    <row r="362" spans="1:10" x14ac:dyDescent="0.2">
      <c r="A362" t="str">
        <f>[5]trip_summary_region!A362</f>
        <v>05 GISBORNE</v>
      </c>
      <c r="B362">
        <f>[5]trip_summary_region!B362</f>
        <v>6</v>
      </c>
      <c r="C362">
        <f>[5]trip_summary_region!C362</f>
        <v>2028</v>
      </c>
      <c r="D362">
        <f>[5]trip_summary_region!D362</f>
        <v>1</v>
      </c>
      <c r="E362">
        <f>[5]trip_summary_region!E362</f>
        <v>3</v>
      </c>
      <c r="F362">
        <f>[5]trip_summary_region!F362</f>
        <v>7.5048004099999996E-2</v>
      </c>
      <c r="G362">
        <f>[5]trip_summary_region!G362</f>
        <v>0</v>
      </c>
      <c r="H362">
        <f>[5]trip_summary_region!H362</f>
        <v>8.3205395999999994E-3</v>
      </c>
      <c r="I362" t="str">
        <f>[5]trip_summary_region!I362</f>
        <v>Local Train</v>
      </c>
      <c r="J362" t="str">
        <f>[5]trip_summary_region!J362</f>
        <v>2027/28</v>
      </c>
    </row>
    <row r="363" spans="1:10" x14ac:dyDescent="0.2">
      <c r="A363" t="str">
        <f>[5]trip_summary_region!A363</f>
        <v>05 GISBORNE</v>
      </c>
      <c r="B363">
        <f>[5]trip_summary_region!B363</f>
        <v>6</v>
      </c>
      <c r="C363">
        <f>[5]trip_summary_region!C363</f>
        <v>2033</v>
      </c>
      <c r="D363">
        <f>[5]trip_summary_region!D363</f>
        <v>1</v>
      </c>
      <c r="E363">
        <f>[5]trip_summary_region!E363</f>
        <v>3</v>
      </c>
      <c r="F363">
        <f>[5]trip_summary_region!F363</f>
        <v>0.1014276828</v>
      </c>
      <c r="G363">
        <f>[5]trip_summary_region!G363</f>
        <v>0</v>
      </c>
      <c r="H363">
        <f>[5]trip_summary_region!H363</f>
        <v>1.1235929299999999E-2</v>
      </c>
      <c r="I363" t="str">
        <f>[5]trip_summary_region!I363</f>
        <v>Local Train</v>
      </c>
      <c r="J363" t="str">
        <f>[5]trip_summary_region!J363</f>
        <v>2032/33</v>
      </c>
    </row>
    <row r="364" spans="1:10" x14ac:dyDescent="0.2">
      <c r="A364" t="str">
        <f>[5]trip_summary_region!A364</f>
        <v>05 GISBORNE</v>
      </c>
      <c r="B364">
        <f>[5]trip_summary_region!B364</f>
        <v>6</v>
      </c>
      <c r="C364">
        <f>[5]trip_summary_region!C364</f>
        <v>2038</v>
      </c>
      <c r="D364">
        <f>[5]trip_summary_region!D364</f>
        <v>1</v>
      </c>
      <c r="E364">
        <f>[5]trip_summary_region!E364</f>
        <v>3</v>
      </c>
      <c r="F364">
        <f>[5]trip_summary_region!F364</f>
        <v>0.1195365273</v>
      </c>
      <c r="G364">
        <f>[5]trip_summary_region!G364</f>
        <v>0</v>
      </c>
      <c r="H364">
        <f>[5]trip_summary_region!H364</f>
        <v>1.3233076E-2</v>
      </c>
      <c r="I364" t="str">
        <f>[5]trip_summary_region!I364</f>
        <v>Local Train</v>
      </c>
      <c r="J364" t="str">
        <f>[5]trip_summary_region!J364</f>
        <v>2037/38</v>
      </c>
    </row>
    <row r="365" spans="1:10" x14ac:dyDescent="0.2">
      <c r="A365" t="str">
        <f>[5]trip_summary_region!A365</f>
        <v>05 GISBORNE</v>
      </c>
      <c r="B365">
        <f>[5]trip_summary_region!B365</f>
        <v>6</v>
      </c>
      <c r="C365">
        <f>[5]trip_summary_region!C365</f>
        <v>2043</v>
      </c>
      <c r="D365">
        <f>[5]trip_summary_region!D365</f>
        <v>1</v>
      </c>
      <c r="E365">
        <f>[5]trip_summary_region!E365</f>
        <v>3</v>
      </c>
      <c r="F365">
        <f>[5]trip_summary_region!F365</f>
        <v>0.1401514828</v>
      </c>
      <c r="G365">
        <f>[5]trip_summary_region!G365</f>
        <v>0</v>
      </c>
      <c r="H365">
        <f>[5]trip_summary_region!H365</f>
        <v>1.5501603399999999E-2</v>
      </c>
      <c r="I365" t="str">
        <f>[5]trip_summary_region!I365</f>
        <v>Local Train</v>
      </c>
      <c r="J365" t="str">
        <f>[5]trip_summary_region!J365</f>
        <v>2042/43</v>
      </c>
    </row>
    <row r="366" spans="1:10" x14ac:dyDescent="0.2">
      <c r="A366" t="str">
        <f>[5]trip_summary_region!A366</f>
        <v>05 GISBORNE</v>
      </c>
      <c r="B366">
        <f>[5]trip_summary_region!B366</f>
        <v>7</v>
      </c>
      <c r="C366">
        <f>[5]trip_summary_region!C366</f>
        <v>2013</v>
      </c>
      <c r="D366">
        <f>[5]trip_summary_region!D366</f>
        <v>18</v>
      </c>
      <c r="E366">
        <f>[5]trip_summary_region!E366</f>
        <v>34</v>
      </c>
      <c r="F366">
        <f>[5]trip_summary_region!F366</f>
        <v>0.39415976190000002</v>
      </c>
      <c r="G366">
        <f>[5]trip_summary_region!G366</f>
        <v>4.8778387282000004</v>
      </c>
      <c r="H366">
        <f>[5]trip_summary_region!H366</f>
        <v>0.17812381360000001</v>
      </c>
      <c r="I366" t="str">
        <f>[5]trip_summary_region!I366</f>
        <v>Local Bus</v>
      </c>
      <c r="J366" t="str">
        <f>[5]trip_summary_region!J366</f>
        <v>2012/13</v>
      </c>
    </row>
    <row r="367" spans="1:10" x14ac:dyDescent="0.2">
      <c r="A367" t="str">
        <f>[5]trip_summary_region!A367</f>
        <v>05 GISBORNE</v>
      </c>
      <c r="B367">
        <f>[5]trip_summary_region!B367</f>
        <v>7</v>
      </c>
      <c r="C367">
        <f>[5]trip_summary_region!C367</f>
        <v>2018</v>
      </c>
      <c r="D367">
        <f>[5]trip_summary_region!D367</f>
        <v>18</v>
      </c>
      <c r="E367">
        <f>[5]trip_summary_region!E367</f>
        <v>34</v>
      </c>
      <c r="F367">
        <f>[5]trip_summary_region!F367</f>
        <v>0.3535702355</v>
      </c>
      <c r="G367">
        <f>[5]trip_summary_region!G367</f>
        <v>4.3373156583999997</v>
      </c>
      <c r="H367">
        <f>[5]trip_summary_region!H367</f>
        <v>0.159864122</v>
      </c>
      <c r="I367" t="str">
        <f>[5]trip_summary_region!I367</f>
        <v>Local Bus</v>
      </c>
      <c r="J367" t="str">
        <f>[5]trip_summary_region!J367</f>
        <v>2017/18</v>
      </c>
    </row>
    <row r="368" spans="1:10" x14ac:dyDescent="0.2">
      <c r="A368" t="str">
        <f>[5]trip_summary_region!A368</f>
        <v>05 GISBORNE</v>
      </c>
      <c r="B368">
        <f>[5]trip_summary_region!B368</f>
        <v>7</v>
      </c>
      <c r="C368">
        <f>[5]trip_summary_region!C368</f>
        <v>2023</v>
      </c>
      <c r="D368">
        <f>[5]trip_summary_region!D368</f>
        <v>18</v>
      </c>
      <c r="E368">
        <f>[5]trip_summary_region!E368</f>
        <v>34</v>
      </c>
      <c r="F368">
        <f>[5]trip_summary_region!F368</f>
        <v>0.32973965570000002</v>
      </c>
      <c r="G368">
        <f>[5]trip_summary_region!G368</f>
        <v>3.9663064626</v>
      </c>
      <c r="H368">
        <f>[5]trip_summary_region!H368</f>
        <v>0.14935212389999999</v>
      </c>
      <c r="I368" t="str">
        <f>[5]trip_summary_region!I368</f>
        <v>Local Bus</v>
      </c>
      <c r="J368" t="str">
        <f>[5]trip_summary_region!J368</f>
        <v>2022/23</v>
      </c>
    </row>
    <row r="369" spans="1:10" x14ac:dyDescent="0.2">
      <c r="A369" t="str">
        <f>[5]trip_summary_region!A369</f>
        <v>05 GISBORNE</v>
      </c>
      <c r="B369">
        <f>[5]trip_summary_region!B369</f>
        <v>7</v>
      </c>
      <c r="C369">
        <f>[5]trip_summary_region!C369</f>
        <v>2028</v>
      </c>
      <c r="D369">
        <f>[5]trip_summary_region!D369</f>
        <v>18</v>
      </c>
      <c r="E369">
        <f>[5]trip_summary_region!E369</f>
        <v>34</v>
      </c>
      <c r="F369">
        <f>[5]trip_summary_region!F369</f>
        <v>0.32487317999999998</v>
      </c>
      <c r="G369">
        <f>[5]trip_summary_region!G369</f>
        <v>3.7064099867000002</v>
      </c>
      <c r="H369">
        <f>[5]trip_summary_region!H369</f>
        <v>0.1464834823</v>
      </c>
      <c r="I369" t="str">
        <f>[5]trip_summary_region!I369</f>
        <v>Local Bus</v>
      </c>
      <c r="J369" t="str">
        <f>[5]trip_summary_region!J369</f>
        <v>2027/28</v>
      </c>
    </row>
    <row r="370" spans="1:10" x14ac:dyDescent="0.2">
      <c r="A370" t="str">
        <f>[5]trip_summary_region!A370</f>
        <v>05 GISBORNE</v>
      </c>
      <c r="B370">
        <f>[5]trip_summary_region!B370</f>
        <v>7</v>
      </c>
      <c r="C370">
        <f>[5]trip_summary_region!C370</f>
        <v>2033</v>
      </c>
      <c r="D370">
        <f>[5]trip_summary_region!D370</f>
        <v>18</v>
      </c>
      <c r="E370">
        <f>[5]trip_summary_region!E370</f>
        <v>34</v>
      </c>
      <c r="F370">
        <f>[5]trip_summary_region!F370</f>
        <v>0.32425418550000001</v>
      </c>
      <c r="G370">
        <f>[5]trip_summary_region!G370</f>
        <v>3.3067011892</v>
      </c>
      <c r="H370">
        <f>[5]trip_summary_region!H370</f>
        <v>0.14347698119999999</v>
      </c>
      <c r="I370" t="str">
        <f>[5]trip_summary_region!I370</f>
        <v>Local Bus</v>
      </c>
      <c r="J370" t="str">
        <f>[5]trip_summary_region!J370</f>
        <v>2032/33</v>
      </c>
    </row>
    <row r="371" spans="1:10" x14ac:dyDescent="0.2">
      <c r="A371" t="str">
        <f>[5]trip_summary_region!A371</f>
        <v>05 GISBORNE</v>
      </c>
      <c r="B371">
        <f>[5]trip_summary_region!B371</f>
        <v>7</v>
      </c>
      <c r="C371">
        <f>[5]trip_summary_region!C371</f>
        <v>2038</v>
      </c>
      <c r="D371">
        <f>[5]trip_summary_region!D371</f>
        <v>18</v>
      </c>
      <c r="E371">
        <f>[5]trip_summary_region!E371</f>
        <v>34</v>
      </c>
      <c r="F371">
        <f>[5]trip_summary_region!F371</f>
        <v>0.32155654039999998</v>
      </c>
      <c r="G371">
        <f>[5]trip_summary_region!G371</f>
        <v>3.1261455210000002</v>
      </c>
      <c r="H371">
        <f>[5]trip_summary_region!H371</f>
        <v>0.143610879</v>
      </c>
      <c r="I371" t="str">
        <f>[5]trip_summary_region!I371</f>
        <v>Local Bus</v>
      </c>
      <c r="J371" t="str">
        <f>[5]trip_summary_region!J371</f>
        <v>2037/38</v>
      </c>
    </row>
    <row r="372" spans="1:10" x14ac:dyDescent="0.2">
      <c r="A372" t="str">
        <f>[5]trip_summary_region!A372</f>
        <v>05 GISBORNE</v>
      </c>
      <c r="B372">
        <f>[5]trip_summary_region!B372</f>
        <v>7</v>
      </c>
      <c r="C372">
        <f>[5]trip_summary_region!C372</f>
        <v>2043</v>
      </c>
      <c r="D372">
        <f>[5]trip_summary_region!D372</f>
        <v>18</v>
      </c>
      <c r="E372">
        <f>[5]trip_summary_region!E372</f>
        <v>34</v>
      </c>
      <c r="F372">
        <f>[5]trip_summary_region!F372</f>
        <v>0.32268776399999999</v>
      </c>
      <c r="G372">
        <f>[5]trip_summary_region!G372</f>
        <v>2.9586368315999998</v>
      </c>
      <c r="H372">
        <f>[5]trip_summary_region!H372</f>
        <v>0.14502625050000001</v>
      </c>
      <c r="I372" t="str">
        <f>[5]trip_summary_region!I372</f>
        <v>Local Bus</v>
      </c>
      <c r="J372" t="str">
        <f>[5]trip_summary_region!J372</f>
        <v>2042/43</v>
      </c>
    </row>
    <row r="373" spans="1:10" x14ac:dyDescent="0.2">
      <c r="A373" t="str">
        <f>[5]trip_summary_region!A373</f>
        <v>05 GISBORNE</v>
      </c>
      <c r="B373">
        <f>[5]trip_summary_region!B373</f>
        <v>8</v>
      </c>
      <c r="C373">
        <f>[5]trip_summary_region!C373</f>
        <v>2013</v>
      </c>
      <c r="D373">
        <f>[5]trip_summary_region!D373</f>
        <v>1</v>
      </c>
      <c r="E373">
        <f>[5]trip_summary_region!E373</f>
        <v>2</v>
      </c>
      <c r="F373">
        <f>[5]trip_summary_region!F373</f>
        <v>1.5651153399999999E-2</v>
      </c>
      <c r="G373">
        <f>[5]trip_summary_region!G373</f>
        <v>0</v>
      </c>
      <c r="H373">
        <f>[5]trip_summary_region!H373</f>
        <v>6.5213138999999998E-3</v>
      </c>
      <c r="I373" t="str">
        <f>[5]trip_summary_region!I373</f>
        <v>Local Ferry</v>
      </c>
      <c r="J373" t="str">
        <f>[5]trip_summary_region!J373</f>
        <v>2012/13</v>
      </c>
    </row>
    <row r="374" spans="1:10" x14ac:dyDescent="0.2">
      <c r="A374" t="str">
        <f>[5]trip_summary_region!A374</f>
        <v>05 GISBORNE</v>
      </c>
      <c r="B374">
        <f>[5]trip_summary_region!B374</f>
        <v>8</v>
      </c>
      <c r="C374">
        <f>[5]trip_summary_region!C374</f>
        <v>2018</v>
      </c>
      <c r="D374">
        <f>[5]trip_summary_region!D374</f>
        <v>1</v>
      </c>
      <c r="E374">
        <f>[5]trip_summary_region!E374</f>
        <v>2</v>
      </c>
      <c r="F374">
        <f>[5]trip_summary_region!F374</f>
        <v>1.4907050599999999E-2</v>
      </c>
      <c r="G374">
        <f>[5]trip_summary_region!G374</f>
        <v>0</v>
      </c>
      <c r="H374">
        <f>[5]trip_summary_region!H374</f>
        <v>6.2112710999999996E-3</v>
      </c>
      <c r="I374" t="str">
        <f>[5]trip_summary_region!I374</f>
        <v>Local Ferry</v>
      </c>
      <c r="J374" t="str">
        <f>[5]trip_summary_region!J374</f>
        <v>2017/18</v>
      </c>
    </row>
    <row r="375" spans="1:10" x14ac:dyDescent="0.2">
      <c r="A375" t="str">
        <f>[5]trip_summary_region!A375</f>
        <v>05 GISBORNE</v>
      </c>
      <c r="B375">
        <f>[5]trip_summary_region!B375</f>
        <v>8</v>
      </c>
      <c r="C375">
        <f>[5]trip_summary_region!C375</f>
        <v>2023</v>
      </c>
      <c r="D375">
        <f>[5]trip_summary_region!D375</f>
        <v>1</v>
      </c>
      <c r="E375">
        <f>[5]trip_summary_region!E375</f>
        <v>2</v>
      </c>
      <c r="F375">
        <f>[5]trip_summary_region!F375</f>
        <v>1.39811703E-2</v>
      </c>
      <c r="G375">
        <f>[5]trip_summary_region!G375</f>
        <v>0</v>
      </c>
      <c r="H375">
        <f>[5]trip_summary_region!H375</f>
        <v>5.8254876000000001E-3</v>
      </c>
      <c r="I375" t="str">
        <f>[5]trip_summary_region!I375</f>
        <v>Local Ferry</v>
      </c>
      <c r="J375" t="str">
        <f>[5]trip_summary_region!J375</f>
        <v>2022/23</v>
      </c>
    </row>
    <row r="376" spans="1:10" x14ac:dyDescent="0.2">
      <c r="A376" t="str">
        <f>[5]trip_summary_region!A376</f>
        <v>05 GISBORNE</v>
      </c>
      <c r="B376">
        <f>[5]trip_summary_region!B376</f>
        <v>8</v>
      </c>
      <c r="C376">
        <f>[5]trip_summary_region!C376</f>
        <v>2028</v>
      </c>
      <c r="D376">
        <f>[5]trip_summary_region!D376</f>
        <v>1</v>
      </c>
      <c r="E376">
        <f>[5]trip_summary_region!E376</f>
        <v>2</v>
      </c>
      <c r="F376">
        <f>[5]trip_summary_region!F376</f>
        <v>1.3672536000000001E-2</v>
      </c>
      <c r="G376">
        <f>[5]trip_summary_region!G376</f>
        <v>0</v>
      </c>
      <c r="H376">
        <f>[5]trip_summary_region!H376</f>
        <v>5.6968899999999996E-3</v>
      </c>
      <c r="I376" t="str">
        <f>[5]trip_summary_region!I376</f>
        <v>Local Ferry</v>
      </c>
      <c r="J376" t="str">
        <f>[5]trip_summary_region!J376</f>
        <v>2027/28</v>
      </c>
    </row>
    <row r="377" spans="1:10" x14ac:dyDescent="0.2">
      <c r="A377" t="str">
        <f>[5]trip_summary_region!A377</f>
        <v>05 GISBORNE</v>
      </c>
      <c r="B377">
        <f>[5]trip_summary_region!B377</f>
        <v>8</v>
      </c>
      <c r="C377">
        <f>[5]trip_summary_region!C377</f>
        <v>2033</v>
      </c>
      <c r="D377">
        <f>[5]trip_summary_region!D377</f>
        <v>1</v>
      </c>
      <c r="E377">
        <f>[5]trip_summary_region!E377</f>
        <v>2</v>
      </c>
      <c r="F377">
        <f>[5]trip_summary_region!F377</f>
        <v>1.5082007499999999E-2</v>
      </c>
      <c r="G377">
        <f>[5]trip_summary_region!G377</f>
        <v>0</v>
      </c>
      <c r="H377">
        <f>[5]trip_summary_region!H377</f>
        <v>6.2841698000000003E-3</v>
      </c>
      <c r="I377" t="str">
        <f>[5]trip_summary_region!I377</f>
        <v>Local Ferry</v>
      </c>
      <c r="J377" t="str">
        <f>[5]trip_summary_region!J377</f>
        <v>2032/33</v>
      </c>
    </row>
    <row r="378" spans="1:10" x14ac:dyDescent="0.2">
      <c r="A378" t="str">
        <f>[5]trip_summary_region!A378</f>
        <v>05 GISBORNE</v>
      </c>
      <c r="B378">
        <f>[5]trip_summary_region!B378</f>
        <v>8</v>
      </c>
      <c r="C378">
        <f>[5]trip_summary_region!C378</f>
        <v>2038</v>
      </c>
      <c r="D378">
        <f>[5]trip_summary_region!D378</f>
        <v>1</v>
      </c>
      <c r="E378">
        <f>[5]trip_summary_region!E378</f>
        <v>2</v>
      </c>
      <c r="F378">
        <f>[5]trip_summary_region!F378</f>
        <v>1.7834836499999999E-2</v>
      </c>
      <c r="G378">
        <f>[5]trip_summary_region!G378</f>
        <v>0</v>
      </c>
      <c r="H378">
        <f>[5]trip_summary_region!H378</f>
        <v>7.4311819000000001E-3</v>
      </c>
      <c r="I378" t="str">
        <f>[5]trip_summary_region!I378</f>
        <v>Local Ferry</v>
      </c>
      <c r="J378" t="str">
        <f>[5]trip_summary_region!J378</f>
        <v>2037/38</v>
      </c>
    </row>
    <row r="379" spans="1:10" x14ac:dyDescent="0.2">
      <c r="A379" t="str">
        <f>[5]trip_summary_region!A379</f>
        <v>05 GISBORNE</v>
      </c>
      <c r="B379">
        <f>[5]trip_summary_region!B379</f>
        <v>8</v>
      </c>
      <c r="C379">
        <f>[5]trip_summary_region!C379</f>
        <v>2043</v>
      </c>
      <c r="D379">
        <f>[5]trip_summary_region!D379</f>
        <v>1</v>
      </c>
      <c r="E379">
        <f>[5]trip_summary_region!E379</f>
        <v>2</v>
      </c>
      <c r="F379">
        <f>[5]trip_summary_region!F379</f>
        <v>2.0730339E-2</v>
      </c>
      <c r="G379">
        <f>[5]trip_summary_region!G379</f>
        <v>0</v>
      </c>
      <c r="H379">
        <f>[5]trip_summary_region!H379</f>
        <v>8.6376412000000007E-3</v>
      </c>
      <c r="I379" t="str">
        <f>[5]trip_summary_region!I379</f>
        <v>Local Ferry</v>
      </c>
      <c r="J379" t="str">
        <f>[5]trip_summary_region!J379</f>
        <v>2042/43</v>
      </c>
    </row>
    <row r="380" spans="1:10" x14ac:dyDescent="0.2">
      <c r="A380" t="str">
        <f>[5]trip_summary_region!A380</f>
        <v>05 GISBORNE</v>
      </c>
      <c r="B380">
        <f>[5]trip_summary_region!B380</f>
        <v>9</v>
      </c>
      <c r="C380">
        <f>[5]trip_summary_region!C380</f>
        <v>2013</v>
      </c>
      <c r="D380">
        <f>[5]trip_summary_region!D380</f>
        <v>1</v>
      </c>
      <c r="E380">
        <f>[5]trip_summary_region!E380</f>
        <v>2</v>
      </c>
      <c r="F380">
        <f>[5]trip_summary_region!F380</f>
        <v>3.13358953E-2</v>
      </c>
      <c r="G380">
        <f>[5]trip_summary_region!G380</f>
        <v>0</v>
      </c>
      <c r="H380">
        <f>[5]trip_summary_region!H380</f>
        <v>5.2226492000000003E-3</v>
      </c>
      <c r="I380" t="str">
        <f>[5]trip_summary_region!I380</f>
        <v>Other Household Travel</v>
      </c>
      <c r="J380" t="str">
        <f>[5]trip_summary_region!J380</f>
        <v>2012/13</v>
      </c>
    </row>
    <row r="381" spans="1:10" x14ac:dyDescent="0.2">
      <c r="A381" t="str">
        <f>[5]trip_summary_region!A381</f>
        <v>05 GISBORNE</v>
      </c>
      <c r="B381">
        <f>[5]trip_summary_region!B381</f>
        <v>9</v>
      </c>
      <c r="C381">
        <f>[5]trip_summary_region!C381</f>
        <v>2018</v>
      </c>
      <c r="D381">
        <f>[5]trip_summary_region!D381</f>
        <v>1</v>
      </c>
      <c r="E381">
        <f>[5]trip_summary_region!E381</f>
        <v>2</v>
      </c>
      <c r="F381">
        <f>[5]trip_summary_region!F381</f>
        <v>2.6354931099999999E-2</v>
      </c>
      <c r="G381">
        <f>[5]trip_summary_region!G381</f>
        <v>0</v>
      </c>
      <c r="H381">
        <f>[5]trip_summary_region!H381</f>
        <v>4.3924884999999997E-3</v>
      </c>
      <c r="I381" t="str">
        <f>[5]trip_summary_region!I381</f>
        <v>Other Household Travel</v>
      </c>
      <c r="J381" t="str">
        <f>[5]trip_summary_region!J381</f>
        <v>2017/18</v>
      </c>
    </row>
    <row r="382" spans="1:10" x14ac:dyDescent="0.2">
      <c r="A382" t="str">
        <f>[5]trip_summary_region!A382</f>
        <v>05 GISBORNE</v>
      </c>
      <c r="B382">
        <f>[5]trip_summary_region!B382</f>
        <v>9</v>
      </c>
      <c r="C382">
        <f>[5]trip_summary_region!C382</f>
        <v>2023</v>
      </c>
      <c r="D382">
        <f>[5]trip_summary_region!D382</f>
        <v>1</v>
      </c>
      <c r="E382">
        <f>[5]trip_summary_region!E382</f>
        <v>2</v>
      </c>
      <c r="F382">
        <f>[5]trip_summary_region!F382</f>
        <v>1.9835706299999999E-2</v>
      </c>
      <c r="G382">
        <f>[5]trip_summary_region!G382</f>
        <v>0</v>
      </c>
      <c r="H382">
        <f>[5]trip_summary_region!H382</f>
        <v>3.3059511000000001E-3</v>
      </c>
      <c r="I382" t="str">
        <f>[5]trip_summary_region!I382</f>
        <v>Other Household Travel</v>
      </c>
      <c r="J382" t="str">
        <f>[5]trip_summary_region!J382</f>
        <v>2022/23</v>
      </c>
    </row>
    <row r="383" spans="1:10" x14ac:dyDescent="0.2">
      <c r="A383" t="str">
        <f>[5]trip_summary_region!A383</f>
        <v>05 GISBORNE</v>
      </c>
      <c r="B383">
        <f>[5]trip_summary_region!B383</f>
        <v>9</v>
      </c>
      <c r="C383">
        <f>[5]trip_summary_region!C383</f>
        <v>2028</v>
      </c>
      <c r="D383">
        <f>[5]trip_summary_region!D383</f>
        <v>1</v>
      </c>
      <c r="E383">
        <f>[5]trip_summary_region!E383</f>
        <v>2</v>
      </c>
      <c r="F383">
        <f>[5]trip_summary_region!F383</f>
        <v>1.79814225E-2</v>
      </c>
      <c r="G383">
        <f>[5]trip_summary_region!G383</f>
        <v>0</v>
      </c>
      <c r="H383">
        <f>[5]trip_summary_region!H383</f>
        <v>2.9969036999999998E-3</v>
      </c>
      <c r="I383" t="str">
        <f>[5]trip_summary_region!I383</f>
        <v>Other Household Travel</v>
      </c>
      <c r="J383" t="str">
        <f>[5]trip_summary_region!J383</f>
        <v>2027/28</v>
      </c>
    </row>
    <row r="384" spans="1:10" x14ac:dyDescent="0.2">
      <c r="A384" t="str">
        <f>[5]trip_summary_region!A384</f>
        <v>05 GISBORNE</v>
      </c>
      <c r="B384">
        <f>[5]trip_summary_region!B384</f>
        <v>9</v>
      </c>
      <c r="C384">
        <f>[5]trip_summary_region!C384</f>
        <v>2033</v>
      </c>
      <c r="D384">
        <f>[5]trip_summary_region!D384</f>
        <v>1</v>
      </c>
      <c r="E384">
        <f>[5]trip_summary_region!E384</f>
        <v>2</v>
      </c>
      <c r="F384">
        <f>[5]trip_summary_region!F384</f>
        <v>1.53208119E-2</v>
      </c>
      <c r="G384">
        <f>[5]trip_summary_region!G384</f>
        <v>0</v>
      </c>
      <c r="H384">
        <f>[5]trip_summary_region!H384</f>
        <v>2.5534686999999999E-3</v>
      </c>
      <c r="I384" t="str">
        <f>[5]trip_summary_region!I384</f>
        <v>Other Household Travel</v>
      </c>
      <c r="J384" t="str">
        <f>[5]trip_summary_region!J384</f>
        <v>2032/33</v>
      </c>
    </row>
    <row r="385" spans="1:10" x14ac:dyDescent="0.2">
      <c r="A385" t="str">
        <f>[5]trip_summary_region!A385</f>
        <v>05 GISBORNE</v>
      </c>
      <c r="B385">
        <f>[5]trip_summary_region!B385</f>
        <v>9</v>
      </c>
      <c r="C385">
        <f>[5]trip_summary_region!C385</f>
        <v>2038</v>
      </c>
      <c r="D385">
        <f>[5]trip_summary_region!D385</f>
        <v>1</v>
      </c>
      <c r="E385">
        <f>[5]trip_summary_region!E385</f>
        <v>2</v>
      </c>
      <c r="F385">
        <f>[5]trip_summary_region!F385</f>
        <v>1.16094002E-2</v>
      </c>
      <c r="G385">
        <f>[5]trip_summary_region!G385</f>
        <v>0</v>
      </c>
      <c r="H385">
        <f>[5]trip_summary_region!H385</f>
        <v>1.9349E-3</v>
      </c>
      <c r="I385" t="str">
        <f>[5]trip_summary_region!I385</f>
        <v>Other Household Travel</v>
      </c>
      <c r="J385" t="str">
        <f>[5]trip_summary_region!J385</f>
        <v>2037/38</v>
      </c>
    </row>
    <row r="386" spans="1:10" x14ac:dyDescent="0.2">
      <c r="A386" t="str">
        <f>[5]trip_summary_region!A386</f>
        <v>05 GISBORNE</v>
      </c>
      <c r="B386">
        <f>[5]trip_summary_region!B386</f>
        <v>9</v>
      </c>
      <c r="C386">
        <f>[5]trip_summary_region!C386</f>
        <v>2043</v>
      </c>
      <c r="D386">
        <f>[5]trip_summary_region!D386</f>
        <v>1</v>
      </c>
      <c r="E386">
        <f>[5]trip_summary_region!E386</f>
        <v>2</v>
      </c>
      <c r="F386">
        <f>[5]trip_summary_region!F386</f>
        <v>8.4668802000000005E-3</v>
      </c>
      <c r="G386">
        <f>[5]trip_summary_region!G386</f>
        <v>0</v>
      </c>
      <c r="H386">
        <f>[5]trip_summary_region!H386</f>
        <v>1.4111467000000001E-3</v>
      </c>
      <c r="I386" t="str">
        <f>[5]trip_summary_region!I386</f>
        <v>Other Household Travel</v>
      </c>
      <c r="J386" t="str">
        <f>[5]trip_summary_region!J386</f>
        <v>2042/43</v>
      </c>
    </row>
    <row r="387" spans="1:10" x14ac:dyDescent="0.2">
      <c r="A387" t="str">
        <f>[5]trip_summary_region!A387</f>
        <v>05 GISBORNE</v>
      </c>
      <c r="B387">
        <f>[5]trip_summary_region!B387</f>
        <v>10</v>
      </c>
      <c r="C387">
        <f>[5]trip_summary_region!C387</f>
        <v>2013</v>
      </c>
      <c r="D387">
        <f>[5]trip_summary_region!D387</f>
        <v>12</v>
      </c>
      <c r="E387">
        <f>[5]trip_summary_region!E387</f>
        <v>20</v>
      </c>
      <c r="F387">
        <f>[5]trip_summary_region!F387</f>
        <v>0.31271654580000002</v>
      </c>
      <c r="G387">
        <f>[5]trip_summary_region!G387</f>
        <v>23.012948782999999</v>
      </c>
      <c r="H387">
        <f>[5]trip_summary_region!H387</f>
        <v>0.66485160600000004</v>
      </c>
      <c r="I387" t="str">
        <f>[5]trip_summary_region!I387</f>
        <v>Air/Non-Local PT</v>
      </c>
      <c r="J387" t="str">
        <f>[5]trip_summary_region!J387</f>
        <v>2012/13</v>
      </c>
    </row>
    <row r="388" spans="1:10" x14ac:dyDescent="0.2">
      <c r="A388" t="str">
        <f>[5]trip_summary_region!A388</f>
        <v>05 GISBORNE</v>
      </c>
      <c r="B388">
        <f>[5]trip_summary_region!B388</f>
        <v>10</v>
      </c>
      <c r="C388">
        <f>[5]trip_summary_region!C388</f>
        <v>2018</v>
      </c>
      <c r="D388">
        <f>[5]trip_summary_region!D388</f>
        <v>12</v>
      </c>
      <c r="E388">
        <f>[5]trip_summary_region!E388</f>
        <v>20</v>
      </c>
      <c r="F388">
        <f>[5]trip_summary_region!F388</f>
        <v>0.30620107489999998</v>
      </c>
      <c r="G388">
        <f>[5]trip_summary_region!G388</f>
        <v>22.178930756</v>
      </c>
      <c r="H388">
        <f>[5]trip_summary_region!H388</f>
        <v>0.63981926659999999</v>
      </c>
      <c r="I388" t="str">
        <f>[5]trip_summary_region!I388</f>
        <v>Air/Non-Local PT</v>
      </c>
      <c r="J388" t="str">
        <f>[5]trip_summary_region!J388</f>
        <v>2017/18</v>
      </c>
    </row>
    <row r="389" spans="1:10" x14ac:dyDescent="0.2">
      <c r="A389" t="str">
        <f>[5]trip_summary_region!A389</f>
        <v>05 GISBORNE</v>
      </c>
      <c r="B389">
        <f>[5]trip_summary_region!B389</f>
        <v>10</v>
      </c>
      <c r="C389">
        <f>[5]trip_summary_region!C389</f>
        <v>2023</v>
      </c>
      <c r="D389">
        <f>[5]trip_summary_region!D389</f>
        <v>12</v>
      </c>
      <c r="E389">
        <f>[5]trip_summary_region!E389</f>
        <v>20</v>
      </c>
      <c r="F389">
        <f>[5]trip_summary_region!F389</f>
        <v>0.30090128259999999</v>
      </c>
      <c r="G389">
        <f>[5]trip_summary_region!G389</f>
        <v>21.585924137999999</v>
      </c>
      <c r="H389">
        <f>[5]trip_summary_region!H389</f>
        <v>0.62241018199999998</v>
      </c>
      <c r="I389" t="str">
        <f>[5]trip_summary_region!I389</f>
        <v>Air/Non-Local PT</v>
      </c>
      <c r="J389" t="str">
        <f>[5]trip_summary_region!J389</f>
        <v>2022/23</v>
      </c>
    </row>
    <row r="390" spans="1:10" x14ac:dyDescent="0.2">
      <c r="A390" t="str">
        <f>[5]trip_summary_region!A390</f>
        <v>05 GISBORNE</v>
      </c>
      <c r="B390">
        <f>[5]trip_summary_region!B390</f>
        <v>10</v>
      </c>
      <c r="C390">
        <f>[5]trip_summary_region!C390</f>
        <v>2028</v>
      </c>
      <c r="D390">
        <f>[5]trip_summary_region!D390</f>
        <v>12</v>
      </c>
      <c r="E390">
        <f>[5]trip_summary_region!E390</f>
        <v>20</v>
      </c>
      <c r="F390">
        <f>[5]trip_summary_region!F390</f>
        <v>0.30630954449999998</v>
      </c>
      <c r="G390">
        <f>[5]trip_summary_region!G390</f>
        <v>20.972266740999999</v>
      </c>
      <c r="H390">
        <f>[5]trip_summary_region!H390</f>
        <v>0.622057003</v>
      </c>
      <c r="I390" t="str">
        <f>[5]trip_summary_region!I390</f>
        <v>Air/Non-Local PT</v>
      </c>
      <c r="J390" t="str">
        <f>[5]trip_summary_region!J390</f>
        <v>2027/28</v>
      </c>
    </row>
    <row r="391" spans="1:10" x14ac:dyDescent="0.2">
      <c r="A391" t="str">
        <f>[5]trip_summary_region!A391</f>
        <v>05 GISBORNE</v>
      </c>
      <c r="B391">
        <f>[5]trip_summary_region!B391</f>
        <v>10</v>
      </c>
      <c r="C391">
        <f>[5]trip_summary_region!C391</f>
        <v>2033</v>
      </c>
      <c r="D391">
        <f>[5]trip_summary_region!D391</f>
        <v>12</v>
      </c>
      <c r="E391">
        <f>[5]trip_summary_region!E391</f>
        <v>20</v>
      </c>
      <c r="F391">
        <f>[5]trip_summary_region!F391</f>
        <v>0.31009061999999998</v>
      </c>
      <c r="G391">
        <f>[5]trip_summary_region!G391</f>
        <v>20.323432145999998</v>
      </c>
      <c r="H391">
        <f>[5]trip_summary_region!H391</f>
        <v>0.61958363770000002</v>
      </c>
      <c r="I391" t="str">
        <f>[5]trip_summary_region!I391</f>
        <v>Air/Non-Local PT</v>
      </c>
      <c r="J391" t="str">
        <f>[5]trip_summary_region!J391</f>
        <v>2032/33</v>
      </c>
    </row>
    <row r="392" spans="1:10" x14ac:dyDescent="0.2">
      <c r="A392" t="str">
        <f>[5]trip_summary_region!A392</f>
        <v>05 GISBORNE</v>
      </c>
      <c r="B392">
        <f>[5]trip_summary_region!B392</f>
        <v>10</v>
      </c>
      <c r="C392">
        <f>[5]trip_summary_region!C392</f>
        <v>2038</v>
      </c>
      <c r="D392">
        <f>[5]trip_summary_region!D392</f>
        <v>12</v>
      </c>
      <c r="E392">
        <f>[5]trip_summary_region!E392</f>
        <v>20</v>
      </c>
      <c r="F392">
        <f>[5]trip_summary_region!F392</f>
        <v>0.30705500419999998</v>
      </c>
      <c r="G392">
        <f>[5]trip_summary_region!G392</f>
        <v>19.870180351999998</v>
      </c>
      <c r="H392">
        <f>[5]trip_summary_region!H392</f>
        <v>0.60480062339999996</v>
      </c>
      <c r="I392" t="str">
        <f>[5]trip_summary_region!I392</f>
        <v>Air/Non-Local PT</v>
      </c>
      <c r="J392" t="str">
        <f>[5]trip_summary_region!J392</f>
        <v>2037/38</v>
      </c>
    </row>
    <row r="393" spans="1:10" x14ac:dyDescent="0.2">
      <c r="A393" t="str">
        <f>[5]trip_summary_region!A393</f>
        <v>05 GISBORNE</v>
      </c>
      <c r="B393">
        <f>[5]trip_summary_region!B393</f>
        <v>10</v>
      </c>
      <c r="C393">
        <f>[5]trip_summary_region!C393</f>
        <v>2043</v>
      </c>
      <c r="D393">
        <f>[5]trip_summary_region!D393</f>
        <v>12</v>
      </c>
      <c r="E393">
        <f>[5]trip_summary_region!E393</f>
        <v>20</v>
      </c>
      <c r="F393">
        <f>[5]trip_summary_region!F393</f>
        <v>0.3045069138</v>
      </c>
      <c r="G393">
        <f>[5]trip_summary_region!G393</f>
        <v>19.472537738</v>
      </c>
      <c r="H393">
        <f>[5]trip_summary_region!H393</f>
        <v>0.59093384640000002</v>
      </c>
      <c r="I393" t="str">
        <f>[5]trip_summary_region!I393</f>
        <v>Air/Non-Local PT</v>
      </c>
      <c r="J393" t="str">
        <f>[5]trip_summary_region!J393</f>
        <v>2042/43</v>
      </c>
    </row>
    <row r="394" spans="1:10" x14ac:dyDescent="0.2">
      <c r="A394" t="str">
        <f>[5]trip_summary_region!A394</f>
        <v>05 GISBORNE</v>
      </c>
      <c r="B394">
        <f>[5]trip_summary_region!B394</f>
        <v>11</v>
      </c>
      <c r="C394">
        <f>[5]trip_summary_region!C394</f>
        <v>2013</v>
      </c>
      <c r="D394">
        <f>[5]trip_summary_region!D394</f>
        <v>8</v>
      </c>
      <c r="E394">
        <f>[5]trip_summary_region!E394</f>
        <v>22</v>
      </c>
      <c r="F394">
        <f>[5]trip_summary_region!F394</f>
        <v>0.24434687620000001</v>
      </c>
      <c r="G394">
        <f>[5]trip_summary_region!G394</f>
        <v>9.0032605469</v>
      </c>
      <c r="H394">
        <f>[5]trip_summary_region!H394</f>
        <v>0.1991820503</v>
      </c>
      <c r="I394" t="str">
        <f>[5]trip_summary_region!I394</f>
        <v>Non-Household Travel</v>
      </c>
      <c r="J394" t="str">
        <f>[5]trip_summary_region!J394</f>
        <v>2012/13</v>
      </c>
    </row>
    <row r="395" spans="1:10" x14ac:dyDescent="0.2">
      <c r="A395" t="str">
        <f>[5]trip_summary_region!A395</f>
        <v>05 GISBORNE</v>
      </c>
      <c r="B395">
        <f>[5]trip_summary_region!B395</f>
        <v>11</v>
      </c>
      <c r="C395">
        <f>[5]trip_summary_region!C395</f>
        <v>2018</v>
      </c>
      <c r="D395">
        <f>[5]trip_summary_region!D395</f>
        <v>8</v>
      </c>
      <c r="E395">
        <f>[5]trip_summary_region!E395</f>
        <v>22</v>
      </c>
      <c r="F395">
        <f>[5]trip_summary_region!F395</f>
        <v>0.2664411445</v>
      </c>
      <c r="G395">
        <f>[5]trip_summary_region!G395</f>
        <v>9.6809029583000008</v>
      </c>
      <c r="H395">
        <f>[5]trip_summary_region!H395</f>
        <v>0.21352860730000001</v>
      </c>
      <c r="I395" t="str">
        <f>[5]trip_summary_region!I395</f>
        <v>Non-Household Travel</v>
      </c>
      <c r="J395" t="str">
        <f>[5]trip_summary_region!J395</f>
        <v>2017/18</v>
      </c>
    </row>
    <row r="396" spans="1:10" x14ac:dyDescent="0.2">
      <c r="A396" t="str">
        <f>[5]trip_summary_region!A396</f>
        <v>05 GISBORNE</v>
      </c>
      <c r="B396">
        <f>[5]trip_summary_region!B396</f>
        <v>11</v>
      </c>
      <c r="C396">
        <f>[5]trip_summary_region!C396</f>
        <v>2023</v>
      </c>
      <c r="D396">
        <f>[5]trip_summary_region!D396</f>
        <v>8</v>
      </c>
      <c r="E396">
        <f>[5]trip_summary_region!E396</f>
        <v>22</v>
      </c>
      <c r="F396">
        <f>[5]trip_summary_region!F396</f>
        <v>0.27335797610000001</v>
      </c>
      <c r="G396">
        <f>[5]trip_summary_region!G396</f>
        <v>9.7631577048999993</v>
      </c>
      <c r="H396">
        <f>[5]trip_summary_region!H396</f>
        <v>0.21500586269999999</v>
      </c>
      <c r="I396" t="str">
        <f>[5]trip_summary_region!I396</f>
        <v>Non-Household Travel</v>
      </c>
      <c r="J396" t="str">
        <f>[5]trip_summary_region!J396</f>
        <v>2022/23</v>
      </c>
    </row>
    <row r="397" spans="1:10" x14ac:dyDescent="0.2">
      <c r="A397" t="str">
        <f>[5]trip_summary_region!A397</f>
        <v>05 GISBORNE</v>
      </c>
      <c r="B397">
        <f>[5]trip_summary_region!B397</f>
        <v>11</v>
      </c>
      <c r="C397">
        <f>[5]trip_summary_region!C397</f>
        <v>2028</v>
      </c>
      <c r="D397">
        <f>[5]trip_summary_region!D397</f>
        <v>8</v>
      </c>
      <c r="E397">
        <f>[5]trip_summary_region!E397</f>
        <v>22</v>
      </c>
      <c r="F397">
        <f>[5]trip_summary_region!F397</f>
        <v>0.27181739170000002</v>
      </c>
      <c r="G397">
        <f>[5]trip_summary_region!G397</f>
        <v>9.4742853167999996</v>
      </c>
      <c r="H397">
        <f>[5]trip_summary_region!H397</f>
        <v>0.20926992389999999</v>
      </c>
      <c r="I397" t="str">
        <f>[5]trip_summary_region!I397</f>
        <v>Non-Household Travel</v>
      </c>
      <c r="J397" t="str">
        <f>[5]trip_summary_region!J397</f>
        <v>2027/28</v>
      </c>
    </row>
    <row r="398" spans="1:10" x14ac:dyDescent="0.2">
      <c r="A398" t="str">
        <f>[5]trip_summary_region!A398</f>
        <v>05 GISBORNE</v>
      </c>
      <c r="B398">
        <f>[5]trip_summary_region!B398</f>
        <v>11</v>
      </c>
      <c r="C398">
        <f>[5]trip_summary_region!C398</f>
        <v>2033</v>
      </c>
      <c r="D398">
        <f>[5]trip_summary_region!D398</f>
        <v>8</v>
      </c>
      <c r="E398">
        <f>[5]trip_summary_region!E398</f>
        <v>22</v>
      </c>
      <c r="F398">
        <f>[5]trip_summary_region!F398</f>
        <v>0.26704385269999997</v>
      </c>
      <c r="G398">
        <f>[5]trip_summary_region!G398</f>
        <v>8.7712928522000002</v>
      </c>
      <c r="H398">
        <f>[5]trip_summary_region!H398</f>
        <v>0.1972372691</v>
      </c>
      <c r="I398" t="str">
        <f>[5]trip_summary_region!I398</f>
        <v>Non-Household Travel</v>
      </c>
      <c r="J398" t="str">
        <f>[5]trip_summary_region!J398</f>
        <v>2032/33</v>
      </c>
    </row>
    <row r="399" spans="1:10" x14ac:dyDescent="0.2">
      <c r="A399" t="str">
        <f>[5]trip_summary_region!A399</f>
        <v>05 GISBORNE</v>
      </c>
      <c r="B399">
        <f>[5]trip_summary_region!B399</f>
        <v>11</v>
      </c>
      <c r="C399">
        <f>[5]trip_summary_region!C399</f>
        <v>2038</v>
      </c>
      <c r="D399">
        <f>[5]trip_summary_region!D399</f>
        <v>8</v>
      </c>
      <c r="E399">
        <f>[5]trip_summary_region!E399</f>
        <v>22</v>
      </c>
      <c r="F399">
        <f>[5]trip_summary_region!F399</f>
        <v>0.26440604350000002</v>
      </c>
      <c r="G399">
        <f>[5]trip_summary_region!G399</f>
        <v>7.933385425</v>
      </c>
      <c r="H399">
        <f>[5]trip_summary_region!H399</f>
        <v>0.18431047019999999</v>
      </c>
      <c r="I399" t="str">
        <f>[5]trip_summary_region!I399</f>
        <v>Non-Household Travel</v>
      </c>
      <c r="J399" t="str">
        <f>[5]trip_summary_region!J399</f>
        <v>2037/38</v>
      </c>
    </row>
    <row r="400" spans="1:10" x14ac:dyDescent="0.2">
      <c r="A400" t="str">
        <f>[5]trip_summary_region!A400</f>
        <v>05 GISBORNE</v>
      </c>
      <c r="B400">
        <f>[5]trip_summary_region!B400</f>
        <v>11</v>
      </c>
      <c r="C400">
        <f>[5]trip_summary_region!C400</f>
        <v>2043</v>
      </c>
      <c r="D400">
        <f>[5]trip_summary_region!D400</f>
        <v>8</v>
      </c>
      <c r="E400">
        <f>[5]trip_summary_region!E400</f>
        <v>22</v>
      </c>
      <c r="F400">
        <f>[5]trip_summary_region!F400</f>
        <v>0.26282842270000001</v>
      </c>
      <c r="G400">
        <f>[5]trip_summary_region!G400</f>
        <v>7.1232277789999996</v>
      </c>
      <c r="H400">
        <f>[5]trip_summary_region!H400</f>
        <v>0.17202692929999999</v>
      </c>
      <c r="I400" t="str">
        <f>[5]trip_summary_region!I400</f>
        <v>Non-Household Travel</v>
      </c>
      <c r="J400" t="str">
        <f>[5]trip_summary_region!J400</f>
        <v>2042/43</v>
      </c>
    </row>
    <row r="401" spans="1:10" x14ac:dyDescent="0.2">
      <c r="A401" t="str">
        <f>[5]trip_summary_region!A401</f>
        <v>06 HAWKE`S BAY</v>
      </c>
      <c r="B401">
        <f>[5]trip_summary_region!B401</f>
        <v>0</v>
      </c>
      <c r="C401">
        <f>[5]trip_summary_region!C401</f>
        <v>2013</v>
      </c>
      <c r="D401">
        <f>[5]trip_summary_region!D401</f>
        <v>221</v>
      </c>
      <c r="E401">
        <f>[5]trip_summary_region!E401</f>
        <v>754</v>
      </c>
      <c r="F401">
        <f>[5]trip_summary_region!F401</f>
        <v>26.538300281000001</v>
      </c>
      <c r="G401">
        <f>[5]trip_summary_region!G401</f>
        <v>22.691613215</v>
      </c>
      <c r="H401">
        <f>[5]trip_summary_region!H401</f>
        <v>5.9462513095</v>
      </c>
      <c r="I401" t="str">
        <f>[5]trip_summary_region!I401</f>
        <v>Pedestrian</v>
      </c>
      <c r="J401" t="str">
        <f>[5]trip_summary_region!J401</f>
        <v>2012/13</v>
      </c>
    </row>
    <row r="402" spans="1:10" x14ac:dyDescent="0.2">
      <c r="A402" t="str">
        <f>[5]trip_summary_region!A402</f>
        <v>06 HAWKE`S BAY</v>
      </c>
      <c r="B402">
        <f>[5]trip_summary_region!B402</f>
        <v>0</v>
      </c>
      <c r="C402">
        <f>[5]trip_summary_region!C402</f>
        <v>2018</v>
      </c>
      <c r="D402">
        <f>[5]trip_summary_region!D402</f>
        <v>221</v>
      </c>
      <c r="E402">
        <f>[5]trip_summary_region!E402</f>
        <v>754</v>
      </c>
      <c r="F402">
        <f>[5]trip_summary_region!F402</f>
        <v>27.944817379</v>
      </c>
      <c r="G402">
        <f>[5]trip_summary_region!G402</f>
        <v>23.630409191999998</v>
      </c>
      <c r="H402">
        <f>[5]trip_summary_region!H402</f>
        <v>6.2178853297999996</v>
      </c>
      <c r="I402" t="str">
        <f>[5]trip_summary_region!I402</f>
        <v>Pedestrian</v>
      </c>
      <c r="J402" t="str">
        <f>[5]trip_summary_region!J402</f>
        <v>2017/18</v>
      </c>
    </row>
    <row r="403" spans="1:10" x14ac:dyDescent="0.2">
      <c r="A403" t="str">
        <f>[5]trip_summary_region!A403</f>
        <v>06 HAWKE`S BAY</v>
      </c>
      <c r="B403">
        <f>[5]trip_summary_region!B403</f>
        <v>0</v>
      </c>
      <c r="C403">
        <f>[5]trip_summary_region!C403</f>
        <v>2023</v>
      </c>
      <c r="D403">
        <f>[5]trip_summary_region!D403</f>
        <v>221</v>
      </c>
      <c r="E403">
        <f>[5]trip_summary_region!E403</f>
        <v>754</v>
      </c>
      <c r="F403">
        <f>[5]trip_summary_region!F403</f>
        <v>29.14750742</v>
      </c>
      <c r="G403">
        <f>[5]trip_summary_region!G403</f>
        <v>24.358757362999999</v>
      </c>
      <c r="H403">
        <f>[5]trip_summary_region!H403</f>
        <v>6.4584054091</v>
      </c>
      <c r="I403" t="str">
        <f>[5]trip_summary_region!I403</f>
        <v>Pedestrian</v>
      </c>
      <c r="J403" t="str">
        <f>[5]trip_summary_region!J403</f>
        <v>2022/23</v>
      </c>
    </row>
    <row r="404" spans="1:10" x14ac:dyDescent="0.2">
      <c r="A404" t="str">
        <f>[5]trip_summary_region!A404</f>
        <v>06 HAWKE`S BAY</v>
      </c>
      <c r="B404">
        <f>[5]trip_summary_region!B404</f>
        <v>0</v>
      </c>
      <c r="C404">
        <f>[5]trip_summary_region!C404</f>
        <v>2028</v>
      </c>
      <c r="D404">
        <f>[5]trip_summary_region!D404</f>
        <v>221</v>
      </c>
      <c r="E404">
        <f>[5]trip_summary_region!E404</f>
        <v>754</v>
      </c>
      <c r="F404">
        <f>[5]trip_summary_region!F404</f>
        <v>29.641081930999999</v>
      </c>
      <c r="G404">
        <f>[5]trip_summary_region!G404</f>
        <v>24.726975710000001</v>
      </c>
      <c r="H404">
        <f>[5]trip_summary_region!H404</f>
        <v>6.5336336425999999</v>
      </c>
      <c r="I404" t="str">
        <f>[5]trip_summary_region!I404</f>
        <v>Pedestrian</v>
      </c>
      <c r="J404" t="str">
        <f>[5]trip_summary_region!J404</f>
        <v>2027/28</v>
      </c>
    </row>
    <row r="405" spans="1:10" x14ac:dyDescent="0.2">
      <c r="A405" t="str">
        <f>[5]trip_summary_region!A405</f>
        <v>06 HAWKE`S BAY</v>
      </c>
      <c r="B405">
        <f>[5]trip_summary_region!B405</f>
        <v>0</v>
      </c>
      <c r="C405">
        <f>[5]trip_summary_region!C405</f>
        <v>2033</v>
      </c>
      <c r="D405">
        <f>[5]trip_summary_region!D405</f>
        <v>221</v>
      </c>
      <c r="E405">
        <f>[5]trip_summary_region!E405</f>
        <v>754</v>
      </c>
      <c r="F405">
        <f>[5]trip_summary_region!F405</f>
        <v>29.595070895999999</v>
      </c>
      <c r="G405">
        <f>[5]trip_summary_region!G405</f>
        <v>24.863531463000001</v>
      </c>
      <c r="H405">
        <f>[5]trip_summary_region!H405</f>
        <v>6.5287993063999998</v>
      </c>
      <c r="I405" t="str">
        <f>[5]trip_summary_region!I405</f>
        <v>Pedestrian</v>
      </c>
      <c r="J405" t="str">
        <f>[5]trip_summary_region!J405</f>
        <v>2032/33</v>
      </c>
    </row>
    <row r="406" spans="1:10" x14ac:dyDescent="0.2">
      <c r="A406" t="str">
        <f>[5]trip_summary_region!A406</f>
        <v>06 HAWKE`S BAY</v>
      </c>
      <c r="B406">
        <f>[5]trip_summary_region!B406</f>
        <v>0</v>
      </c>
      <c r="C406">
        <f>[5]trip_summary_region!C406</f>
        <v>2038</v>
      </c>
      <c r="D406">
        <f>[5]trip_summary_region!D406</f>
        <v>221</v>
      </c>
      <c r="E406">
        <f>[5]trip_summary_region!E406</f>
        <v>754</v>
      </c>
      <c r="F406">
        <f>[5]trip_summary_region!F406</f>
        <v>29.539599793000001</v>
      </c>
      <c r="G406">
        <f>[5]trip_summary_region!G406</f>
        <v>25.193683757999999</v>
      </c>
      <c r="H406">
        <f>[5]trip_summary_region!H406</f>
        <v>6.5614534492000001</v>
      </c>
      <c r="I406" t="str">
        <f>[5]trip_summary_region!I406</f>
        <v>Pedestrian</v>
      </c>
      <c r="J406" t="str">
        <f>[5]trip_summary_region!J406</f>
        <v>2037/38</v>
      </c>
    </row>
    <row r="407" spans="1:10" x14ac:dyDescent="0.2">
      <c r="A407" t="str">
        <f>[5]trip_summary_region!A407</f>
        <v>06 HAWKE`S BAY</v>
      </c>
      <c r="B407">
        <f>[5]trip_summary_region!B407</f>
        <v>0</v>
      </c>
      <c r="C407">
        <f>[5]trip_summary_region!C407</f>
        <v>2043</v>
      </c>
      <c r="D407">
        <f>[5]trip_summary_region!D407</f>
        <v>221</v>
      </c>
      <c r="E407">
        <f>[5]trip_summary_region!E407</f>
        <v>754</v>
      </c>
      <c r="F407">
        <f>[5]trip_summary_region!F407</f>
        <v>29.331338688999999</v>
      </c>
      <c r="G407">
        <f>[5]trip_summary_region!G407</f>
        <v>25.427207582000001</v>
      </c>
      <c r="H407">
        <f>[5]trip_summary_region!H407</f>
        <v>6.5692179990000001</v>
      </c>
      <c r="I407" t="str">
        <f>[5]trip_summary_region!I407</f>
        <v>Pedestrian</v>
      </c>
      <c r="J407" t="str">
        <f>[5]trip_summary_region!J407</f>
        <v>2042/43</v>
      </c>
    </row>
    <row r="408" spans="1:10" x14ac:dyDescent="0.2">
      <c r="A408" t="str">
        <f>[5]trip_summary_region!A408</f>
        <v>06 HAWKE`S BAY</v>
      </c>
      <c r="B408">
        <f>[5]trip_summary_region!B408</f>
        <v>1</v>
      </c>
      <c r="C408">
        <f>[5]trip_summary_region!C408</f>
        <v>2013</v>
      </c>
      <c r="D408">
        <f>[5]trip_summary_region!D408</f>
        <v>30</v>
      </c>
      <c r="E408">
        <f>[5]trip_summary_region!E408</f>
        <v>93</v>
      </c>
      <c r="F408">
        <f>[5]trip_summary_region!F408</f>
        <v>3.1819840940000002</v>
      </c>
      <c r="G408">
        <f>[5]trip_summary_region!G408</f>
        <v>9.5482363540000001</v>
      </c>
      <c r="H408">
        <f>[5]trip_summary_region!H408</f>
        <v>0.88401106659999995</v>
      </c>
      <c r="I408" t="str">
        <f>[5]trip_summary_region!I408</f>
        <v>Cyclist</v>
      </c>
      <c r="J408" t="str">
        <f>[5]trip_summary_region!J408</f>
        <v>2012/13</v>
      </c>
    </row>
    <row r="409" spans="1:10" x14ac:dyDescent="0.2">
      <c r="A409" t="str">
        <f>[5]trip_summary_region!A409</f>
        <v>06 HAWKE`S BAY</v>
      </c>
      <c r="B409">
        <f>[5]trip_summary_region!B409</f>
        <v>1</v>
      </c>
      <c r="C409">
        <f>[5]trip_summary_region!C409</f>
        <v>2018</v>
      </c>
      <c r="D409">
        <f>[5]trip_summary_region!D409</f>
        <v>30</v>
      </c>
      <c r="E409">
        <f>[5]trip_summary_region!E409</f>
        <v>93</v>
      </c>
      <c r="F409">
        <f>[5]trip_summary_region!F409</f>
        <v>3.3096529013999998</v>
      </c>
      <c r="G409">
        <f>[5]trip_summary_region!G409</f>
        <v>10.217483173</v>
      </c>
      <c r="H409">
        <f>[5]trip_summary_region!H409</f>
        <v>0.94432698719999997</v>
      </c>
      <c r="I409" t="str">
        <f>[5]trip_summary_region!I409</f>
        <v>Cyclist</v>
      </c>
      <c r="J409" t="str">
        <f>[5]trip_summary_region!J409</f>
        <v>2017/18</v>
      </c>
    </row>
    <row r="410" spans="1:10" x14ac:dyDescent="0.2">
      <c r="A410" t="str">
        <f>[5]trip_summary_region!A410</f>
        <v>06 HAWKE`S BAY</v>
      </c>
      <c r="B410">
        <f>[5]trip_summary_region!B410</f>
        <v>1</v>
      </c>
      <c r="C410">
        <f>[5]trip_summary_region!C410</f>
        <v>2023</v>
      </c>
      <c r="D410">
        <f>[5]trip_summary_region!D410</f>
        <v>30</v>
      </c>
      <c r="E410">
        <f>[5]trip_summary_region!E410</f>
        <v>93</v>
      </c>
      <c r="F410">
        <f>[5]trip_summary_region!F410</f>
        <v>3.4552543172000001</v>
      </c>
      <c r="G410">
        <f>[5]trip_summary_region!G410</f>
        <v>10.611232829</v>
      </c>
      <c r="H410">
        <f>[5]trip_summary_region!H410</f>
        <v>0.97699562549999996</v>
      </c>
      <c r="I410" t="str">
        <f>[5]trip_summary_region!I410</f>
        <v>Cyclist</v>
      </c>
      <c r="J410" t="str">
        <f>[5]trip_summary_region!J410</f>
        <v>2022/23</v>
      </c>
    </row>
    <row r="411" spans="1:10" x14ac:dyDescent="0.2">
      <c r="A411" t="str">
        <f>[5]trip_summary_region!A411</f>
        <v>06 HAWKE`S BAY</v>
      </c>
      <c r="B411">
        <f>[5]trip_summary_region!B411</f>
        <v>1</v>
      </c>
      <c r="C411">
        <f>[5]trip_summary_region!C411</f>
        <v>2028</v>
      </c>
      <c r="D411">
        <f>[5]trip_summary_region!D411</f>
        <v>30</v>
      </c>
      <c r="E411">
        <f>[5]trip_summary_region!E411</f>
        <v>93</v>
      </c>
      <c r="F411">
        <f>[5]trip_summary_region!F411</f>
        <v>3.5925666586</v>
      </c>
      <c r="G411">
        <f>[5]trip_summary_region!G411</f>
        <v>11.118484731000001</v>
      </c>
      <c r="H411">
        <f>[5]trip_summary_region!H411</f>
        <v>1.0225636417999999</v>
      </c>
      <c r="I411" t="str">
        <f>[5]trip_summary_region!I411</f>
        <v>Cyclist</v>
      </c>
      <c r="J411" t="str">
        <f>[5]trip_summary_region!J411</f>
        <v>2027/28</v>
      </c>
    </row>
    <row r="412" spans="1:10" x14ac:dyDescent="0.2">
      <c r="A412" t="str">
        <f>[5]trip_summary_region!A412</f>
        <v>06 HAWKE`S BAY</v>
      </c>
      <c r="B412">
        <f>[5]trip_summary_region!B412</f>
        <v>1</v>
      </c>
      <c r="C412">
        <f>[5]trip_summary_region!C412</f>
        <v>2033</v>
      </c>
      <c r="D412">
        <f>[5]trip_summary_region!D412</f>
        <v>30</v>
      </c>
      <c r="E412">
        <f>[5]trip_summary_region!E412</f>
        <v>93</v>
      </c>
      <c r="F412">
        <f>[5]trip_summary_region!F412</f>
        <v>3.6286940792000002</v>
      </c>
      <c r="G412">
        <f>[5]trip_summary_region!G412</f>
        <v>11.596009892</v>
      </c>
      <c r="H412">
        <f>[5]trip_summary_region!H412</f>
        <v>1.0575265337999999</v>
      </c>
      <c r="I412" t="str">
        <f>[5]trip_summary_region!I412</f>
        <v>Cyclist</v>
      </c>
      <c r="J412" t="str">
        <f>[5]trip_summary_region!J412</f>
        <v>2032/33</v>
      </c>
    </row>
    <row r="413" spans="1:10" x14ac:dyDescent="0.2">
      <c r="A413" t="str">
        <f>[5]trip_summary_region!A413</f>
        <v>06 HAWKE`S BAY</v>
      </c>
      <c r="B413">
        <f>[5]trip_summary_region!B413</f>
        <v>1</v>
      </c>
      <c r="C413">
        <f>[5]trip_summary_region!C413</f>
        <v>2038</v>
      </c>
      <c r="D413">
        <f>[5]trip_summary_region!D413</f>
        <v>30</v>
      </c>
      <c r="E413">
        <f>[5]trip_summary_region!E413</f>
        <v>93</v>
      </c>
      <c r="F413">
        <f>[5]trip_summary_region!F413</f>
        <v>3.6653353907000001</v>
      </c>
      <c r="G413">
        <f>[5]trip_summary_region!G413</f>
        <v>11.796850336</v>
      </c>
      <c r="H413">
        <f>[5]trip_summary_region!H413</f>
        <v>1.0757189056000001</v>
      </c>
      <c r="I413" t="str">
        <f>[5]trip_summary_region!I413</f>
        <v>Cyclist</v>
      </c>
      <c r="J413" t="str">
        <f>[5]trip_summary_region!J413</f>
        <v>2037/38</v>
      </c>
    </row>
    <row r="414" spans="1:10" x14ac:dyDescent="0.2">
      <c r="A414" t="str">
        <f>[5]trip_summary_region!A414</f>
        <v>06 HAWKE`S BAY</v>
      </c>
      <c r="B414">
        <f>[5]trip_summary_region!B414</f>
        <v>1</v>
      </c>
      <c r="C414">
        <f>[5]trip_summary_region!C414</f>
        <v>2043</v>
      </c>
      <c r="D414">
        <f>[5]trip_summary_region!D414</f>
        <v>30</v>
      </c>
      <c r="E414">
        <f>[5]trip_summary_region!E414</f>
        <v>93</v>
      </c>
      <c r="F414">
        <f>[5]trip_summary_region!F414</f>
        <v>3.6790783066000001</v>
      </c>
      <c r="G414">
        <f>[5]trip_summary_region!G414</f>
        <v>11.925964628999999</v>
      </c>
      <c r="H414">
        <f>[5]trip_summary_region!H414</f>
        <v>1.0886481402999999</v>
      </c>
      <c r="I414" t="str">
        <f>[5]trip_summary_region!I414</f>
        <v>Cyclist</v>
      </c>
      <c r="J414" t="str">
        <f>[5]trip_summary_region!J414</f>
        <v>2042/43</v>
      </c>
    </row>
    <row r="415" spans="1:10" x14ac:dyDescent="0.2">
      <c r="A415" t="str">
        <f>[5]trip_summary_region!A415</f>
        <v>06 HAWKE`S BAY</v>
      </c>
      <c r="B415">
        <f>[5]trip_summary_region!B415</f>
        <v>2</v>
      </c>
      <c r="C415">
        <f>[5]trip_summary_region!C415</f>
        <v>2013</v>
      </c>
      <c r="D415">
        <f>[5]trip_summary_region!D415</f>
        <v>446</v>
      </c>
      <c r="E415">
        <f>[5]trip_summary_region!E415</f>
        <v>3171</v>
      </c>
      <c r="F415">
        <f>[5]trip_summary_region!F415</f>
        <v>111.16933473</v>
      </c>
      <c r="G415">
        <f>[5]trip_summary_region!G415</f>
        <v>1001.7566771</v>
      </c>
      <c r="H415">
        <f>[5]trip_summary_region!H415</f>
        <v>25.377986313000001</v>
      </c>
      <c r="I415" t="str">
        <f>[5]trip_summary_region!I415</f>
        <v>Light Vehicle Driver</v>
      </c>
      <c r="J415" t="str">
        <f>[5]trip_summary_region!J415</f>
        <v>2012/13</v>
      </c>
    </row>
    <row r="416" spans="1:10" x14ac:dyDescent="0.2">
      <c r="A416" t="str">
        <f>[5]trip_summary_region!A416</f>
        <v>06 HAWKE`S BAY</v>
      </c>
      <c r="B416">
        <f>[5]trip_summary_region!B416</f>
        <v>2</v>
      </c>
      <c r="C416">
        <f>[5]trip_summary_region!C416</f>
        <v>2018</v>
      </c>
      <c r="D416">
        <f>[5]trip_summary_region!D416</f>
        <v>446</v>
      </c>
      <c r="E416">
        <f>[5]trip_summary_region!E416</f>
        <v>3171</v>
      </c>
      <c r="F416">
        <f>[5]trip_summary_region!F416</f>
        <v>119.46686907</v>
      </c>
      <c r="G416">
        <f>[5]trip_summary_region!G416</f>
        <v>1083.6110593999999</v>
      </c>
      <c r="H416">
        <f>[5]trip_summary_region!H416</f>
        <v>27.374666599000001</v>
      </c>
      <c r="I416" t="str">
        <f>[5]trip_summary_region!I416</f>
        <v>Light Vehicle Driver</v>
      </c>
      <c r="J416" t="str">
        <f>[5]trip_summary_region!J416</f>
        <v>2017/18</v>
      </c>
    </row>
    <row r="417" spans="1:10" x14ac:dyDescent="0.2">
      <c r="A417" t="str">
        <f>[5]trip_summary_region!A417</f>
        <v>06 HAWKE`S BAY</v>
      </c>
      <c r="B417">
        <f>[5]trip_summary_region!B417</f>
        <v>2</v>
      </c>
      <c r="C417">
        <f>[5]trip_summary_region!C417</f>
        <v>2023</v>
      </c>
      <c r="D417">
        <f>[5]trip_summary_region!D417</f>
        <v>446</v>
      </c>
      <c r="E417">
        <f>[5]trip_summary_region!E417</f>
        <v>3171</v>
      </c>
      <c r="F417">
        <f>[5]trip_summary_region!F417</f>
        <v>125.71695925</v>
      </c>
      <c r="G417">
        <f>[5]trip_summary_region!G417</f>
        <v>1141.0195093</v>
      </c>
      <c r="H417">
        <f>[5]trip_summary_region!H417</f>
        <v>28.852830545</v>
      </c>
      <c r="I417" t="str">
        <f>[5]trip_summary_region!I417</f>
        <v>Light Vehicle Driver</v>
      </c>
      <c r="J417" t="str">
        <f>[5]trip_summary_region!J417</f>
        <v>2022/23</v>
      </c>
    </row>
    <row r="418" spans="1:10" x14ac:dyDescent="0.2">
      <c r="A418" t="str">
        <f>[5]trip_summary_region!A418</f>
        <v>06 HAWKE`S BAY</v>
      </c>
      <c r="B418">
        <f>[5]trip_summary_region!B418</f>
        <v>2</v>
      </c>
      <c r="C418">
        <f>[5]trip_summary_region!C418</f>
        <v>2028</v>
      </c>
      <c r="D418">
        <f>[5]trip_summary_region!D418</f>
        <v>446</v>
      </c>
      <c r="E418">
        <f>[5]trip_summary_region!E418</f>
        <v>3171</v>
      </c>
      <c r="F418">
        <f>[5]trip_summary_region!F418</f>
        <v>132.58605294</v>
      </c>
      <c r="G418">
        <f>[5]trip_summary_region!G418</f>
        <v>1206.5571324</v>
      </c>
      <c r="H418">
        <f>[5]trip_summary_region!H418</f>
        <v>30.555900576999999</v>
      </c>
      <c r="I418" t="str">
        <f>[5]trip_summary_region!I418</f>
        <v>Light Vehicle Driver</v>
      </c>
      <c r="J418" t="str">
        <f>[5]trip_summary_region!J418</f>
        <v>2027/28</v>
      </c>
    </row>
    <row r="419" spans="1:10" x14ac:dyDescent="0.2">
      <c r="A419" t="str">
        <f>[5]trip_summary_region!A419</f>
        <v>06 HAWKE`S BAY</v>
      </c>
      <c r="B419">
        <f>[5]trip_summary_region!B419</f>
        <v>2</v>
      </c>
      <c r="C419">
        <f>[5]trip_summary_region!C419</f>
        <v>2033</v>
      </c>
      <c r="D419">
        <f>[5]trip_summary_region!D419</f>
        <v>446</v>
      </c>
      <c r="E419">
        <f>[5]trip_summary_region!E419</f>
        <v>3171</v>
      </c>
      <c r="F419">
        <f>[5]trip_summary_region!F419</f>
        <v>138.59324656000001</v>
      </c>
      <c r="G419">
        <f>[5]trip_summary_region!G419</f>
        <v>1265.5454279</v>
      </c>
      <c r="H419">
        <f>[5]trip_summary_region!H419</f>
        <v>32.074357501000001</v>
      </c>
      <c r="I419" t="str">
        <f>[5]trip_summary_region!I419</f>
        <v>Light Vehicle Driver</v>
      </c>
      <c r="J419" t="str">
        <f>[5]trip_summary_region!J419</f>
        <v>2032/33</v>
      </c>
    </row>
    <row r="420" spans="1:10" x14ac:dyDescent="0.2">
      <c r="A420" t="str">
        <f>[5]trip_summary_region!A420</f>
        <v>06 HAWKE`S BAY</v>
      </c>
      <c r="B420">
        <f>[5]trip_summary_region!B420</f>
        <v>2</v>
      </c>
      <c r="C420">
        <f>[5]trip_summary_region!C420</f>
        <v>2038</v>
      </c>
      <c r="D420">
        <f>[5]trip_summary_region!D420</f>
        <v>446</v>
      </c>
      <c r="E420">
        <f>[5]trip_summary_region!E420</f>
        <v>3171</v>
      </c>
      <c r="F420">
        <f>[5]trip_summary_region!F420</f>
        <v>142.74464311</v>
      </c>
      <c r="G420">
        <f>[5]trip_summary_region!G420</f>
        <v>1306.2214097999999</v>
      </c>
      <c r="H420">
        <f>[5]trip_summary_region!H420</f>
        <v>33.139109869999999</v>
      </c>
      <c r="I420" t="str">
        <f>[5]trip_summary_region!I420</f>
        <v>Light Vehicle Driver</v>
      </c>
      <c r="J420" t="str">
        <f>[5]trip_summary_region!J420</f>
        <v>2037/38</v>
      </c>
    </row>
    <row r="421" spans="1:10" x14ac:dyDescent="0.2">
      <c r="A421" t="str">
        <f>[5]trip_summary_region!A421</f>
        <v>06 HAWKE`S BAY</v>
      </c>
      <c r="B421">
        <f>[5]trip_summary_region!B421</f>
        <v>2</v>
      </c>
      <c r="C421">
        <f>[5]trip_summary_region!C421</f>
        <v>2043</v>
      </c>
      <c r="D421">
        <f>[5]trip_summary_region!D421</f>
        <v>446</v>
      </c>
      <c r="E421">
        <f>[5]trip_summary_region!E421</f>
        <v>3171</v>
      </c>
      <c r="F421">
        <f>[5]trip_summary_region!F421</f>
        <v>146.36628476999999</v>
      </c>
      <c r="G421">
        <f>[5]trip_summary_region!G421</f>
        <v>1341.5247523999999</v>
      </c>
      <c r="H421">
        <f>[5]trip_summary_region!H421</f>
        <v>34.070623961999999</v>
      </c>
      <c r="I421" t="str">
        <f>[5]trip_summary_region!I421</f>
        <v>Light Vehicle Driver</v>
      </c>
      <c r="J421" t="str">
        <f>[5]trip_summary_region!J421</f>
        <v>2042/43</v>
      </c>
    </row>
    <row r="422" spans="1:10" x14ac:dyDescent="0.2">
      <c r="A422" t="str">
        <f>[5]trip_summary_region!A422</f>
        <v>06 HAWKE`S BAY</v>
      </c>
      <c r="B422">
        <f>[5]trip_summary_region!B422</f>
        <v>3</v>
      </c>
      <c r="C422">
        <f>[5]trip_summary_region!C422</f>
        <v>2013</v>
      </c>
      <c r="D422">
        <f>[5]trip_summary_region!D422</f>
        <v>300</v>
      </c>
      <c r="E422">
        <f>[5]trip_summary_region!E422</f>
        <v>1579</v>
      </c>
      <c r="F422">
        <f>[5]trip_summary_region!F422</f>
        <v>58.497679761999997</v>
      </c>
      <c r="G422">
        <f>[5]trip_summary_region!G422</f>
        <v>607.82570181000006</v>
      </c>
      <c r="H422">
        <f>[5]trip_summary_region!H422</f>
        <v>15.230731736999999</v>
      </c>
      <c r="I422" t="str">
        <f>[5]trip_summary_region!I422</f>
        <v>Light Vehicle Passenger</v>
      </c>
      <c r="J422" t="str">
        <f>[5]trip_summary_region!J422</f>
        <v>2012/13</v>
      </c>
    </row>
    <row r="423" spans="1:10" x14ac:dyDescent="0.2">
      <c r="A423" t="str">
        <f>[5]trip_summary_region!A423</f>
        <v>06 HAWKE`S BAY</v>
      </c>
      <c r="B423">
        <f>[5]trip_summary_region!B423</f>
        <v>3</v>
      </c>
      <c r="C423">
        <f>[5]trip_summary_region!C423</f>
        <v>2018</v>
      </c>
      <c r="D423">
        <f>[5]trip_summary_region!D423</f>
        <v>300</v>
      </c>
      <c r="E423">
        <f>[5]trip_summary_region!E423</f>
        <v>1579</v>
      </c>
      <c r="F423">
        <f>[5]trip_summary_region!F423</f>
        <v>60.405657173999998</v>
      </c>
      <c r="G423">
        <f>[5]trip_summary_region!G423</f>
        <v>642.95162944000003</v>
      </c>
      <c r="H423">
        <f>[5]trip_summary_region!H423</f>
        <v>15.968389121</v>
      </c>
      <c r="I423" t="str">
        <f>[5]trip_summary_region!I423</f>
        <v>Light Vehicle Passenger</v>
      </c>
      <c r="J423" t="str">
        <f>[5]trip_summary_region!J423</f>
        <v>2017/18</v>
      </c>
    </row>
    <row r="424" spans="1:10" x14ac:dyDescent="0.2">
      <c r="A424" t="str">
        <f>[5]trip_summary_region!A424</f>
        <v>06 HAWKE`S BAY</v>
      </c>
      <c r="B424">
        <f>[5]trip_summary_region!B424</f>
        <v>3</v>
      </c>
      <c r="C424">
        <f>[5]trip_summary_region!C424</f>
        <v>2023</v>
      </c>
      <c r="D424">
        <f>[5]trip_summary_region!D424</f>
        <v>300</v>
      </c>
      <c r="E424">
        <f>[5]trip_summary_region!E424</f>
        <v>1579</v>
      </c>
      <c r="F424">
        <f>[5]trip_summary_region!F424</f>
        <v>61.772805951000002</v>
      </c>
      <c r="G424">
        <f>[5]trip_summary_region!G424</f>
        <v>669.58509643000002</v>
      </c>
      <c r="H424">
        <f>[5]trip_summary_region!H424</f>
        <v>16.532435840000002</v>
      </c>
      <c r="I424" t="str">
        <f>[5]trip_summary_region!I424</f>
        <v>Light Vehicle Passenger</v>
      </c>
      <c r="J424" t="str">
        <f>[5]trip_summary_region!J424</f>
        <v>2022/23</v>
      </c>
    </row>
    <row r="425" spans="1:10" x14ac:dyDescent="0.2">
      <c r="A425" t="str">
        <f>[5]trip_summary_region!A425</f>
        <v>06 HAWKE`S BAY</v>
      </c>
      <c r="B425">
        <f>[5]trip_summary_region!B425</f>
        <v>3</v>
      </c>
      <c r="C425">
        <f>[5]trip_summary_region!C425</f>
        <v>2028</v>
      </c>
      <c r="D425">
        <f>[5]trip_summary_region!D425</f>
        <v>300</v>
      </c>
      <c r="E425">
        <f>[5]trip_summary_region!E425</f>
        <v>1579</v>
      </c>
      <c r="F425">
        <f>[5]trip_summary_region!F425</f>
        <v>63.543880749000003</v>
      </c>
      <c r="G425">
        <f>[5]trip_summary_region!G425</f>
        <v>690.44868241999995</v>
      </c>
      <c r="H425">
        <f>[5]trip_summary_region!H425</f>
        <v>17.078773456</v>
      </c>
      <c r="I425" t="str">
        <f>[5]trip_summary_region!I425</f>
        <v>Light Vehicle Passenger</v>
      </c>
      <c r="J425" t="str">
        <f>[5]trip_summary_region!J425</f>
        <v>2027/28</v>
      </c>
    </row>
    <row r="426" spans="1:10" x14ac:dyDescent="0.2">
      <c r="A426" t="str">
        <f>[5]trip_summary_region!A426</f>
        <v>06 HAWKE`S BAY</v>
      </c>
      <c r="B426">
        <f>[5]trip_summary_region!B426</f>
        <v>3</v>
      </c>
      <c r="C426">
        <f>[5]trip_summary_region!C426</f>
        <v>2033</v>
      </c>
      <c r="D426">
        <f>[5]trip_summary_region!D426</f>
        <v>300</v>
      </c>
      <c r="E426">
        <f>[5]trip_summary_region!E426</f>
        <v>1579</v>
      </c>
      <c r="F426">
        <f>[5]trip_summary_region!F426</f>
        <v>64.659354543999996</v>
      </c>
      <c r="G426">
        <f>[5]trip_summary_region!G426</f>
        <v>700.39420789999997</v>
      </c>
      <c r="H426">
        <f>[5]trip_summary_region!H426</f>
        <v>17.354749005999999</v>
      </c>
      <c r="I426" t="str">
        <f>[5]trip_summary_region!I426</f>
        <v>Light Vehicle Passenger</v>
      </c>
      <c r="J426" t="str">
        <f>[5]trip_summary_region!J426</f>
        <v>2032/33</v>
      </c>
    </row>
    <row r="427" spans="1:10" x14ac:dyDescent="0.2">
      <c r="A427" t="str">
        <f>[5]trip_summary_region!A427</f>
        <v>06 HAWKE`S BAY</v>
      </c>
      <c r="B427">
        <f>[5]trip_summary_region!B427</f>
        <v>3</v>
      </c>
      <c r="C427">
        <f>[5]trip_summary_region!C427</f>
        <v>2038</v>
      </c>
      <c r="D427">
        <f>[5]trip_summary_region!D427</f>
        <v>300</v>
      </c>
      <c r="E427">
        <f>[5]trip_summary_region!E427</f>
        <v>1579</v>
      </c>
      <c r="F427">
        <f>[5]trip_summary_region!F427</f>
        <v>65.699381204000005</v>
      </c>
      <c r="G427">
        <f>[5]trip_summary_region!G427</f>
        <v>703.60689643000001</v>
      </c>
      <c r="H427">
        <f>[5]trip_summary_region!H427</f>
        <v>17.473011802999999</v>
      </c>
      <c r="I427" t="str">
        <f>[5]trip_summary_region!I427</f>
        <v>Light Vehicle Passenger</v>
      </c>
      <c r="J427" t="str">
        <f>[5]trip_summary_region!J427</f>
        <v>2037/38</v>
      </c>
    </row>
    <row r="428" spans="1:10" x14ac:dyDescent="0.2">
      <c r="A428" t="str">
        <f>[5]trip_summary_region!A428</f>
        <v>06 HAWKE`S BAY</v>
      </c>
      <c r="B428">
        <f>[5]trip_summary_region!B428</f>
        <v>3</v>
      </c>
      <c r="C428">
        <f>[5]trip_summary_region!C428</f>
        <v>2043</v>
      </c>
      <c r="D428">
        <f>[5]trip_summary_region!D428</f>
        <v>300</v>
      </c>
      <c r="E428">
        <f>[5]trip_summary_region!E428</f>
        <v>1579</v>
      </c>
      <c r="F428">
        <f>[5]trip_summary_region!F428</f>
        <v>66.462228437999997</v>
      </c>
      <c r="G428">
        <f>[5]trip_summary_region!G428</f>
        <v>703.44850716999997</v>
      </c>
      <c r="H428">
        <f>[5]trip_summary_region!H428</f>
        <v>17.511341832999999</v>
      </c>
      <c r="I428" t="str">
        <f>[5]trip_summary_region!I428</f>
        <v>Light Vehicle Passenger</v>
      </c>
      <c r="J428" t="str">
        <f>[5]trip_summary_region!J428</f>
        <v>2042/43</v>
      </c>
    </row>
    <row r="429" spans="1:10" x14ac:dyDescent="0.2">
      <c r="A429" t="str">
        <f>[5]trip_summary_region!A429</f>
        <v>06 HAWKE`S BAY</v>
      </c>
      <c r="B429">
        <f>[5]trip_summary_region!B429</f>
        <v>4</v>
      </c>
      <c r="C429">
        <f>[5]trip_summary_region!C429</f>
        <v>2013</v>
      </c>
      <c r="D429">
        <f>[5]trip_summary_region!D429</f>
        <v>4</v>
      </c>
      <c r="E429">
        <f>[5]trip_summary_region!E429</f>
        <v>8</v>
      </c>
      <c r="F429">
        <f>[5]trip_summary_region!F429</f>
        <v>0.32519619989999998</v>
      </c>
      <c r="G429">
        <f>[5]trip_summary_region!G429</f>
        <v>1.7589425135000001</v>
      </c>
      <c r="H429">
        <f>[5]trip_summary_region!H429</f>
        <v>4.5837477299999999E-2</v>
      </c>
      <c r="I429" t="s">
        <v>116</v>
      </c>
      <c r="J429" t="str">
        <f>[5]trip_summary_region!J429</f>
        <v>2012/13</v>
      </c>
    </row>
    <row r="430" spans="1:10" x14ac:dyDescent="0.2">
      <c r="A430" t="str">
        <f>[5]trip_summary_region!A430</f>
        <v>06 HAWKE`S BAY</v>
      </c>
      <c r="B430">
        <f>[5]trip_summary_region!B430</f>
        <v>4</v>
      </c>
      <c r="C430">
        <f>[5]trip_summary_region!C430</f>
        <v>2018</v>
      </c>
      <c r="D430">
        <f>[5]trip_summary_region!D430</f>
        <v>4</v>
      </c>
      <c r="E430">
        <f>[5]trip_summary_region!E430</f>
        <v>8</v>
      </c>
      <c r="F430">
        <f>[5]trip_summary_region!F430</f>
        <v>0.33399104629999998</v>
      </c>
      <c r="G430">
        <f>[5]trip_summary_region!G430</f>
        <v>1.7235216927000001</v>
      </c>
      <c r="H430">
        <f>[5]trip_summary_region!H430</f>
        <v>4.7593421400000002E-2</v>
      </c>
      <c r="I430" t="s">
        <v>116</v>
      </c>
      <c r="J430" t="str">
        <f>[5]trip_summary_region!J430</f>
        <v>2017/18</v>
      </c>
    </row>
    <row r="431" spans="1:10" x14ac:dyDescent="0.2">
      <c r="A431" t="str">
        <f>[5]trip_summary_region!A431</f>
        <v>06 HAWKE`S BAY</v>
      </c>
      <c r="B431">
        <f>[5]trip_summary_region!B431</f>
        <v>4</v>
      </c>
      <c r="C431">
        <f>[5]trip_summary_region!C431</f>
        <v>2023</v>
      </c>
      <c r="D431">
        <f>[5]trip_summary_region!D431</f>
        <v>4</v>
      </c>
      <c r="E431">
        <f>[5]trip_summary_region!E431</f>
        <v>8</v>
      </c>
      <c r="F431">
        <f>[5]trip_summary_region!F431</f>
        <v>0.34837124250000001</v>
      </c>
      <c r="G431">
        <f>[5]trip_summary_region!G431</f>
        <v>1.7173274164000001</v>
      </c>
      <c r="H431">
        <f>[5]trip_summary_region!H431</f>
        <v>4.98300822E-2</v>
      </c>
      <c r="I431" t="s">
        <v>116</v>
      </c>
      <c r="J431" t="str">
        <f>[5]trip_summary_region!J431</f>
        <v>2022/23</v>
      </c>
    </row>
    <row r="432" spans="1:10" x14ac:dyDescent="0.2">
      <c r="A432" t="str">
        <f>[5]trip_summary_region!A432</f>
        <v>06 HAWKE`S BAY</v>
      </c>
      <c r="B432">
        <f>[5]trip_summary_region!B432</f>
        <v>4</v>
      </c>
      <c r="C432">
        <f>[5]trip_summary_region!C432</f>
        <v>2028</v>
      </c>
      <c r="D432">
        <f>[5]trip_summary_region!D432</f>
        <v>4</v>
      </c>
      <c r="E432">
        <f>[5]trip_summary_region!E432</f>
        <v>8</v>
      </c>
      <c r="F432">
        <f>[5]trip_summary_region!F432</f>
        <v>0.36531258039999998</v>
      </c>
      <c r="G432">
        <f>[5]trip_summary_region!G432</f>
        <v>1.7400284588999999</v>
      </c>
      <c r="H432">
        <f>[5]trip_summary_region!H432</f>
        <v>5.2624842999999998E-2</v>
      </c>
      <c r="I432" t="s">
        <v>116</v>
      </c>
      <c r="J432" t="str">
        <f>[5]trip_summary_region!J432</f>
        <v>2027/28</v>
      </c>
    </row>
    <row r="433" spans="1:10" x14ac:dyDescent="0.2">
      <c r="A433" t="str">
        <f>[5]trip_summary_region!A433</f>
        <v>06 HAWKE`S BAY</v>
      </c>
      <c r="B433">
        <f>[5]trip_summary_region!B433</f>
        <v>4</v>
      </c>
      <c r="C433">
        <f>[5]trip_summary_region!C433</f>
        <v>2033</v>
      </c>
      <c r="D433">
        <f>[5]trip_summary_region!D433</f>
        <v>4</v>
      </c>
      <c r="E433">
        <f>[5]trip_summary_region!E433</f>
        <v>8</v>
      </c>
      <c r="F433">
        <f>[5]trip_summary_region!F433</f>
        <v>0.38370008</v>
      </c>
      <c r="G433">
        <f>[5]trip_summary_region!G433</f>
        <v>1.7771933863</v>
      </c>
      <c r="H433">
        <f>[5]trip_summary_region!H433</f>
        <v>5.6304227700000001E-2</v>
      </c>
      <c r="I433" t="s">
        <v>116</v>
      </c>
      <c r="J433" t="str">
        <f>[5]trip_summary_region!J433</f>
        <v>2032/33</v>
      </c>
    </row>
    <row r="434" spans="1:10" x14ac:dyDescent="0.2">
      <c r="A434" t="str">
        <f>[5]trip_summary_region!A434</f>
        <v>06 HAWKE`S BAY</v>
      </c>
      <c r="B434">
        <f>[5]trip_summary_region!B434</f>
        <v>4</v>
      </c>
      <c r="C434">
        <f>[5]trip_summary_region!C434</f>
        <v>2038</v>
      </c>
      <c r="D434">
        <f>[5]trip_summary_region!D434</f>
        <v>4</v>
      </c>
      <c r="E434">
        <f>[5]trip_summary_region!E434</f>
        <v>8</v>
      </c>
      <c r="F434">
        <f>[5]trip_summary_region!F434</f>
        <v>0.37932368379999998</v>
      </c>
      <c r="G434">
        <f>[5]trip_summary_region!G434</f>
        <v>1.7378360394000001</v>
      </c>
      <c r="H434">
        <f>[5]trip_summary_region!H434</f>
        <v>5.6771962600000003E-2</v>
      </c>
      <c r="I434" t="s">
        <v>116</v>
      </c>
      <c r="J434" t="str">
        <f>[5]trip_summary_region!J434</f>
        <v>2037/38</v>
      </c>
    </row>
    <row r="435" spans="1:10" x14ac:dyDescent="0.2">
      <c r="A435" t="str">
        <f>[5]trip_summary_region!A435</f>
        <v>06 HAWKE`S BAY</v>
      </c>
      <c r="B435">
        <f>[5]trip_summary_region!B435</f>
        <v>4</v>
      </c>
      <c r="C435">
        <f>[5]trip_summary_region!C435</f>
        <v>2043</v>
      </c>
      <c r="D435">
        <f>[5]trip_summary_region!D435</f>
        <v>4</v>
      </c>
      <c r="E435">
        <f>[5]trip_summary_region!E435</f>
        <v>8</v>
      </c>
      <c r="F435">
        <f>[5]trip_summary_region!F435</f>
        <v>0.36581711420000002</v>
      </c>
      <c r="G435">
        <f>[5]trip_summary_region!G435</f>
        <v>1.6757688264999999</v>
      </c>
      <c r="H435">
        <f>[5]trip_summary_region!H435</f>
        <v>5.5454368900000002E-2</v>
      </c>
      <c r="I435" t="s">
        <v>116</v>
      </c>
      <c r="J435" t="str">
        <f>[5]trip_summary_region!J435</f>
        <v>2042/43</v>
      </c>
    </row>
    <row r="436" spans="1:10" x14ac:dyDescent="0.2">
      <c r="A436" t="str">
        <f>[5]trip_summary_region!A436</f>
        <v>06 HAWKE`S BAY</v>
      </c>
      <c r="B436">
        <f>[5]trip_summary_region!B436</f>
        <v>5</v>
      </c>
      <c r="C436">
        <f>[5]trip_summary_region!C436</f>
        <v>2013</v>
      </c>
      <c r="D436">
        <f>[5]trip_summary_region!D436</f>
        <v>6</v>
      </c>
      <c r="E436">
        <f>[5]trip_summary_region!E436</f>
        <v>19</v>
      </c>
      <c r="F436">
        <f>[5]trip_summary_region!F436</f>
        <v>0.65061969099999994</v>
      </c>
      <c r="G436">
        <f>[5]trip_summary_region!G436</f>
        <v>3.0321841239</v>
      </c>
      <c r="H436">
        <f>[5]trip_summary_region!H436</f>
        <v>0.11763194120000001</v>
      </c>
      <c r="I436" t="str">
        <f>[5]trip_summary_region!I436</f>
        <v>Motorcyclist</v>
      </c>
      <c r="J436" t="str">
        <f>[5]trip_summary_region!J436</f>
        <v>2012/13</v>
      </c>
    </row>
    <row r="437" spans="1:10" x14ac:dyDescent="0.2">
      <c r="A437" t="str">
        <f>[5]trip_summary_region!A437</f>
        <v>06 HAWKE`S BAY</v>
      </c>
      <c r="B437">
        <f>[5]trip_summary_region!B437</f>
        <v>5</v>
      </c>
      <c r="C437">
        <f>[5]trip_summary_region!C437</f>
        <v>2018</v>
      </c>
      <c r="D437">
        <f>[5]trip_summary_region!D437</f>
        <v>6</v>
      </c>
      <c r="E437">
        <f>[5]trip_summary_region!E437</f>
        <v>19</v>
      </c>
      <c r="F437">
        <f>[5]trip_summary_region!F437</f>
        <v>0.62945791120000005</v>
      </c>
      <c r="G437">
        <f>[5]trip_summary_region!G437</f>
        <v>3.1875832787</v>
      </c>
      <c r="H437">
        <f>[5]trip_summary_region!H437</f>
        <v>0.1151544387</v>
      </c>
      <c r="I437" t="str">
        <f>[5]trip_summary_region!I437</f>
        <v>Motorcyclist</v>
      </c>
      <c r="J437" t="str">
        <f>[5]trip_summary_region!J437</f>
        <v>2017/18</v>
      </c>
    </row>
    <row r="438" spans="1:10" x14ac:dyDescent="0.2">
      <c r="A438" t="str">
        <f>[5]trip_summary_region!A438</f>
        <v>06 HAWKE`S BAY</v>
      </c>
      <c r="B438">
        <f>[5]trip_summary_region!B438</f>
        <v>5</v>
      </c>
      <c r="C438">
        <f>[5]trip_summary_region!C438</f>
        <v>2023</v>
      </c>
      <c r="D438">
        <f>[5]trip_summary_region!D438</f>
        <v>6</v>
      </c>
      <c r="E438">
        <f>[5]trip_summary_region!E438</f>
        <v>19</v>
      </c>
      <c r="F438">
        <f>[5]trip_summary_region!F438</f>
        <v>0.60035954199999997</v>
      </c>
      <c r="G438">
        <f>[5]trip_summary_region!G438</f>
        <v>3.2548629714000001</v>
      </c>
      <c r="H438">
        <f>[5]trip_summary_region!H438</f>
        <v>0.112491759</v>
      </c>
      <c r="I438" t="str">
        <f>[5]trip_summary_region!I438</f>
        <v>Motorcyclist</v>
      </c>
      <c r="J438" t="str">
        <f>[5]trip_summary_region!J438</f>
        <v>2022/23</v>
      </c>
    </row>
    <row r="439" spans="1:10" x14ac:dyDescent="0.2">
      <c r="A439" t="str">
        <f>[5]trip_summary_region!A439</f>
        <v>06 HAWKE`S BAY</v>
      </c>
      <c r="B439">
        <f>[5]trip_summary_region!B439</f>
        <v>5</v>
      </c>
      <c r="C439">
        <f>[5]trip_summary_region!C439</f>
        <v>2028</v>
      </c>
      <c r="D439">
        <f>[5]trip_summary_region!D439</f>
        <v>6</v>
      </c>
      <c r="E439">
        <f>[5]trip_summary_region!E439</f>
        <v>19</v>
      </c>
      <c r="F439">
        <f>[5]trip_summary_region!F439</f>
        <v>0.58796567929999999</v>
      </c>
      <c r="G439">
        <f>[5]trip_summary_region!G439</f>
        <v>3.1261074221</v>
      </c>
      <c r="H439">
        <f>[5]trip_summary_region!H439</f>
        <v>0.11052228879999999</v>
      </c>
      <c r="I439" t="str">
        <f>[5]trip_summary_region!I439</f>
        <v>Motorcyclist</v>
      </c>
      <c r="J439" t="str">
        <f>[5]trip_summary_region!J439</f>
        <v>2027/28</v>
      </c>
    </row>
    <row r="440" spans="1:10" x14ac:dyDescent="0.2">
      <c r="A440" t="str">
        <f>[5]trip_summary_region!A440</f>
        <v>06 HAWKE`S BAY</v>
      </c>
      <c r="B440">
        <f>[5]trip_summary_region!B440</f>
        <v>5</v>
      </c>
      <c r="C440">
        <f>[5]trip_summary_region!C440</f>
        <v>2033</v>
      </c>
      <c r="D440">
        <f>[5]trip_summary_region!D440</f>
        <v>6</v>
      </c>
      <c r="E440">
        <f>[5]trip_summary_region!E440</f>
        <v>19</v>
      </c>
      <c r="F440">
        <f>[5]trip_summary_region!F440</f>
        <v>0.56101445630000002</v>
      </c>
      <c r="G440">
        <f>[5]trip_summary_region!G440</f>
        <v>2.9348747708</v>
      </c>
      <c r="H440">
        <f>[5]trip_summary_region!H440</f>
        <v>0.10380815810000001</v>
      </c>
      <c r="I440" t="str">
        <f>[5]trip_summary_region!I440</f>
        <v>Motorcyclist</v>
      </c>
      <c r="J440" t="str">
        <f>[5]trip_summary_region!J440</f>
        <v>2032/33</v>
      </c>
    </row>
    <row r="441" spans="1:10" x14ac:dyDescent="0.2">
      <c r="A441" t="str">
        <f>[5]trip_summary_region!A441</f>
        <v>06 HAWKE`S BAY</v>
      </c>
      <c r="B441">
        <f>[5]trip_summary_region!B441</f>
        <v>5</v>
      </c>
      <c r="C441">
        <f>[5]trip_summary_region!C441</f>
        <v>2038</v>
      </c>
      <c r="D441">
        <f>[5]trip_summary_region!D441</f>
        <v>6</v>
      </c>
      <c r="E441">
        <f>[5]trip_summary_region!E441</f>
        <v>19</v>
      </c>
      <c r="F441">
        <f>[5]trip_summary_region!F441</f>
        <v>0.52737262060000001</v>
      </c>
      <c r="G441">
        <f>[5]trip_summary_region!G441</f>
        <v>2.8298672750999998</v>
      </c>
      <c r="H441">
        <f>[5]trip_summary_region!H441</f>
        <v>9.9600595799999997E-2</v>
      </c>
      <c r="I441" t="str">
        <f>[5]trip_summary_region!I441</f>
        <v>Motorcyclist</v>
      </c>
      <c r="J441" t="str">
        <f>[5]trip_summary_region!J441</f>
        <v>2037/38</v>
      </c>
    </row>
    <row r="442" spans="1:10" x14ac:dyDescent="0.2">
      <c r="A442" t="str">
        <f>[5]trip_summary_region!A442</f>
        <v>06 HAWKE`S BAY</v>
      </c>
      <c r="B442">
        <f>[5]trip_summary_region!B442</f>
        <v>5</v>
      </c>
      <c r="C442">
        <f>[5]trip_summary_region!C442</f>
        <v>2043</v>
      </c>
      <c r="D442">
        <f>[5]trip_summary_region!D442</f>
        <v>6</v>
      </c>
      <c r="E442">
        <f>[5]trip_summary_region!E442</f>
        <v>19</v>
      </c>
      <c r="F442">
        <f>[5]trip_summary_region!F442</f>
        <v>0.49089190160000001</v>
      </c>
      <c r="G442">
        <f>[5]trip_summary_region!G442</f>
        <v>2.7254703494000001</v>
      </c>
      <c r="H442">
        <f>[5]trip_summary_region!H442</f>
        <v>9.5062928199999994E-2</v>
      </c>
      <c r="I442" t="str">
        <f>[5]trip_summary_region!I442</f>
        <v>Motorcyclist</v>
      </c>
      <c r="J442" t="str">
        <f>[5]trip_summary_region!J442</f>
        <v>2042/43</v>
      </c>
    </row>
    <row r="443" spans="1:10" x14ac:dyDescent="0.2">
      <c r="A443" t="str">
        <f>[5]trip_summary_region!A443</f>
        <v>06 HAWKE`S BAY</v>
      </c>
      <c r="B443">
        <f>[5]trip_summary_region!B443</f>
        <v>7</v>
      </c>
      <c r="C443">
        <f>[5]trip_summary_region!C443</f>
        <v>2013</v>
      </c>
      <c r="D443">
        <f>[5]trip_summary_region!D443</f>
        <v>50</v>
      </c>
      <c r="E443">
        <f>[5]trip_summary_region!E443</f>
        <v>142</v>
      </c>
      <c r="F443">
        <f>[5]trip_summary_region!F443</f>
        <v>4.5218645043999999</v>
      </c>
      <c r="G443">
        <f>[5]trip_summary_region!G443</f>
        <v>39.591997026999998</v>
      </c>
      <c r="H443">
        <f>[5]trip_summary_region!H443</f>
        <v>1.3660147812000001</v>
      </c>
      <c r="I443" t="str">
        <f>[5]trip_summary_region!I443</f>
        <v>Local Bus</v>
      </c>
      <c r="J443" t="str">
        <f>[5]trip_summary_region!J443</f>
        <v>2012/13</v>
      </c>
    </row>
    <row r="444" spans="1:10" x14ac:dyDescent="0.2">
      <c r="A444" t="str">
        <f>[5]trip_summary_region!A444</f>
        <v>06 HAWKE`S BAY</v>
      </c>
      <c r="B444">
        <f>[5]trip_summary_region!B444</f>
        <v>7</v>
      </c>
      <c r="C444">
        <f>[5]trip_summary_region!C444</f>
        <v>2018</v>
      </c>
      <c r="D444">
        <f>[5]trip_summary_region!D444</f>
        <v>50</v>
      </c>
      <c r="E444">
        <f>[5]trip_summary_region!E444</f>
        <v>142</v>
      </c>
      <c r="F444">
        <f>[5]trip_summary_region!F444</f>
        <v>4.5846954776000004</v>
      </c>
      <c r="G444">
        <f>[5]trip_summary_region!G444</f>
        <v>39.067154361999997</v>
      </c>
      <c r="H444">
        <f>[5]trip_summary_region!H444</f>
        <v>1.3904703866000001</v>
      </c>
      <c r="I444" t="str">
        <f>[5]trip_summary_region!I444</f>
        <v>Local Bus</v>
      </c>
      <c r="J444" t="str">
        <f>[5]trip_summary_region!J444</f>
        <v>2017/18</v>
      </c>
    </row>
    <row r="445" spans="1:10" x14ac:dyDescent="0.2">
      <c r="A445" t="str">
        <f>[5]trip_summary_region!A445</f>
        <v>06 HAWKE`S BAY</v>
      </c>
      <c r="B445">
        <f>[5]trip_summary_region!B445</f>
        <v>7</v>
      </c>
      <c r="C445">
        <f>[5]trip_summary_region!C445</f>
        <v>2023</v>
      </c>
      <c r="D445">
        <f>[5]trip_summary_region!D445</f>
        <v>50</v>
      </c>
      <c r="E445">
        <f>[5]trip_summary_region!E445</f>
        <v>142</v>
      </c>
      <c r="F445">
        <f>[5]trip_summary_region!F445</f>
        <v>4.6584866930000004</v>
      </c>
      <c r="G445">
        <f>[5]trip_summary_region!G445</f>
        <v>38.783810535000001</v>
      </c>
      <c r="H445">
        <f>[5]trip_summary_region!H445</f>
        <v>1.4168894746</v>
      </c>
      <c r="I445" t="str">
        <f>[5]trip_summary_region!I445</f>
        <v>Local Bus</v>
      </c>
      <c r="J445" t="str">
        <f>[5]trip_summary_region!J445</f>
        <v>2022/23</v>
      </c>
    </row>
    <row r="446" spans="1:10" x14ac:dyDescent="0.2">
      <c r="A446" t="str">
        <f>[5]trip_summary_region!A446</f>
        <v>06 HAWKE`S BAY</v>
      </c>
      <c r="B446">
        <f>[5]trip_summary_region!B446</f>
        <v>7</v>
      </c>
      <c r="C446">
        <f>[5]trip_summary_region!C446</f>
        <v>2028</v>
      </c>
      <c r="D446">
        <f>[5]trip_summary_region!D446</f>
        <v>50</v>
      </c>
      <c r="E446">
        <f>[5]trip_summary_region!E446</f>
        <v>142</v>
      </c>
      <c r="F446">
        <f>[5]trip_summary_region!F446</f>
        <v>4.8022400016000004</v>
      </c>
      <c r="G446">
        <f>[5]trip_summary_region!G446</f>
        <v>39.982796995999998</v>
      </c>
      <c r="H446">
        <f>[5]trip_summary_region!H446</f>
        <v>1.4610293612</v>
      </c>
      <c r="I446" t="str">
        <f>[5]trip_summary_region!I446</f>
        <v>Local Bus</v>
      </c>
      <c r="J446" t="str">
        <f>[5]trip_summary_region!J446</f>
        <v>2027/28</v>
      </c>
    </row>
    <row r="447" spans="1:10" x14ac:dyDescent="0.2">
      <c r="A447" t="str">
        <f>[5]trip_summary_region!A447</f>
        <v>06 HAWKE`S BAY</v>
      </c>
      <c r="B447">
        <f>[5]trip_summary_region!B447</f>
        <v>7</v>
      </c>
      <c r="C447">
        <f>[5]trip_summary_region!C447</f>
        <v>2033</v>
      </c>
      <c r="D447">
        <f>[5]trip_summary_region!D447</f>
        <v>50</v>
      </c>
      <c r="E447">
        <f>[5]trip_summary_region!E447</f>
        <v>142</v>
      </c>
      <c r="F447">
        <f>[5]trip_summary_region!F447</f>
        <v>4.7936539044000002</v>
      </c>
      <c r="G447">
        <f>[5]trip_summary_region!G447</f>
        <v>39.927268466999998</v>
      </c>
      <c r="H447">
        <f>[5]trip_summary_region!H447</f>
        <v>1.4547817104</v>
      </c>
      <c r="I447" t="str">
        <f>[5]trip_summary_region!I447</f>
        <v>Local Bus</v>
      </c>
      <c r="J447" t="str">
        <f>[5]trip_summary_region!J447</f>
        <v>2032/33</v>
      </c>
    </row>
    <row r="448" spans="1:10" x14ac:dyDescent="0.2">
      <c r="A448" t="str">
        <f>[5]trip_summary_region!A448</f>
        <v>06 HAWKE`S BAY</v>
      </c>
      <c r="B448">
        <f>[5]trip_summary_region!B448</f>
        <v>7</v>
      </c>
      <c r="C448">
        <f>[5]trip_summary_region!C448</f>
        <v>2038</v>
      </c>
      <c r="D448">
        <f>[5]trip_summary_region!D448</f>
        <v>50</v>
      </c>
      <c r="E448">
        <f>[5]trip_summary_region!E448</f>
        <v>142</v>
      </c>
      <c r="F448">
        <f>[5]trip_summary_region!F448</f>
        <v>4.8586774482999999</v>
      </c>
      <c r="G448">
        <f>[5]trip_summary_region!G448</f>
        <v>40.523380023999998</v>
      </c>
      <c r="H448">
        <f>[5]trip_summary_region!H448</f>
        <v>1.4754749255999999</v>
      </c>
      <c r="I448" t="str">
        <f>[5]trip_summary_region!I448</f>
        <v>Local Bus</v>
      </c>
      <c r="J448" t="str">
        <f>[5]trip_summary_region!J448</f>
        <v>2037/38</v>
      </c>
    </row>
    <row r="449" spans="1:10" x14ac:dyDescent="0.2">
      <c r="A449" t="str">
        <f>[5]trip_summary_region!A449</f>
        <v>06 HAWKE`S BAY</v>
      </c>
      <c r="B449">
        <f>[5]trip_summary_region!B449</f>
        <v>7</v>
      </c>
      <c r="C449">
        <f>[5]trip_summary_region!C449</f>
        <v>2043</v>
      </c>
      <c r="D449">
        <f>[5]trip_summary_region!D449</f>
        <v>50</v>
      </c>
      <c r="E449">
        <f>[5]trip_summary_region!E449</f>
        <v>142</v>
      </c>
      <c r="F449">
        <f>[5]trip_summary_region!F449</f>
        <v>4.8936819215999998</v>
      </c>
      <c r="G449">
        <f>[5]trip_summary_region!G449</f>
        <v>40.891760185999999</v>
      </c>
      <c r="H449">
        <f>[5]trip_summary_region!H449</f>
        <v>1.4864887897000001</v>
      </c>
      <c r="I449" t="str">
        <f>[5]trip_summary_region!I449</f>
        <v>Local Bus</v>
      </c>
      <c r="J449" t="str">
        <f>[5]trip_summary_region!J449</f>
        <v>2042/43</v>
      </c>
    </row>
    <row r="450" spans="1:10" x14ac:dyDescent="0.2">
      <c r="A450" t="str">
        <f>[5]trip_summary_region!A450</f>
        <v>06 HAWKE`S BAY</v>
      </c>
      <c r="B450">
        <f>[5]trip_summary_region!B450</f>
        <v>9</v>
      </c>
      <c r="C450">
        <f>[5]trip_summary_region!C450</f>
        <v>2013</v>
      </c>
      <c r="D450">
        <f>[5]trip_summary_region!D450</f>
        <v>3</v>
      </c>
      <c r="E450">
        <f>[5]trip_summary_region!E450</f>
        <v>10</v>
      </c>
      <c r="F450">
        <f>[5]trip_summary_region!F450</f>
        <v>0.49138149730000003</v>
      </c>
      <c r="G450">
        <f>[5]trip_summary_region!G450</f>
        <v>0</v>
      </c>
      <c r="H450">
        <f>[5]trip_summary_region!H450</f>
        <v>0.15778150060000001</v>
      </c>
      <c r="I450" t="str">
        <f>[5]trip_summary_region!I450</f>
        <v>Other Household Travel</v>
      </c>
      <c r="J450" t="str">
        <f>[5]trip_summary_region!J450</f>
        <v>2012/13</v>
      </c>
    </row>
    <row r="451" spans="1:10" x14ac:dyDescent="0.2">
      <c r="A451" t="str">
        <f>[5]trip_summary_region!A451</f>
        <v>06 HAWKE`S BAY</v>
      </c>
      <c r="B451">
        <f>[5]trip_summary_region!B451</f>
        <v>9</v>
      </c>
      <c r="C451">
        <f>[5]trip_summary_region!C451</f>
        <v>2018</v>
      </c>
      <c r="D451">
        <f>[5]trip_summary_region!D451</f>
        <v>3</v>
      </c>
      <c r="E451">
        <f>[5]trip_summary_region!E451</f>
        <v>10</v>
      </c>
      <c r="F451">
        <f>[5]trip_summary_region!F451</f>
        <v>0.53393566260000003</v>
      </c>
      <c r="G451">
        <f>[5]trip_summary_region!G451</f>
        <v>0</v>
      </c>
      <c r="H451">
        <f>[5]trip_summary_region!H451</f>
        <v>0.1683227041</v>
      </c>
      <c r="I451" t="str">
        <f>[5]trip_summary_region!I451</f>
        <v>Other Household Travel</v>
      </c>
      <c r="J451" t="str">
        <f>[5]trip_summary_region!J451</f>
        <v>2017/18</v>
      </c>
    </row>
    <row r="452" spans="1:10" x14ac:dyDescent="0.2">
      <c r="A452" t="str">
        <f>[5]trip_summary_region!A452</f>
        <v>06 HAWKE`S BAY</v>
      </c>
      <c r="B452">
        <f>[5]trip_summary_region!B452</f>
        <v>9</v>
      </c>
      <c r="C452">
        <f>[5]trip_summary_region!C452</f>
        <v>2023</v>
      </c>
      <c r="D452">
        <f>[5]trip_summary_region!D452</f>
        <v>3</v>
      </c>
      <c r="E452">
        <f>[5]trip_summary_region!E452</f>
        <v>10</v>
      </c>
      <c r="F452">
        <f>[5]trip_summary_region!F452</f>
        <v>0.62216360439999996</v>
      </c>
      <c r="G452">
        <f>[5]trip_summary_region!G452</f>
        <v>0</v>
      </c>
      <c r="H452">
        <f>[5]trip_summary_region!H452</f>
        <v>0.19254345010000001</v>
      </c>
      <c r="I452" t="str">
        <f>[5]trip_summary_region!I452</f>
        <v>Other Household Travel</v>
      </c>
      <c r="J452" t="str">
        <f>[5]trip_summary_region!J452</f>
        <v>2022/23</v>
      </c>
    </row>
    <row r="453" spans="1:10" x14ac:dyDescent="0.2">
      <c r="A453" t="str">
        <f>[5]trip_summary_region!A453</f>
        <v>06 HAWKE`S BAY</v>
      </c>
      <c r="B453">
        <f>[5]trip_summary_region!B453</f>
        <v>9</v>
      </c>
      <c r="C453">
        <f>[5]trip_summary_region!C453</f>
        <v>2028</v>
      </c>
      <c r="D453">
        <f>[5]trip_summary_region!D453</f>
        <v>3</v>
      </c>
      <c r="E453">
        <f>[5]trip_summary_region!E453</f>
        <v>10</v>
      </c>
      <c r="F453">
        <f>[5]trip_summary_region!F453</f>
        <v>0.73655267290000004</v>
      </c>
      <c r="G453">
        <f>[5]trip_summary_region!G453</f>
        <v>0</v>
      </c>
      <c r="H453">
        <f>[5]trip_summary_region!H453</f>
        <v>0.2225215227</v>
      </c>
      <c r="I453" t="str">
        <f>[5]trip_summary_region!I453</f>
        <v>Other Household Travel</v>
      </c>
      <c r="J453" t="str">
        <f>[5]trip_summary_region!J453</f>
        <v>2027/28</v>
      </c>
    </row>
    <row r="454" spans="1:10" x14ac:dyDescent="0.2">
      <c r="A454" t="str">
        <f>[5]trip_summary_region!A454</f>
        <v>06 HAWKE`S BAY</v>
      </c>
      <c r="B454">
        <f>[5]trip_summary_region!B454</f>
        <v>9</v>
      </c>
      <c r="C454">
        <f>[5]trip_summary_region!C454</f>
        <v>2033</v>
      </c>
      <c r="D454">
        <f>[5]trip_summary_region!D454</f>
        <v>3</v>
      </c>
      <c r="E454">
        <f>[5]trip_summary_region!E454</f>
        <v>10</v>
      </c>
      <c r="F454">
        <f>[5]trip_summary_region!F454</f>
        <v>0.82932938270000001</v>
      </c>
      <c r="G454">
        <f>[5]trip_summary_region!G454</f>
        <v>0</v>
      </c>
      <c r="H454">
        <f>[5]trip_summary_region!H454</f>
        <v>0.24474123540000001</v>
      </c>
      <c r="I454" t="str">
        <f>[5]trip_summary_region!I454</f>
        <v>Other Household Travel</v>
      </c>
      <c r="J454" t="str">
        <f>[5]trip_summary_region!J454</f>
        <v>2032/33</v>
      </c>
    </row>
    <row r="455" spans="1:10" x14ac:dyDescent="0.2">
      <c r="A455" t="str">
        <f>[5]trip_summary_region!A455</f>
        <v>06 HAWKE`S BAY</v>
      </c>
      <c r="B455">
        <f>[5]trip_summary_region!B455</f>
        <v>9</v>
      </c>
      <c r="C455">
        <f>[5]trip_summary_region!C455</f>
        <v>2038</v>
      </c>
      <c r="D455">
        <f>[5]trip_summary_region!D455</f>
        <v>3</v>
      </c>
      <c r="E455">
        <f>[5]trip_summary_region!E455</f>
        <v>10</v>
      </c>
      <c r="F455">
        <f>[5]trip_summary_region!F455</f>
        <v>0.93760718279999999</v>
      </c>
      <c r="G455">
        <f>[5]trip_summary_region!G455</f>
        <v>0</v>
      </c>
      <c r="H455">
        <f>[5]trip_summary_region!H455</f>
        <v>0.27308603599999998</v>
      </c>
      <c r="I455" t="str">
        <f>[5]trip_summary_region!I455</f>
        <v>Other Household Travel</v>
      </c>
      <c r="J455" t="str">
        <f>[5]trip_summary_region!J455</f>
        <v>2037/38</v>
      </c>
    </row>
    <row r="456" spans="1:10" x14ac:dyDescent="0.2">
      <c r="A456" t="str">
        <f>[5]trip_summary_region!A456</f>
        <v>06 HAWKE`S BAY</v>
      </c>
      <c r="B456">
        <f>[5]trip_summary_region!B456</f>
        <v>9</v>
      </c>
      <c r="C456">
        <f>[5]trip_summary_region!C456</f>
        <v>2043</v>
      </c>
      <c r="D456">
        <f>[5]trip_summary_region!D456</f>
        <v>3</v>
      </c>
      <c r="E456">
        <f>[5]trip_summary_region!E456</f>
        <v>10</v>
      </c>
      <c r="F456">
        <f>[5]trip_summary_region!F456</f>
        <v>1.0489365655</v>
      </c>
      <c r="G456">
        <f>[5]trip_summary_region!G456</f>
        <v>0</v>
      </c>
      <c r="H456">
        <f>[5]trip_summary_region!H456</f>
        <v>0.3021730151</v>
      </c>
      <c r="I456" t="str">
        <f>[5]trip_summary_region!I456</f>
        <v>Other Household Travel</v>
      </c>
      <c r="J456" t="str">
        <f>[5]trip_summary_region!J456</f>
        <v>2042/43</v>
      </c>
    </row>
    <row r="457" spans="1:10" x14ac:dyDescent="0.2">
      <c r="A457" t="str">
        <f>[5]trip_summary_region!A457</f>
        <v>06 HAWKE`S BAY</v>
      </c>
      <c r="B457">
        <f>[5]trip_summary_region!B457</f>
        <v>10</v>
      </c>
      <c r="C457">
        <f>[5]trip_summary_region!C457</f>
        <v>2013</v>
      </c>
      <c r="D457">
        <f>[5]trip_summary_region!D457</f>
        <v>3</v>
      </c>
      <c r="E457">
        <f>[5]trip_summary_region!E457</f>
        <v>5</v>
      </c>
      <c r="F457">
        <f>[5]trip_summary_region!F457</f>
        <v>0.36260942909999999</v>
      </c>
      <c r="G457">
        <f>[5]trip_summary_region!G457</f>
        <v>56.865163273</v>
      </c>
      <c r="H457">
        <f>[5]trip_summary_region!H457</f>
        <v>0.96259589999999995</v>
      </c>
      <c r="I457" t="str">
        <f>[5]trip_summary_region!I457</f>
        <v>Air/Non-Local PT</v>
      </c>
      <c r="J457" t="str">
        <f>[5]trip_summary_region!J457</f>
        <v>2012/13</v>
      </c>
    </row>
    <row r="458" spans="1:10" x14ac:dyDescent="0.2">
      <c r="A458" t="str">
        <f>[5]trip_summary_region!A458</f>
        <v>06 HAWKE`S BAY</v>
      </c>
      <c r="B458">
        <f>[5]trip_summary_region!B458</f>
        <v>10</v>
      </c>
      <c r="C458">
        <f>[5]trip_summary_region!C458</f>
        <v>2018</v>
      </c>
      <c r="D458">
        <f>[5]trip_summary_region!D458</f>
        <v>3</v>
      </c>
      <c r="E458">
        <f>[5]trip_summary_region!E458</f>
        <v>5</v>
      </c>
      <c r="F458">
        <f>[5]trip_summary_region!F458</f>
        <v>0.41218094669999999</v>
      </c>
      <c r="G458">
        <f>[5]trip_summary_region!G458</f>
        <v>64.457469644</v>
      </c>
      <c r="H458">
        <f>[5]trip_summary_region!H458</f>
        <v>1.0922312090999999</v>
      </c>
      <c r="I458" t="str">
        <f>[5]trip_summary_region!I458</f>
        <v>Air/Non-Local PT</v>
      </c>
      <c r="J458" t="str">
        <f>[5]trip_summary_region!J458</f>
        <v>2017/18</v>
      </c>
    </row>
    <row r="459" spans="1:10" x14ac:dyDescent="0.2">
      <c r="A459" t="str">
        <f>[5]trip_summary_region!A459</f>
        <v>06 HAWKE`S BAY</v>
      </c>
      <c r="B459">
        <f>[5]trip_summary_region!B459</f>
        <v>10</v>
      </c>
      <c r="C459">
        <f>[5]trip_summary_region!C459</f>
        <v>2023</v>
      </c>
      <c r="D459">
        <f>[5]trip_summary_region!D459</f>
        <v>3</v>
      </c>
      <c r="E459">
        <f>[5]trip_summary_region!E459</f>
        <v>5</v>
      </c>
      <c r="F459">
        <f>[5]trip_summary_region!F459</f>
        <v>0.43578535029999999</v>
      </c>
      <c r="G459">
        <f>[5]trip_summary_region!G459</f>
        <v>67.593396251000001</v>
      </c>
      <c r="H459">
        <f>[5]trip_summary_region!H459</f>
        <v>1.1484401098999999</v>
      </c>
      <c r="I459" t="str">
        <f>[5]trip_summary_region!I459</f>
        <v>Air/Non-Local PT</v>
      </c>
      <c r="J459" t="str">
        <f>[5]trip_summary_region!J459</f>
        <v>2022/23</v>
      </c>
    </row>
    <row r="460" spans="1:10" x14ac:dyDescent="0.2">
      <c r="A460" t="str">
        <f>[5]trip_summary_region!A460</f>
        <v>06 HAWKE`S BAY</v>
      </c>
      <c r="B460">
        <f>[5]trip_summary_region!B460</f>
        <v>10</v>
      </c>
      <c r="C460">
        <f>[5]trip_summary_region!C460</f>
        <v>2028</v>
      </c>
      <c r="D460">
        <f>[5]trip_summary_region!D460</f>
        <v>3</v>
      </c>
      <c r="E460">
        <f>[5]trip_summary_region!E460</f>
        <v>5</v>
      </c>
      <c r="F460">
        <f>[5]trip_summary_region!F460</f>
        <v>0.43181254899999999</v>
      </c>
      <c r="G460">
        <f>[5]trip_summary_region!G460</f>
        <v>66.915355112</v>
      </c>
      <c r="H460">
        <f>[5]trip_summary_region!H460</f>
        <v>1.1363437809000001</v>
      </c>
      <c r="I460" t="str">
        <f>[5]trip_summary_region!I460</f>
        <v>Air/Non-Local PT</v>
      </c>
      <c r="J460" t="str">
        <f>[5]trip_summary_region!J460</f>
        <v>2027/28</v>
      </c>
    </row>
    <row r="461" spans="1:10" x14ac:dyDescent="0.2">
      <c r="A461" t="str">
        <f>[5]trip_summary_region!A461</f>
        <v>06 HAWKE`S BAY</v>
      </c>
      <c r="B461">
        <f>[5]trip_summary_region!B461</f>
        <v>10</v>
      </c>
      <c r="C461">
        <f>[5]trip_summary_region!C461</f>
        <v>2033</v>
      </c>
      <c r="D461">
        <f>[5]trip_summary_region!D461</f>
        <v>3</v>
      </c>
      <c r="E461">
        <f>[5]trip_summary_region!E461</f>
        <v>5</v>
      </c>
      <c r="F461">
        <f>[5]trip_summary_region!F461</f>
        <v>0.42481782350000002</v>
      </c>
      <c r="G461">
        <f>[5]trip_summary_region!G461</f>
        <v>65.572289224000002</v>
      </c>
      <c r="H461">
        <f>[5]trip_summary_region!H461</f>
        <v>1.1150444648</v>
      </c>
      <c r="I461" t="str">
        <f>[5]trip_summary_region!I461</f>
        <v>Air/Non-Local PT</v>
      </c>
      <c r="J461" t="str">
        <f>[5]trip_summary_region!J461</f>
        <v>2032/33</v>
      </c>
    </row>
    <row r="462" spans="1:10" x14ac:dyDescent="0.2">
      <c r="A462" t="str">
        <f>[5]trip_summary_region!A462</f>
        <v>06 HAWKE`S BAY</v>
      </c>
      <c r="B462">
        <f>[5]trip_summary_region!B462</f>
        <v>10</v>
      </c>
      <c r="C462">
        <f>[5]trip_summary_region!C462</f>
        <v>2038</v>
      </c>
      <c r="D462">
        <f>[5]trip_summary_region!D462</f>
        <v>3</v>
      </c>
      <c r="E462">
        <f>[5]trip_summary_region!E462</f>
        <v>5</v>
      </c>
      <c r="F462">
        <f>[5]trip_summary_region!F462</f>
        <v>0.42833646250000001</v>
      </c>
      <c r="G462">
        <f>[5]trip_summary_region!G462</f>
        <v>67.784590874000003</v>
      </c>
      <c r="H462">
        <f>[5]trip_summary_region!H462</f>
        <v>1.1412928702</v>
      </c>
      <c r="I462" t="str">
        <f>[5]trip_summary_region!I462</f>
        <v>Air/Non-Local PT</v>
      </c>
      <c r="J462" t="str">
        <f>[5]trip_summary_region!J462</f>
        <v>2037/38</v>
      </c>
    </row>
    <row r="463" spans="1:10" x14ac:dyDescent="0.2">
      <c r="A463" t="str">
        <f>[5]trip_summary_region!A463</f>
        <v>06 HAWKE`S BAY</v>
      </c>
      <c r="B463">
        <f>[5]trip_summary_region!B463</f>
        <v>10</v>
      </c>
      <c r="C463">
        <f>[5]trip_summary_region!C463</f>
        <v>2043</v>
      </c>
      <c r="D463">
        <f>[5]trip_summary_region!D463</f>
        <v>3</v>
      </c>
      <c r="E463">
        <f>[5]trip_summary_region!E463</f>
        <v>5</v>
      </c>
      <c r="F463">
        <f>[5]trip_summary_region!F463</f>
        <v>0.42767384349999998</v>
      </c>
      <c r="G463">
        <f>[5]trip_summary_region!G463</f>
        <v>69.396277479000005</v>
      </c>
      <c r="H463">
        <f>[5]trip_summary_region!H463</f>
        <v>1.1570071708</v>
      </c>
      <c r="I463" t="str">
        <f>[5]trip_summary_region!I463</f>
        <v>Air/Non-Local PT</v>
      </c>
      <c r="J463" t="str">
        <f>[5]trip_summary_region!J463</f>
        <v>2042/43</v>
      </c>
    </row>
    <row r="464" spans="1:10" x14ac:dyDescent="0.2">
      <c r="A464" t="str">
        <f>[5]trip_summary_region!A464</f>
        <v>06 HAWKE`S BAY</v>
      </c>
      <c r="B464">
        <f>[5]trip_summary_region!B464</f>
        <v>11</v>
      </c>
      <c r="C464">
        <f>[5]trip_summary_region!C464</f>
        <v>2013</v>
      </c>
      <c r="D464">
        <f>[5]trip_summary_region!D464</f>
        <v>8</v>
      </c>
      <c r="E464">
        <f>[5]trip_summary_region!E464</f>
        <v>27</v>
      </c>
      <c r="F464">
        <f>[5]trip_summary_region!F464</f>
        <v>0.84253347339999995</v>
      </c>
      <c r="G464">
        <f>[5]trip_summary_region!G464</f>
        <v>31.621733808999998</v>
      </c>
      <c r="H464">
        <f>[5]trip_summary_region!H464</f>
        <v>0.62196297879999995</v>
      </c>
      <c r="I464" t="str">
        <f>[5]trip_summary_region!I464</f>
        <v>Non-Household Travel</v>
      </c>
      <c r="J464" t="str">
        <f>[5]trip_summary_region!J464</f>
        <v>2012/13</v>
      </c>
    </row>
    <row r="465" spans="1:10" x14ac:dyDescent="0.2">
      <c r="A465" t="str">
        <f>[5]trip_summary_region!A465</f>
        <v>06 HAWKE`S BAY</v>
      </c>
      <c r="B465">
        <f>[5]trip_summary_region!B465</f>
        <v>11</v>
      </c>
      <c r="C465">
        <f>[5]trip_summary_region!C465</f>
        <v>2018</v>
      </c>
      <c r="D465">
        <f>[5]trip_summary_region!D465</f>
        <v>8</v>
      </c>
      <c r="E465">
        <f>[5]trip_summary_region!E465</f>
        <v>27</v>
      </c>
      <c r="F465">
        <f>[5]trip_summary_region!F465</f>
        <v>0.97637985770000002</v>
      </c>
      <c r="G465">
        <f>[5]trip_summary_region!G465</f>
        <v>37.395680161999998</v>
      </c>
      <c r="H465">
        <f>[5]trip_summary_region!H465</f>
        <v>0.73418431959999997</v>
      </c>
      <c r="I465" t="str">
        <f>[5]trip_summary_region!I465</f>
        <v>Non-Household Travel</v>
      </c>
      <c r="J465" t="str">
        <f>[5]trip_summary_region!J465</f>
        <v>2017/18</v>
      </c>
    </row>
    <row r="466" spans="1:10" x14ac:dyDescent="0.2">
      <c r="A466" t="str">
        <f>[5]trip_summary_region!A466</f>
        <v>06 HAWKE`S BAY</v>
      </c>
      <c r="B466">
        <f>[5]trip_summary_region!B466</f>
        <v>11</v>
      </c>
      <c r="C466">
        <f>[5]trip_summary_region!C466</f>
        <v>2023</v>
      </c>
      <c r="D466">
        <f>[5]trip_summary_region!D466</f>
        <v>8</v>
      </c>
      <c r="E466">
        <f>[5]trip_summary_region!E466</f>
        <v>27</v>
      </c>
      <c r="F466">
        <f>[5]trip_summary_region!F466</f>
        <v>1.0837026029000001</v>
      </c>
      <c r="G466">
        <f>[5]trip_summary_region!G466</f>
        <v>40.777668796999997</v>
      </c>
      <c r="H466">
        <f>[5]trip_summary_region!H466</f>
        <v>0.80873281200000002</v>
      </c>
      <c r="I466" t="str">
        <f>[5]trip_summary_region!I466</f>
        <v>Non-Household Travel</v>
      </c>
      <c r="J466" t="str">
        <f>[5]trip_summary_region!J466</f>
        <v>2022/23</v>
      </c>
    </row>
    <row r="467" spans="1:10" x14ac:dyDescent="0.2">
      <c r="A467" t="str">
        <f>[5]trip_summary_region!A467</f>
        <v>06 HAWKE`S BAY</v>
      </c>
      <c r="B467">
        <f>[5]trip_summary_region!B467</f>
        <v>11</v>
      </c>
      <c r="C467">
        <f>[5]trip_summary_region!C467</f>
        <v>2028</v>
      </c>
      <c r="D467">
        <f>[5]trip_summary_region!D467</f>
        <v>8</v>
      </c>
      <c r="E467">
        <f>[5]trip_summary_region!E467</f>
        <v>27</v>
      </c>
      <c r="F467">
        <f>[5]trip_summary_region!F467</f>
        <v>1.1781478119</v>
      </c>
      <c r="G467">
        <f>[5]trip_summary_region!G467</f>
        <v>41.329586708999997</v>
      </c>
      <c r="H467">
        <f>[5]trip_summary_region!H467</f>
        <v>0.84328033260000002</v>
      </c>
      <c r="I467" t="str">
        <f>[5]trip_summary_region!I467</f>
        <v>Non-Household Travel</v>
      </c>
      <c r="J467" t="str">
        <f>[5]trip_summary_region!J467</f>
        <v>2027/28</v>
      </c>
    </row>
    <row r="468" spans="1:10" x14ac:dyDescent="0.2">
      <c r="A468" t="str">
        <f>[5]trip_summary_region!A468</f>
        <v>06 HAWKE`S BAY</v>
      </c>
      <c r="B468">
        <f>[5]trip_summary_region!B468</f>
        <v>11</v>
      </c>
      <c r="C468">
        <f>[5]trip_summary_region!C468</f>
        <v>2033</v>
      </c>
      <c r="D468">
        <f>[5]trip_summary_region!D468</f>
        <v>8</v>
      </c>
      <c r="E468">
        <f>[5]trip_summary_region!E468</f>
        <v>27</v>
      </c>
      <c r="F468">
        <f>[5]trip_summary_region!F468</f>
        <v>1.2567958293999999</v>
      </c>
      <c r="G468">
        <f>[5]trip_summary_region!G468</f>
        <v>42.300179186999998</v>
      </c>
      <c r="H468">
        <f>[5]trip_summary_region!H468</f>
        <v>0.88103645109999995</v>
      </c>
      <c r="I468" t="str">
        <f>[5]trip_summary_region!I468</f>
        <v>Non-Household Travel</v>
      </c>
      <c r="J468" t="str">
        <f>[5]trip_summary_region!J468</f>
        <v>2032/33</v>
      </c>
    </row>
    <row r="469" spans="1:10" x14ac:dyDescent="0.2">
      <c r="A469" t="str">
        <f>[5]trip_summary_region!A469</f>
        <v>06 HAWKE`S BAY</v>
      </c>
      <c r="B469">
        <f>[5]trip_summary_region!B469</f>
        <v>11</v>
      </c>
      <c r="C469">
        <f>[5]trip_summary_region!C469</f>
        <v>2038</v>
      </c>
      <c r="D469">
        <f>[5]trip_summary_region!D469</f>
        <v>8</v>
      </c>
      <c r="E469">
        <f>[5]trip_summary_region!E469</f>
        <v>27</v>
      </c>
      <c r="F469">
        <f>[5]trip_summary_region!F469</f>
        <v>1.3507100337</v>
      </c>
      <c r="G469">
        <f>[5]trip_summary_region!G469</f>
        <v>44.417315520000002</v>
      </c>
      <c r="H469">
        <f>[5]trip_summary_region!H469</f>
        <v>0.93944021929999999</v>
      </c>
      <c r="I469" t="str">
        <f>[5]trip_summary_region!I469</f>
        <v>Non-Household Travel</v>
      </c>
      <c r="J469" t="str">
        <f>[5]trip_summary_region!J469</f>
        <v>2037/38</v>
      </c>
    </row>
    <row r="470" spans="1:10" x14ac:dyDescent="0.2">
      <c r="A470" t="str">
        <f>[5]trip_summary_region!A470</f>
        <v>06 HAWKE`S BAY</v>
      </c>
      <c r="B470">
        <f>[5]trip_summary_region!B470</f>
        <v>11</v>
      </c>
      <c r="C470">
        <f>[5]trip_summary_region!C470</f>
        <v>2043</v>
      </c>
      <c r="D470">
        <f>[5]trip_summary_region!D470</f>
        <v>8</v>
      </c>
      <c r="E470">
        <f>[5]trip_summary_region!E470</f>
        <v>27</v>
      </c>
      <c r="F470">
        <f>[5]trip_summary_region!F470</f>
        <v>1.4431240961</v>
      </c>
      <c r="G470">
        <f>[5]trip_summary_region!G470</f>
        <v>46.544536250999997</v>
      </c>
      <c r="H470">
        <f>[5]trip_summary_region!H470</f>
        <v>0.99821482530000005</v>
      </c>
      <c r="I470" t="str">
        <f>[5]trip_summary_region!I470</f>
        <v>Non-Household Travel</v>
      </c>
      <c r="J470" t="str">
        <f>[5]trip_summary_region!J470</f>
        <v>2042/43</v>
      </c>
    </row>
    <row r="471" spans="1:10" x14ac:dyDescent="0.2">
      <c r="A471" t="str">
        <f>[5]trip_summary_region!A471</f>
        <v>07 TARANAKI</v>
      </c>
      <c r="B471">
        <f>[5]trip_summary_region!B471</f>
        <v>0</v>
      </c>
      <c r="C471">
        <f>[5]trip_summary_region!C471</f>
        <v>2013</v>
      </c>
      <c r="D471">
        <f>[5]trip_summary_region!D471</f>
        <v>314</v>
      </c>
      <c r="E471">
        <f>[5]trip_summary_region!E471</f>
        <v>1091</v>
      </c>
      <c r="F471">
        <f>[5]trip_summary_region!F471</f>
        <v>23.308571313000002</v>
      </c>
      <c r="G471">
        <f>[5]trip_summary_region!G471</f>
        <v>16.820589198</v>
      </c>
      <c r="H471">
        <f>[5]trip_summary_region!H471</f>
        <v>4.7547330373000003</v>
      </c>
      <c r="I471" t="str">
        <f>[5]trip_summary_region!I471</f>
        <v>Pedestrian</v>
      </c>
      <c r="J471" t="str">
        <f>[5]trip_summary_region!J471</f>
        <v>2012/13</v>
      </c>
    </row>
    <row r="472" spans="1:10" x14ac:dyDescent="0.2">
      <c r="A472" t="str">
        <f>[5]trip_summary_region!A472</f>
        <v>07 TARANAKI</v>
      </c>
      <c r="B472">
        <f>[5]trip_summary_region!B472</f>
        <v>0</v>
      </c>
      <c r="C472">
        <f>[5]trip_summary_region!C472</f>
        <v>2018</v>
      </c>
      <c r="D472">
        <f>[5]trip_summary_region!D472</f>
        <v>314</v>
      </c>
      <c r="E472">
        <f>[5]trip_summary_region!E472</f>
        <v>1091</v>
      </c>
      <c r="F472">
        <f>[5]trip_summary_region!F472</f>
        <v>24.784559384000001</v>
      </c>
      <c r="G472">
        <f>[5]trip_summary_region!G472</f>
        <v>17.989530228</v>
      </c>
      <c r="H472">
        <f>[5]trip_summary_region!H472</f>
        <v>4.9240409299000003</v>
      </c>
      <c r="I472" t="str">
        <f>[5]trip_summary_region!I472</f>
        <v>Pedestrian</v>
      </c>
      <c r="J472" t="str">
        <f>[5]trip_summary_region!J472</f>
        <v>2017/18</v>
      </c>
    </row>
    <row r="473" spans="1:10" x14ac:dyDescent="0.2">
      <c r="A473" t="str">
        <f>[5]trip_summary_region!A473</f>
        <v>07 TARANAKI</v>
      </c>
      <c r="B473">
        <f>[5]trip_summary_region!B473</f>
        <v>0</v>
      </c>
      <c r="C473">
        <f>[5]trip_summary_region!C473</f>
        <v>2023</v>
      </c>
      <c r="D473">
        <f>[5]trip_summary_region!D473</f>
        <v>314</v>
      </c>
      <c r="E473">
        <f>[5]trip_summary_region!E473</f>
        <v>1091</v>
      </c>
      <c r="F473">
        <f>[5]trip_summary_region!F473</f>
        <v>25.633265255000001</v>
      </c>
      <c r="G473">
        <f>[5]trip_summary_region!G473</f>
        <v>18.667505445</v>
      </c>
      <c r="H473">
        <f>[5]trip_summary_region!H473</f>
        <v>4.9887910597999996</v>
      </c>
      <c r="I473" t="str">
        <f>[5]trip_summary_region!I473</f>
        <v>Pedestrian</v>
      </c>
      <c r="J473" t="str">
        <f>[5]trip_summary_region!J473</f>
        <v>2022/23</v>
      </c>
    </row>
    <row r="474" spans="1:10" x14ac:dyDescent="0.2">
      <c r="A474" t="str">
        <f>[5]trip_summary_region!A474</f>
        <v>07 TARANAKI</v>
      </c>
      <c r="B474">
        <f>[5]trip_summary_region!B474</f>
        <v>0</v>
      </c>
      <c r="C474">
        <f>[5]trip_summary_region!C474</f>
        <v>2028</v>
      </c>
      <c r="D474">
        <f>[5]trip_summary_region!D474</f>
        <v>314</v>
      </c>
      <c r="E474">
        <f>[5]trip_summary_region!E474</f>
        <v>1091</v>
      </c>
      <c r="F474">
        <f>[5]trip_summary_region!F474</f>
        <v>26.097367374000001</v>
      </c>
      <c r="G474">
        <f>[5]trip_summary_region!G474</f>
        <v>19.145151000999999</v>
      </c>
      <c r="H474">
        <f>[5]trip_summary_region!H474</f>
        <v>5.0138769118999997</v>
      </c>
      <c r="I474" t="str">
        <f>[5]trip_summary_region!I474</f>
        <v>Pedestrian</v>
      </c>
      <c r="J474" t="str">
        <f>[5]trip_summary_region!J474</f>
        <v>2027/28</v>
      </c>
    </row>
    <row r="475" spans="1:10" x14ac:dyDescent="0.2">
      <c r="A475" t="str">
        <f>[5]trip_summary_region!A475</f>
        <v>07 TARANAKI</v>
      </c>
      <c r="B475">
        <f>[5]trip_summary_region!B475</f>
        <v>0</v>
      </c>
      <c r="C475">
        <f>[5]trip_summary_region!C475</f>
        <v>2033</v>
      </c>
      <c r="D475">
        <f>[5]trip_summary_region!D475</f>
        <v>314</v>
      </c>
      <c r="E475">
        <f>[5]trip_summary_region!E475</f>
        <v>1091</v>
      </c>
      <c r="F475">
        <f>[5]trip_summary_region!F475</f>
        <v>26.315828605</v>
      </c>
      <c r="G475">
        <f>[5]trip_summary_region!G475</f>
        <v>19.415343363000002</v>
      </c>
      <c r="H475">
        <f>[5]trip_summary_region!H475</f>
        <v>5.0120357493999999</v>
      </c>
      <c r="I475" t="str">
        <f>[5]trip_summary_region!I475</f>
        <v>Pedestrian</v>
      </c>
      <c r="J475" t="str">
        <f>[5]trip_summary_region!J475</f>
        <v>2032/33</v>
      </c>
    </row>
    <row r="476" spans="1:10" x14ac:dyDescent="0.2">
      <c r="A476" t="str">
        <f>[5]trip_summary_region!A476</f>
        <v>07 TARANAKI</v>
      </c>
      <c r="B476">
        <f>[5]trip_summary_region!B476</f>
        <v>0</v>
      </c>
      <c r="C476">
        <f>[5]trip_summary_region!C476</f>
        <v>2038</v>
      </c>
      <c r="D476">
        <f>[5]trip_summary_region!D476</f>
        <v>314</v>
      </c>
      <c r="E476">
        <f>[5]trip_summary_region!E476</f>
        <v>1091</v>
      </c>
      <c r="F476">
        <f>[5]trip_summary_region!F476</f>
        <v>26.390149621999999</v>
      </c>
      <c r="G476">
        <f>[5]trip_summary_region!G476</f>
        <v>19.642559527</v>
      </c>
      <c r="H476">
        <f>[5]trip_summary_region!H476</f>
        <v>5.0011872242999997</v>
      </c>
      <c r="I476" t="str">
        <f>[5]trip_summary_region!I476</f>
        <v>Pedestrian</v>
      </c>
      <c r="J476" t="str">
        <f>[5]trip_summary_region!J476</f>
        <v>2037/38</v>
      </c>
    </row>
    <row r="477" spans="1:10" x14ac:dyDescent="0.2">
      <c r="A477" t="str">
        <f>[5]trip_summary_region!A477</f>
        <v>07 TARANAKI</v>
      </c>
      <c r="B477">
        <f>[5]trip_summary_region!B477</f>
        <v>0</v>
      </c>
      <c r="C477">
        <f>[5]trip_summary_region!C477</f>
        <v>2043</v>
      </c>
      <c r="D477">
        <f>[5]trip_summary_region!D477</f>
        <v>314</v>
      </c>
      <c r="E477">
        <f>[5]trip_summary_region!E477</f>
        <v>1091</v>
      </c>
      <c r="F477">
        <f>[5]trip_summary_region!F477</f>
        <v>26.393977189000001</v>
      </c>
      <c r="G477">
        <f>[5]trip_summary_region!G477</f>
        <v>19.837306814000002</v>
      </c>
      <c r="H477">
        <f>[5]trip_summary_region!H477</f>
        <v>4.9820732127999996</v>
      </c>
      <c r="I477" t="str">
        <f>[5]trip_summary_region!I477</f>
        <v>Pedestrian</v>
      </c>
      <c r="J477" t="str">
        <f>[5]trip_summary_region!J477</f>
        <v>2042/43</v>
      </c>
    </row>
    <row r="478" spans="1:10" x14ac:dyDescent="0.2">
      <c r="A478" t="str">
        <f>[5]trip_summary_region!A478</f>
        <v>07 TARANAKI</v>
      </c>
      <c r="B478">
        <f>[5]trip_summary_region!B478</f>
        <v>1</v>
      </c>
      <c r="C478">
        <f>[5]trip_summary_region!C478</f>
        <v>2013</v>
      </c>
      <c r="D478">
        <f>[5]trip_summary_region!D478</f>
        <v>45</v>
      </c>
      <c r="E478">
        <f>[5]trip_summary_region!E478</f>
        <v>133</v>
      </c>
      <c r="F478">
        <f>[5]trip_summary_region!F478</f>
        <v>2.1611397319000001</v>
      </c>
      <c r="G478">
        <f>[5]trip_summary_region!G478</f>
        <v>5.5737915155</v>
      </c>
      <c r="H478">
        <f>[5]trip_summary_region!H478</f>
        <v>0.51341482110000003</v>
      </c>
      <c r="I478" t="str">
        <f>[5]trip_summary_region!I478</f>
        <v>Cyclist</v>
      </c>
      <c r="J478" t="str">
        <f>[5]trip_summary_region!J478</f>
        <v>2012/13</v>
      </c>
    </row>
    <row r="479" spans="1:10" x14ac:dyDescent="0.2">
      <c r="A479" t="str">
        <f>[5]trip_summary_region!A479</f>
        <v>07 TARANAKI</v>
      </c>
      <c r="B479">
        <f>[5]trip_summary_region!B479</f>
        <v>1</v>
      </c>
      <c r="C479">
        <f>[5]trip_summary_region!C479</f>
        <v>2018</v>
      </c>
      <c r="D479">
        <f>[5]trip_summary_region!D479</f>
        <v>45</v>
      </c>
      <c r="E479">
        <f>[5]trip_summary_region!E479</f>
        <v>133</v>
      </c>
      <c r="F479">
        <f>[5]trip_summary_region!F479</f>
        <v>2.2177321568999999</v>
      </c>
      <c r="G479">
        <f>[5]trip_summary_region!G479</f>
        <v>5.8278757674000001</v>
      </c>
      <c r="H479">
        <f>[5]trip_summary_region!H479</f>
        <v>0.54255206919999999</v>
      </c>
      <c r="I479" t="str">
        <f>[5]trip_summary_region!I479</f>
        <v>Cyclist</v>
      </c>
      <c r="J479" t="str">
        <f>[5]trip_summary_region!J479</f>
        <v>2017/18</v>
      </c>
    </row>
    <row r="480" spans="1:10" x14ac:dyDescent="0.2">
      <c r="A480" t="str">
        <f>[5]trip_summary_region!A480</f>
        <v>07 TARANAKI</v>
      </c>
      <c r="B480">
        <f>[5]trip_summary_region!B480</f>
        <v>1</v>
      </c>
      <c r="C480">
        <f>[5]trip_summary_region!C480</f>
        <v>2023</v>
      </c>
      <c r="D480">
        <f>[5]trip_summary_region!D480</f>
        <v>45</v>
      </c>
      <c r="E480">
        <f>[5]trip_summary_region!E480</f>
        <v>133</v>
      </c>
      <c r="F480">
        <f>[5]trip_summary_region!F480</f>
        <v>2.2566620090999998</v>
      </c>
      <c r="G480">
        <f>[5]trip_summary_region!G480</f>
        <v>5.9734360370999999</v>
      </c>
      <c r="H480">
        <f>[5]trip_summary_region!H480</f>
        <v>0.5612669334</v>
      </c>
      <c r="I480" t="str">
        <f>[5]trip_summary_region!I480</f>
        <v>Cyclist</v>
      </c>
      <c r="J480" t="str">
        <f>[5]trip_summary_region!J480</f>
        <v>2022/23</v>
      </c>
    </row>
    <row r="481" spans="1:10" x14ac:dyDescent="0.2">
      <c r="A481" t="str">
        <f>[5]trip_summary_region!A481</f>
        <v>07 TARANAKI</v>
      </c>
      <c r="B481">
        <f>[5]trip_summary_region!B481</f>
        <v>1</v>
      </c>
      <c r="C481">
        <f>[5]trip_summary_region!C481</f>
        <v>2028</v>
      </c>
      <c r="D481">
        <f>[5]trip_summary_region!D481</f>
        <v>45</v>
      </c>
      <c r="E481">
        <f>[5]trip_summary_region!E481</f>
        <v>133</v>
      </c>
      <c r="F481">
        <f>[5]trip_summary_region!F481</f>
        <v>2.2404857704999999</v>
      </c>
      <c r="G481">
        <f>[5]trip_summary_region!G481</f>
        <v>5.8476829164000002</v>
      </c>
      <c r="H481">
        <f>[5]trip_summary_region!H481</f>
        <v>0.55522768300000003</v>
      </c>
      <c r="I481" t="str">
        <f>[5]trip_summary_region!I481</f>
        <v>Cyclist</v>
      </c>
      <c r="J481" t="str">
        <f>[5]trip_summary_region!J481</f>
        <v>2027/28</v>
      </c>
    </row>
    <row r="482" spans="1:10" x14ac:dyDescent="0.2">
      <c r="A482" t="str">
        <f>[5]trip_summary_region!A482</f>
        <v>07 TARANAKI</v>
      </c>
      <c r="B482">
        <f>[5]trip_summary_region!B482</f>
        <v>1</v>
      </c>
      <c r="C482">
        <f>[5]trip_summary_region!C482</f>
        <v>2033</v>
      </c>
      <c r="D482">
        <f>[5]trip_summary_region!D482</f>
        <v>45</v>
      </c>
      <c r="E482">
        <f>[5]trip_summary_region!E482</f>
        <v>133</v>
      </c>
      <c r="F482">
        <f>[5]trip_summary_region!F482</f>
        <v>2.2301019987999999</v>
      </c>
      <c r="G482">
        <f>[5]trip_summary_region!G482</f>
        <v>5.8855402990999997</v>
      </c>
      <c r="H482">
        <f>[5]trip_summary_region!H482</f>
        <v>0.56242724690000001</v>
      </c>
      <c r="I482" t="str">
        <f>[5]trip_summary_region!I482</f>
        <v>Cyclist</v>
      </c>
      <c r="J482" t="str">
        <f>[5]trip_summary_region!J482</f>
        <v>2032/33</v>
      </c>
    </row>
    <row r="483" spans="1:10" x14ac:dyDescent="0.2">
      <c r="A483" t="str">
        <f>[5]trip_summary_region!A483</f>
        <v>07 TARANAKI</v>
      </c>
      <c r="B483">
        <f>[5]trip_summary_region!B483</f>
        <v>1</v>
      </c>
      <c r="C483">
        <f>[5]trip_summary_region!C483</f>
        <v>2038</v>
      </c>
      <c r="D483">
        <f>[5]trip_summary_region!D483</f>
        <v>45</v>
      </c>
      <c r="E483">
        <f>[5]trip_summary_region!E483</f>
        <v>133</v>
      </c>
      <c r="F483">
        <f>[5]trip_summary_region!F483</f>
        <v>2.1872703161999998</v>
      </c>
      <c r="G483">
        <f>[5]trip_summary_region!G483</f>
        <v>6.0333285656999998</v>
      </c>
      <c r="H483">
        <f>[5]trip_summary_region!H483</f>
        <v>0.57527845200000005</v>
      </c>
      <c r="I483" t="str">
        <f>[5]trip_summary_region!I483</f>
        <v>Cyclist</v>
      </c>
      <c r="J483" t="str">
        <f>[5]trip_summary_region!J483</f>
        <v>2037/38</v>
      </c>
    </row>
    <row r="484" spans="1:10" x14ac:dyDescent="0.2">
      <c r="A484" t="str">
        <f>[5]trip_summary_region!A484</f>
        <v>07 TARANAKI</v>
      </c>
      <c r="B484">
        <f>[5]trip_summary_region!B484</f>
        <v>1</v>
      </c>
      <c r="C484">
        <f>[5]trip_summary_region!C484</f>
        <v>2043</v>
      </c>
      <c r="D484">
        <f>[5]trip_summary_region!D484</f>
        <v>45</v>
      </c>
      <c r="E484">
        <f>[5]trip_summary_region!E484</f>
        <v>133</v>
      </c>
      <c r="F484">
        <f>[5]trip_summary_region!F484</f>
        <v>2.1480162570000001</v>
      </c>
      <c r="G484">
        <f>[5]trip_summary_region!G484</f>
        <v>6.2130300219999999</v>
      </c>
      <c r="H484">
        <f>[5]trip_summary_region!H484</f>
        <v>0.59059266180000003</v>
      </c>
      <c r="I484" t="str">
        <f>[5]trip_summary_region!I484</f>
        <v>Cyclist</v>
      </c>
      <c r="J484" t="str">
        <f>[5]trip_summary_region!J484</f>
        <v>2042/43</v>
      </c>
    </row>
    <row r="485" spans="1:10" x14ac:dyDescent="0.2">
      <c r="A485" t="str">
        <f>[5]trip_summary_region!A485</f>
        <v>07 TARANAKI</v>
      </c>
      <c r="B485">
        <f>[5]trip_summary_region!B485</f>
        <v>2</v>
      </c>
      <c r="C485">
        <f>[5]trip_summary_region!C485</f>
        <v>2013</v>
      </c>
      <c r="D485">
        <f>[5]trip_summary_region!D485</f>
        <v>575</v>
      </c>
      <c r="E485">
        <f>[5]trip_summary_region!E485</f>
        <v>4143</v>
      </c>
      <c r="F485">
        <f>[5]trip_summary_region!F485</f>
        <v>90.801950900999998</v>
      </c>
      <c r="G485">
        <f>[5]trip_summary_region!G485</f>
        <v>933.36875414999997</v>
      </c>
      <c r="H485">
        <f>[5]trip_summary_region!H485</f>
        <v>21.205429401</v>
      </c>
      <c r="I485" t="str">
        <f>[5]trip_summary_region!I485</f>
        <v>Light Vehicle Driver</v>
      </c>
      <c r="J485" t="str">
        <f>[5]trip_summary_region!J485</f>
        <v>2012/13</v>
      </c>
    </row>
    <row r="486" spans="1:10" x14ac:dyDescent="0.2">
      <c r="A486" t="str">
        <f>[5]trip_summary_region!A486</f>
        <v>07 TARANAKI</v>
      </c>
      <c r="B486">
        <f>[5]trip_summary_region!B486</f>
        <v>2</v>
      </c>
      <c r="C486">
        <f>[5]trip_summary_region!C486</f>
        <v>2018</v>
      </c>
      <c r="D486">
        <f>[5]trip_summary_region!D486</f>
        <v>575</v>
      </c>
      <c r="E486">
        <f>[5]trip_summary_region!E486</f>
        <v>4143</v>
      </c>
      <c r="F486">
        <f>[5]trip_summary_region!F486</f>
        <v>98.829148058000001</v>
      </c>
      <c r="G486">
        <f>[5]trip_summary_region!G486</f>
        <v>1030.4070336</v>
      </c>
      <c r="H486">
        <f>[5]trip_summary_region!H486</f>
        <v>23.281397449</v>
      </c>
      <c r="I486" t="str">
        <f>[5]trip_summary_region!I486</f>
        <v>Light Vehicle Driver</v>
      </c>
      <c r="J486" t="str">
        <f>[5]trip_summary_region!J486</f>
        <v>2017/18</v>
      </c>
    </row>
    <row r="487" spans="1:10" x14ac:dyDescent="0.2">
      <c r="A487" t="str">
        <f>[5]trip_summary_region!A487</f>
        <v>07 TARANAKI</v>
      </c>
      <c r="B487">
        <f>[5]trip_summary_region!B487</f>
        <v>2</v>
      </c>
      <c r="C487">
        <f>[5]trip_summary_region!C487</f>
        <v>2023</v>
      </c>
      <c r="D487">
        <f>[5]trip_summary_region!D487</f>
        <v>575</v>
      </c>
      <c r="E487">
        <f>[5]trip_summary_region!E487</f>
        <v>4143</v>
      </c>
      <c r="F487">
        <f>[5]trip_summary_region!F487</f>
        <v>104.55723299</v>
      </c>
      <c r="G487">
        <f>[5]trip_summary_region!G487</f>
        <v>1096.7968025</v>
      </c>
      <c r="H487">
        <f>[5]trip_summary_region!H487</f>
        <v>24.726116946000001</v>
      </c>
      <c r="I487" t="str">
        <f>[5]trip_summary_region!I487</f>
        <v>Light Vehicle Driver</v>
      </c>
      <c r="J487" t="str">
        <f>[5]trip_summary_region!J487</f>
        <v>2022/23</v>
      </c>
    </row>
    <row r="488" spans="1:10" x14ac:dyDescent="0.2">
      <c r="A488" t="str">
        <f>[5]trip_summary_region!A488</f>
        <v>07 TARANAKI</v>
      </c>
      <c r="B488">
        <f>[5]trip_summary_region!B488</f>
        <v>2</v>
      </c>
      <c r="C488">
        <f>[5]trip_summary_region!C488</f>
        <v>2028</v>
      </c>
      <c r="D488">
        <f>[5]trip_summary_region!D488</f>
        <v>575</v>
      </c>
      <c r="E488">
        <f>[5]trip_summary_region!E488</f>
        <v>4143</v>
      </c>
      <c r="F488">
        <f>[5]trip_summary_region!F488</f>
        <v>109.73771908000001</v>
      </c>
      <c r="G488">
        <f>[5]trip_summary_region!G488</f>
        <v>1146.8859440000001</v>
      </c>
      <c r="H488">
        <f>[5]trip_summary_region!H488</f>
        <v>25.934060488</v>
      </c>
      <c r="I488" t="str">
        <f>[5]trip_summary_region!I488</f>
        <v>Light Vehicle Driver</v>
      </c>
      <c r="J488" t="str">
        <f>[5]trip_summary_region!J488</f>
        <v>2027/28</v>
      </c>
    </row>
    <row r="489" spans="1:10" x14ac:dyDescent="0.2">
      <c r="A489" t="str">
        <f>[5]trip_summary_region!A489</f>
        <v>07 TARANAKI</v>
      </c>
      <c r="B489">
        <f>[5]trip_summary_region!B489</f>
        <v>2</v>
      </c>
      <c r="C489">
        <f>[5]trip_summary_region!C489</f>
        <v>2033</v>
      </c>
      <c r="D489">
        <f>[5]trip_summary_region!D489</f>
        <v>575</v>
      </c>
      <c r="E489">
        <f>[5]trip_summary_region!E489</f>
        <v>4143</v>
      </c>
      <c r="F489">
        <f>[5]trip_summary_region!F489</f>
        <v>112.61483174999999</v>
      </c>
      <c r="G489">
        <f>[5]trip_summary_region!G489</f>
        <v>1173.6042184</v>
      </c>
      <c r="H489">
        <f>[5]trip_summary_region!H489</f>
        <v>26.621935246</v>
      </c>
      <c r="I489" t="str">
        <f>[5]trip_summary_region!I489</f>
        <v>Light Vehicle Driver</v>
      </c>
      <c r="J489" t="str">
        <f>[5]trip_summary_region!J489</f>
        <v>2032/33</v>
      </c>
    </row>
    <row r="490" spans="1:10" x14ac:dyDescent="0.2">
      <c r="A490" t="str">
        <f>[5]trip_summary_region!A490</f>
        <v>07 TARANAKI</v>
      </c>
      <c r="B490">
        <f>[5]trip_summary_region!B490</f>
        <v>2</v>
      </c>
      <c r="C490">
        <f>[5]trip_summary_region!C490</f>
        <v>2038</v>
      </c>
      <c r="D490">
        <f>[5]trip_summary_region!D490</f>
        <v>575</v>
      </c>
      <c r="E490">
        <f>[5]trip_summary_region!E490</f>
        <v>4143</v>
      </c>
      <c r="F490">
        <f>[5]trip_summary_region!F490</f>
        <v>114.85457198</v>
      </c>
      <c r="G490">
        <f>[5]trip_summary_region!G490</f>
        <v>1206.7224369999999</v>
      </c>
      <c r="H490">
        <f>[5]trip_summary_region!H490</f>
        <v>27.314699483999998</v>
      </c>
      <c r="I490" t="str">
        <f>[5]trip_summary_region!I490</f>
        <v>Light Vehicle Driver</v>
      </c>
      <c r="J490" t="str">
        <f>[5]trip_summary_region!J490</f>
        <v>2037/38</v>
      </c>
    </row>
    <row r="491" spans="1:10" x14ac:dyDescent="0.2">
      <c r="A491" t="str">
        <f>[5]trip_summary_region!A491</f>
        <v>07 TARANAKI</v>
      </c>
      <c r="B491">
        <f>[5]trip_summary_region!B491</f>
        <v>2</v>
      </c>
      <c r="C491">
        <f>[5]trip_summary_region!C491</f>
        <v>2043</v>
      </c>
      <c r="D491">
        <f>[5]trip_summary_region!D491</f>
        <v>575</v>
      </c>
      <c r="E491">
        <f>[5]trip_summary_region!E491</f>
        <v>4143</v>
      </c>
      <c r="F491">
        <f>[5]trip_summary_region!F491</f>
        <v>116.39216145</v>
      </c>
      <c r="G491">
        <f>[5]trip_summary_region!G491</f>
        <v>1233.6395829000001</v>
      </c>
      <c r="H491">
        <f>[5]trip_summary_region!H491</f>
        <v>27.856270714000001</v>
      </c>
      <c r="I491" t="str">
        <f>[5]trip_summary_region!I491</f>
        <v>Light Vehicle Driver</v>
      </c>
      <c r="J491" t="str">
        <f>[5]trip_summary_region!J491</f>
        <v>2042/43</v>
      </c>
    </row>
    <row r="492" spans="1:10" x14ac:dyDescent="0.2">
      <c r="A492" t="str">
        <f>[5]trip_summary_region!A492</f>
        <v>07 TARANAKI</v>
      </c>
      <c r="B492">
        <f>[5]trip_summary_region!B492</f>
        <v>3</v>
      </c>
      <c r="C492">
        <f>[5]trip_summary_region!C492</f>
        <v>2013</v>
      </c>
      <c r="D492">
        <f>[5]trip_summary_region!D492</f>
        <v>446</v>
      </c>
      <c r="E492">
        <f>[5]trip_summary_region!E492</f>
        <v>2212</v>
      </c>
      <c r="F492">
        <f>[5]trip_summary_region!F492</f>
        <v>45.48406773</v>
      </c>
      <c r="G492">
        <f>[5]trip_summary_region!G492</f>
        <v>656.25872372000003</v>
      </c>
      <c r="H492">
        <f>[5]trip_summary_region!H492</f>
        <v>13.125178352000001</v>
      </c>
      <c r="I492" t="str">
        <f>[5]trip_summary_region!I492</f>
        <v>Light Vehicle Passenger</v>
      </c>
      <c r="J492" t="str">
        <f>[5]trip_summary_region!J492</f>
        <v>2012/13</v>
      </c>
    </row>
    <row r="493" spans="1:10" x14ac:dyDescent="0.2">
      <c r="A493" t="str">
        <f>[5]trip_summary_region!A493</f>
        <v>07 TARANAKI</v>
      </c>
      <c r="B493">
        <f>[5]trip_summary_region!B493</f>
        <v>3</v>
      </c>
      <c r="C493">
        <f>[5]trip_summary_region!C493</f>
        <v>2018</v>
      </c>
      <c r="D493">
        <f>[5]trip_summary_region!D493</f>
        <v>446</v>
      </c>
      <c r="E493">
        <f>[5]trip_summary_region!E493</f>
        <v>2212</v>
      </c>
      <c r="F493">
        <f>[5]trip_summary_region!F493</f>
        <v>46.789602082999998</v>
      </c>
      <c r="G493">
        <f>[5]trip_summary_region!G493</f>
        <v>671.37100128999998</v>
      </c>
      <c r="H493">
        <f>[5]trip_summary_region!H493</f>
        <v>13.447135551000001</v>
      </c>
      <c r="I493" t="str">
        <f>[5]trip_summary_region!I493</f>
        <v>Light Vehicle Passenger</v>
      </c>
      <c r="J493" t="str">
        <f>[5]trip_summary_region!J493</f>
        <v>2017/18</v>
      </c>
    </row>
    <row r="494" spans="1:10" x14ac:dyDescent="0.2">
      <c r="A494" t="str">
        <f>[5]trip_summary_region!A494</f>
        <v>07 TARANAKI</v>
      </c>
      <c r="B494">
        <f>[5]trip_summary_region!B494</f>
        <v>3</v>
      </c>
      <c r="C494">
        <f>[5]trip_summary_region!C494</f>
        <v>2023</v>
      </c>
      <c r="D494">
        <f>[5]trip_summary_region!D494</f>
        <v>446</v>
      </c>
      <c r="E494">
        <f>[5]trip_summary_region!E494</f>
        <v>2212</v>
      </c>
      <c r="F494">
        <f>[5]trip_summary_region!F494</f>
        <v>47.736279781</v>
      </c>
      <c r="G494">
        <f>[5]trip_summary_region!G494</f>
        <v>680.81954009000003</v>
      </c>
      <c r="H494">
        <f>[5]trip_summary_region!H494</f>
        <v>13.669036218</v>
      </c>
      <c r="I494" t="str">
        <f>[5]trip_summary_region!I494</f>
        <v>Light Vehicle Passenger</v>
      </c>
      <c r="J494" t="str">
        <f>[5]trip_summary_region!J494</f>
        <v>2022/23</v>
      </c>
    </row>
    <row r="495" spans="1:10" x14ac:dyDescent="0.2">
      <c r="A495" t="str">
        <f>[5]trip_summary_region!A495</f>
        <v>07 TARANAKI</v>
      </c>
      <c r="B495">
        <f>[5]trip_summary_region!B495</f>
        <v>3</v>
      </c>
      <c r="C495">
        <f>[5]trip_summary_region!C495</f>
        <v>2028</v>
      </c>
      <c r="D495">
        <f>[5]trip_summary_region!D495</f>
        <v>446</v>
      </c>
      <c r="E495">
        <f>[5]trip_summary_region!E495</f>
        <v>2212</v>
      </c>
      <c r="F495">
        <f>[5]trip_summary_region!F495</f>
        <v>48.644344506000003</v>
      </c>
      <c r="G495">
        <f>[5]trip_summary_region!G495</f>
        <v>694.11377503000006</v>
      </c>
      <c r="H495">
        <f>[5]trip_summary_region!H495</f>
        <v>13.960941639</v>
      </c>
      <c r="I495" t="str">
        <f>[5]trip_summary_region!I495</f>
        <v>Light Vehicle Passenger</v>
      </c>
      <c r="J495" t="str">
        <f>[5]trip_summary_region!J495</f>
        <v>2027/28</v>
      </c>
    </row>
    <row r="496" spans="1:10" x14ac:dyDescent="0.2">
      <c r="A496" t="str">
        <f>[5]trip_summary_region!A496</f>
        <v>07 TARANAKI</v>
      </c>
      <c r="B496">
        <f>[5]trip_summary_region!B496</f>
        <v>3</v>
      </c>
      <c r="C496">
        <f>[5]trip_summary_region!C496</f>
        <v>2033</v>
      </c>
      <c r="D496">
        <f>[5]trip_summary_region!D496</f>
        <v>446</v>
      </c>
      <c r="E496">
        <f>[5]trip_summary_region!E496</f>
        <v>2212</v>
      </c>
      <c r="F496">
        <f>[5]trip_summary_region!F496</f>
        <v>49.470646782000003</v>
      </c>
      <c r="G496">
        <f>[5]trip_summary_region!G496</f>
        <v>707.75371662999999</v>
      </c>
      <c r="H496">
        <f>[5]trip_summary_region!H496</f>
        <v>14.237306134000001</v>
      </c>
      <c r="I496" t="str">
        <f>[5]trip_summary_region!I496</f>
        <v>Light Vehicle Passenger</v>
      </c>
      <c r="J496" t="str">
        <f>[5]trip_summary_region!J496</f>
        <v>2032/33</v>
      </c>
    </row>
    <row r="497" spans="1:10" x14ac:dyDescent="0.2">
      <c r="A497" t="str">
        <f>[5]trip_summary_region!A497</f>
        <v>07 TARANAKI</v>
      </c>
      <c r="B497">
        <f>[5]trip_summary_region!B497</f>
        <v>3</v>
      </c>
      <c r="C497">
        <f>[5]trip_summary_region!C497</f>
        <v>2038</v>
      </c>
      <c r="D497">
        <f>[5]trip_summary_region!D497</f>
        <v>446</v>
      </c>
      <c r="E497">
        <f>[5]trip_summary_region!E497</f>
        <v>2212</v>
      </c>
      <c r="F497">
        <f>[5]trip_summary_region!F497</f>
        <v>49.910576480000003</v>
      </c>
      <c r="G497">
        <f>[5]trip_summary_region!G497</f>
        <v>711.29695937999998</v>
      </c>
      <c r="H497">
        <f>[5]trip_summary_region!H497</f>
        <v>14.337920617</v>
      </c>
      <c r="I497" t="str">
        <f>[5]trip_summary_region!I497</f>
        <v>Light Vehicle Passenger</v>
      </c>
      <c r="J497" t="str">
        <f>[5]trip_summary_region!J497</f>
        <v>2037/38</v>
      </c>
    </row>
    <row r="498" spans="1:10" x14ac:dyDescent="0.2">
      <c r="A498" t="str">
        <f>[5]trip_summary_region!A498</f>
        <v>07 TARANAKI</v>
      </c>
      <c r="B498">
        <f>[5]trip_summary_region!B498</f>
        <v>3</v>
      </c>
      <c r="C498">
        <f>[5]trip_summary_region!C498</f>
        <v>2043</v>
      </c>
      <c r="D498">
        <f>[5]trip_summary_region!D498</f>
        <v>446</v>
      </c>
      <c r="E498">
        <f>[5]trip_summary_region!E498</f>
        <v>2212</v>
      </c>
      <c r="F498">
        <f>[5]trip_summary_region!F498</f>
        <v>50.024051577999998</v>
      </c>
      <c r="G498">
        <f>[5]trip_summary_region!G498</f>
        <v>710.24495374000003</v>
      </c>
      <c r="H498">
        <f>[5]trip_summary_region!H498</f>
        <v>14.345690527</v>
      </c>
      <c r="I498" t="str">
        <f>[5]trip_summary_region!I498</f>
        <v>Light Vehicle Passenger</v>
      </c>
      <c r="J498" t="str">
        <f>[5]trip_summary_region!J498</f>
        <v>2042/43</v>
      </c>
    </row>
    <row r="499" spans="1:10" x14ac:dyDescent="0.2">
      <c r="A499" t="str">
        <f>[5]trip_summary_region!A499</f>
        <v>07 TARANAKI</v>
      </c>
      <c r="B499">
        <f>[5]trip_summary_region!B499</f>
        <v>4</v>
      </c>
      <c r="C499">
        <f>[5]trip_summary_region!C499</f>
        <v>2013</v>
      </c>
      <c r="D499">
        <f>[5]trip_summary_region!D499</f>
        <v>10</v>
      </c>
      <c r="E499">
        <f>[5]trip_summary_region!E499</f>
        <v>18</v>
      </c>
      <c r="F499">
        <f>[5]trip_summary_region!F499</f>
        <v>0.56194422089999996</v>
      </c>
      <c r="G499">
        <f>[5]trip_summary_region!G499</f>
        <v>1.1335038904000001</v>
      </c>
      <c r="H499">
        <f>[5]trip_summary_region!H499</f>
        <v>0.10005985589999999</v>
      </c>
      <c r="I499" t="s">
        <v>116</v>
      </c>
      <c r="J499" t="str">
        <f>[5]trip_summary_region!J499</f>
        <v>2012/13</v>
      </c>
    </row>
    <row r="500" spans="1:10" x14ac:dyDescent="0.2">
      <c r="A500" t="str">
        <f>[5]trip_summary_region!A500</f>
        <v>07 TARANAKI</v>
      </c>
      <c r="B500">
        <f>[5]trip_summary_region!B500</f>
        <v>4</v>
      </c>
      <c r="C500">
        <f>[5]trip_summary_region!C500</f>
        <v>2018</v>
      </c>
      <c r="D500">
        <f>[5]trip_summary_region!D500</f>
        <v>10</v>
      </c>
      <c r="E500">
        <f>[5]trip_summary_region!E500</f>
        <v>18</v>
      </c>
      <c r="F500">
        <f>[5]trip_summary_region!F500</f>
        <v>0.70425760110000002</v>
      </c>
      <c r="G500">
        <f>[5]trip_summary_region!G500</f>
        <v>1.4207678231</v>
      </c>
      <c r="H500">
        <f>[5]trip_summary_region!H500</f>
        <v>0.12599228160000001</v>
      </c>
      <c r="I500" t="s">
        <v>116</v>
      </c>
      <c r="J500" t="str">
        <f>[5]trip_summary_region!J500</f>
        <v>2017/18</v>
      </c>
    </row>
    <row r="501" spans="1:10" x14ac:dyDescent="0.2">
      <c r="A501" t="str">
        <f>[5]trip_summary_region!A501</f>
        <v>07 TARANAKI</v>
      </c>
      <c r="B501">
        <f>[5]trip_summary_region!B501</f>
        <v>4</v>
      </c>
      <c r="C501">
        <f>[5]trip_summary_region!C501</f>
        <v>2023</v>
      </c>
      <c r="D501">
        <f>[5]trip_summary_region!D501</f>
        <v>10</v>
      </c>
      <c r="E501">
        <f>[5]trip_summary_region!E501</f>
        <v>18</v>
      </c>
      <c r="F501">
        <f>[5]trip_summary_region!F501</f>
        <v>0.76416933480000004</v>
      </c>
      <c r="G501">
        <f>[5]trip_summary_region!G501</f>
        <v>1.5558763804</v>
      </c>
      <c r="H501">
        <f>[5]trip_summary_region!H501</f>
        <v>0.13717954590000001</v>
      </c>
      <c r="I501" t="s">
        <v>116</v>
      </c>
      <c r="J501" t="str">
        <f>[5]trip_summary_region!J501</f>
        <v>2022/23</v>
      </c>
    </row>
    <row r="502" spans="1:10" x14ac:dyDescent="0.2">
      <c r="A502" t="str">
        <f>[5]trip_summary_region!A502</f>
        <v>07 TARANAKI</v>
      </c>
      <c r="B502">
        <f>[5]trip_summary_region!B502</f>
        <v>4</v>
      </c>
      <c r="C502">
        <f>[5]trip_summary_region!C502</f>
        <v>2028</v>
      </c>
      <c r="D502">
        <f>[5]trip_summary_region!D502</f>
        <v>10</v>
      </c>
      <c r="E502">
        <f>[5]trip_summary_region!E502</f>
        <v>18</v>
      </c>
      <c r="F502">
        <f>[5]trip_summary_region!F502</f>
        <v>0.82882397009999997</v>
      </c>
      <c r="G502">
        <f>[5]trip_summary_region!G502</f>
        <v>1.7045988148</v>
      </c>
      <c r="H502">
        <f>[5]trip_summary_region!H502</f>
        <v>0.14945236610000001</v>
      </c>
      <c r="I502" t="s">
        <v>116</v>
      </c>
      <c r="J502" t="str">
        <f>[5]trip_summary_region!J502</f>
        <v>2027/28</v>
      </c>
    </row>
    <row r="503" spans="1:10" x14ac:dyDescent="0.2">
      <c r="A503" t="str">
        <f>[5]trip_summary_region!A503</f>
        <v>07 TARANAKI</v>
      </c>
      <c r="B503">
        <f>[5]trip_summary_region!B503</f>
        <v>4</v>
      </c>
      <c r="C503">
        <f>[5]trip_summary_region!C503</f>
        <v>2033</v>
      </c>
      <c r="D503">
        <f>[5]trip_summary_region!D503</f>
        <v>10</v>
      </c>
      <c r="E503">
        <f>[5]trip_summary_region!E503</f>
        <v>18</v>
      </c>
      <c r="F503">
        <f>[5]trip_summary_region!F503</f>
        <v>0.84637644479999996</v>
      </c>
      <c r="G503">
        <f>[5]trip_summary_region!G503</f>
        <v>1.7592393729</v>
      </c>
      <c r="H503">
        <f>[5]trip_summary_region!H503</f>
        <v>0.15388158669999999</v>
      </c>
      <c r="I503" t="s">
        <v>116</v>
      </c>
      <c r="J503" t="str">
        <f>[5]trip_summary_region!J503</f>
        <v>2032/33</v>
      </c>
    </row>
    <row r="504" spans="1:10" x14ac:dyDescent="0.2">
      <c r="A504" t="str">
        <f>[5]trip_summary_region!A504</f>
        <v>07 TARANAKI</v>
      </c>
      <c r="B504">
        <f>[5]trip_summary_region!B504</f>
        <v>4</v>
      </c>
      <c r="C504">
        <f>[5]trip_summary_region!C504</f>
        <v>2038</v>
      </c>
      <c r="D504">
        <f>[5]trip_summary_region!D504</f>
        <v>10</v>
      </c>
      <c r="E504">
        <f>[5]trip_summary_region!E504</f>
        <v>18</v>
      </c>
      <c r="F504">
        <f>[5]trip_summary_region!F504</f>
        <v>0.84661859809999995</v>
      </c>
      <c r="G504">
        <f>[5]trip_summary_region!G504</f>
        <v>1.7847134055</v>
      </c>
      <c r="H504">
        <f>[5]trip_summary_region!H504</f>
        <v>0.15421472250000001</v>
      </c>
      <c r="I504" t="s">
        <v>116</v>
      </c>
      <c r="J504" t="str">
        <f>[5]trip_summary_region!J504</f>
        <v>2037/38</v>
      </c>
    </row>
    <row r="505" spans="1:10" x14ac:dyDescent="0.2">
      <c r="A505" t="str">
        <f>[5]trip_summary_region!A505</f>
        <v>07 TARANAKI</v>
      </c>
      <c r="B505">
        <f>[5]trip_summary_region!B505</f>
        <v>4</v>
      </c>
      <c r="C505">
        <f>[5]trip_summary_region!C505</f>
        <v>2043</v>
      </c>
      <c r="D505">
        <f>[5]trip_summary_region!D505</f>
        <v>10</v>
      </c>
      <c r="E505">
        <f>[5]trip_summary_region!E505</f>
        <v>18</v>
      </c>
      <c r="F505">
        <f>[5]trip_summary_region!F505</f>
        <v>0.84012390069999998</v>
      </c>
      <c r="G505">
        <f>[5]trip_summary_region!G505</f>
        <v>1.7974090323</v>
      </c>
      <c r="H505">
        <f>[5]trip_summary_region!H505</f>
        <v>0.1533378906</v>
      </c>
      <c r="I505" t="s">
        <v>116</v>
      </c>
      <c r="J505" t="str">
        <f>[5]trip_summary_region!J505</f>
        <v>2042/43</v>
      </c>
    </row>
    <row r="506" spans="1:10" x14ac:dyDescent="0.2">
      <c r="A506" t="str">
        <f>[5]trip_summary_region!A506</f>
        <v>07 TARANAKI</v>
      </c>
      <c r="B506">
        <f>[5]trip_summary_region!B506</f>
        <v>5</v>
      </c>
      <c r="C506">
        <f>[5]trip_summary_region!C506</f>
        <v>2013</v>
      </c>
      <c r="D506">
        <f>[5]trip_summary_region!D506</f>
        <v>14</v>
      </c>
      <c r="E506">
        <f>[5]trip_summary_region!E506</f>
        <v>51</v>
      </c>
      <c r="F506">
        <f>[5]trip_summary_region!F506</f>
        <v>1.091812341</v>
      </c>
      <c r="G506">
        <f>[5]trip_summary_region!G506</f>
        <v>7.0100687938000004</v>
      </c>
      <c r="H506">
        <f>[5]trip_summary_region!H506</f>
        <v>0.25001806910000002</v>
      </c>
      <c r="I506" t="str">
        <f>[5]trip_summary_region!I506</f>
        <v>Motorcyclist</v>
      </c>
      <c r="J506" t="str">
        <f>[5]trip_summary_region!J506</f>
        <v>2012/13</v>
      </c>
    </row>
    <row r="507" spans="1:10" x14ac:dyDescent="0.2">
      <c r="A507" t="str">
        <f>[5]trip_summary_region!A507</f>
        <v>07 TARANAKI</v>
      </c>
      <c r="B507">
        <f>[5]trip_summary_region!B507</f>
        <v>5</v>
      </c>
      <c r="C507">
        <f>[5]trip_summary_region!C507</f>
        <v>2018</v>
      </c>
      <c r="D507">
        <f>[5]trip_summary_region!D507</f>
        <v>14</v>
      </c>
      <c r="E507">
        <f>[5]trip_summary_region!E507</f>
        <v>51</v>
      </c>
      <c r="F507">
        <f>[5]trip_summary_region!F507</f>
        <v>1.1649192491</v>
      </c>
      <c r="G507">
        <f>[5]trip_summary_region!G507</f>
        <v>7.4807696833000001</v>
      </c>
      <c r="H507">
        <f>[5]trip_summary_region!H507</f>
        <v>0.26559049680000002</v>
      </c>
      <c r="I507" t="str">
        <f>[5]trip_summary_region!I507</f>
        <v>Motorcyclist</v>
      </c>
      <c r="J507" t="str">
        <f>[5]trip_summary_region!J507</f>
        <v>2017/18</v>
      </c>
    </row>
    <row r="508" spans="1:10" x14ac:dyDescent="0.2">
      <c r="A508" t="str">
        <f>[5]trip_summary_region!A508</f>
        <v>07 TARANAKI</v>
      </c>
      <c r="B508">
        <f>[5]trip_summary_region!B508</f>
        <v>5</v>
      </c>
      <c r="C508">
        <f>[5]trip_summary_region!C508</f>
        <v>2023</v>
      </c>
      <c r="D508">
        <f>[5]trip_summary_region!D508</f>
        <v>14</v>
      </c>
      <c r="E508">
        <f>[5]trip_summary_region!E508</f>
        <v>51</v>
      </c>
      <c r="F508">
        <f>[5]trip_summary_region!F508</f>
        <v>1.1704893181</v>
      </c>
      <c r="G508">
        <f>[5]trip_summary_region!G508</f>
        <v>7.6268182706000003</v>
      </c>
      <c r="H508">
        <f>[5]trip_summary_region!H508</f>
        <v>0.27133442209999997</v>
      </c>
      <c r="I508" t="str">
        <f>[5]trip_summary_region!I508</f>
        <v>Motorcyclist</v>
      </c>
      <c r="J508" t="str">
        <f>[5]trip_summary_region!J508</f>
        <v>2022/23</v>
      </c>
    </row>
    <row r="509" spans="1:10" x14ac:dyDescent="0.2">
      <c r="A509" t="str">
        <f>[5]trip_summary_region!A509</f>
        <v>07 TARANAKI</v>
      </c>
      <c r="B509">
        <f>[5]trip_summary_region!B509</f>
        <v>5</v>
      </c>
      <c r="C509">
        <f>[5]trip_summary_region!C509</f>
        <v>2028</v>
      </c>
      <c r="D509">
        <f>[5]trip_summary_region!D509</f>
        <v>14</v>
      </c>
      <c r="E509">
        <f>[5]trip_summary_region!E509</f>
        <v>51</v>
      </c>
      <c r="F509">
        <f>[5]trip_summary_region!F509</f>
        <v>1.1127779010000001</v>
      </c>
      <c r="G509">
        <f>[5]trip_summary_region!G509</f>
        <v>7.6921804641999998</v>
      </c>
      <c r="H509">
        <f>[5]trip_summary_region!H509</f>
        <v>0.27123147819999999</v>
      </c>
      <c r="I509" t="str">
        <f>[5]trip_summary_region!I509</f>
        <v>Motorcyclist</v>
      </c>
      <c r="J509" t="str">
        <f>[5]trip_summary_region!J509</f>
        <v>2027/28</v>
      </c>
    </row>
    <row r="510" spans="1:10" x14ac:dyDescent="0.2">
      <c r="A510" t="str">
        <f>[5]trip_summary_region!A510</f>
        <v>07 TARANAKI</v>
      </c>
      <c r="B510">
        <f>[5]trip_summary_region!B510</f>
        <v>5</v>
      </c>
      <c r="C510">
        <f>[5]trip_summary_region!C510</f>
        <v>2033</v>
      </c>
      <c r="D510">
        <f>[5]trip_summary_region!D510</f>
        <v>14</v>
      </c>
      <c r="E510">
        <f>[5]trip_summary_region!E510</f>
        <v>51</v>
      </c>
      <c r="F510">
        <f>[5]trip_summary_region!F510</f>
        <v>1.0614523755</v>
      </c>
      <c r="G510">
        <f>[5]trip_summary_region!G510</f>
        <v>7.4629217925000004</v>
      </c>
      <c r="H510">
        <f>[5]trip_summary_region!H510</f>
        <v>0.26637803729999998</v>
      </c>
      <c r="I510" t="str">
        <f>[5]trip_summary_region!I510</f>
        <v>Motorcyclist</v>
      </c>
      <c r="J510" t="str">
        <f>[5]trip_summary_region!J510</f>
        <v>2032/33</v>
      </c>
    </row>
    <row r="511" spans="1:10" x14ac:dyDescent="0.2">
      <c r="A511" t="str">
        <f>[5]trip_summary_region!A511</f>
        <v>07 TARANAKI</v>
      </c>
      <c r="B511">
        <f>[5]trip_summary_region!B511</f>
        <v>5</v>
      </c>
      <c r="C511">
        <f>[5]trip_summary_region!C511</f>
        <v>2038</v>
      </c>
      <c r="D511">
        <f>[5]trip_summary_region!D511</f>
        <v>14</v>
      </c>
      <c r="E511">
        <f>[5]trip_summary_region!E511</f>
        <v>51</v>
      </c>
      <c r="F511">
        <f>[5]trip_summary_region!F511</f>
        <v>1.0454770438000001</v>
      </c>
      <c r="G511">
        <f>[5]trip_summary_region!G511</f>
        <v>7.1663810935000001</v>
      </c>
      <c r="H511">
        <f>[5]trip_summary_region!H511</f>
        <v>0.26206302879999999</v>
      </c>
      <c r="I511" t="str">
        <f>[5]trip_summary_region!I511</f>
        <v>Motorcyclist</v>
      </c>
      <c r="J511" t="str">
        <f>[5]trip_summary_region!J511</f>
        <v>2037/38</v>
      </c>
    </row>
    <row r="512" spans="1:10" x14ac:dyDescent="0.2">
      <c r="A512" t="str">
        <f>[5]trip_summary_region!A512</f>
        <v>07 TARANAKI</v>
      </c>
      <c r="B512">
        <f>[5]trip_summary_region!B512</f>
        <v>5</v>
      </c>
      <c r="C512">
        <f>[5]trip_summary_region!C512</f>
        <v>2043</v>
      </c>
      <c r="D512">
        <f>[5]trip_summary_region!D512</f>
        <v>14</v>
      </c>
      <c r="E512">
        <f>[5]trip_summary_region!E512</f>
        <v>51</v>
      </c>
      <c r="F512">
        <f>[5]trip_summary_region!F512</f>
        <v>1.0220426956999999</v>
      </c>
      <c r="G512">
        <f>[5]trip_summary_region!G512</f>
        <v>6.8511943505000001</v>
      </c>
      <c r="H512">
        <f>[5]trip_summary_region!H512</f>
        <v>0.2572607354</v>
      </c>
      <c r="I512" t="str">
        <f>[5]trip_summary_region!I512</f>
        <v>Motorcyclist</v>
      </c>
      <c r="J512" t="str">
        <f>[5]trip_summary_region!J512</f>
        <v>2042/43</v>
      </c>
    </row>
    <row r="513" spans="1:10" x14ac:dyDescent="0.2">
      <c r="A513" t="str">
        <f>[5]trip_summary_region!A513</f>
        <v>07 TARANAKI</v>
      </c>
      <c r="B513">
        <f>[5]trip_summary_region!B513</f>
        <v>6</v>
      </c>
      <c r="C513">
        <f>[5]trip_summary_region!C513</f>
        <v>2013</v>
      </c>
      <c r="D513">
        <f>[5]trip_summary_region!D513</f>
        <v>1</v>
      </c>
      <c r="E513">
        <f>[5]trip_summary_region!E513</f>
        <v>2</v>
      </c>
      <c r="F513">
        <f>[5]trip_summary_region!F513</f>
        <v>5.3266318100000001E-2</v>
      </c>
      <c r="G513">
        <f>[5]trip_summary_region!G513</f>
        <v>0.36455468079999997</v>
      </c>
      <c r="H513">
        <f>[5]trip_summary_region!H513</f>
        <v>8.8777196999999999E-3</v>
      </c>
      <c r="I513" t="str">
        <f>[5]trip_summary_region!I513</f>
        <v>Local Train</v>
      </c>
      <c r="J513" t="str">
        <f>[5]trip_summary_region!J513</f>
        <v>2012/13</v>
      </c>
    </row>
    <row r="514" spans="1:10" x14ac:dyDescent="0.2">
      <c r="A514" t="str">
        <f>[5]trip_summary_region!A514</f>
        <v>07 TARANAKI</v>
      </c>
      <c r="B514">
        <f>[5]trip_summary_region!B514</f>
        <v>6</v>
      </c>
      <c r="C514">
        <f>[5]trip_summary_region!C514</f>
        <v>2018</v>
      </c>
      <c r="D514">
        <f>[5]trip_summary_region!D514</f>
        <v>1</v>
      </c>
      <c r="E514">
        <f>[5]trip_summary_region!E514</f>
        <v>2</v>
      </c>
      <c r="F514">
        <f>[5]trip_summary_region!F514</f>
        <v>5.2612521799999999E-2</v>
      </c>
      <c r="G514">
        <f>[5]trip_summary_region!G514</f>
        <v>0.3600800992</v>
      </c>
      <c r="H514">
        <f>[5]trip_summary_region!H514</f>
        <v>8.7687536E-3</v>
      </c>
      <c r="I514" t="str">
        <f>[5]trip_summary_region!I514</f>
        <v>Local Train</v>
      </c>
      <c r="J514" t="str">
        <f>[5]trip_summary_region!J514</f>
        <v>2017/18</v>
      </c>
    </row>
    <row r="515" spans="1:10" x14ac:dyDescent="0.2">
      <c r="A515" t="str">
        <f>[5]trip_summary_region!A515</f>
        <v>07 TARANAKI</v>
      </c>
      <c r="B515">
        <f>[5]trip_summary_region!B515</f>
        <v>6</v>
      </c>
      <c r="C515">
        <f>[5]trip_summary_region!C515</f>
        <v>2023</v>
      </c>
      <c r="D515">
        <f>[5]trip_summary_region!D515</f>
        <v>1</v>
      </c>
      <c r="E515">
        <f>[5]trip_summary_region!E515</f>
        <v>2</v>
      </c>
      <c r="F515">
        <f>[5]trip_summary_region!F515</f>
        <v>4.9369590400000003E-2</v>
      </c>
      <c r="G515">
        <f>[5]trip_summary_region!G515</f>
        <v>0.33788547660000001</v>
      </c>
      <c r="H515">
        <f>[5]trip_summary_region!H515</f>
        <v>8.2282650999999998E-3</v>
      </c>
      <c r="I515" t="str">
        <f>[5]trip_summary_region!I515</f>
        <v>Local Train</v>
      </c>
      <c r="J515" t="str">
        <f>[5]trip_summary_region!J515</f>
        <v>2022/23</v>
      </c>
    </row>
    <row r="516" spans="1:10" x14ac:dyDescent="0.2">
      <c r="A516" t="str">
        <f>[5]trip_summary_region!A516</f>
        <v>07 TARANAKI</v>
      </c>
      <c r="B516">
        <f>[5]trip_summary_region!B516</f>
        <v>6</v>
      </c>
      <c r="C516">
        <f>[5]trip_summary_region!C516</f>
        <v>2028</v>
      </c>
      <c r="D516">
        <f>[5]trip_summary_region!D516</f>
        <v>1</v>
      </c>
      <c r="E516">
        <f>[5]trip_summary_region!E516</f>
        <v>2</v>
      </c>
      <c r="F516">
        <f>[5]trip_summary_region!F516</f>
        <v>4.9791018499999999E-2</v>
      </c>
      <c r="G516">
        <f>[5]trip_summary_region!G516</f>
        <v>0.34076973049999998</v>
      </c>
      <c r="H516">
        <f>[5]trip_summary_region!H516</f>
        <v>8.2985031000000001E-3</v>
      </c>
      <c r="I516" t="str">
        <f>[5]trip_summary_region!I516</f>
        <v>Local Train</v>
      </c>
      <c r="J516" t="str">
        <f>[5]trip_summary_region!J516</f>
        <v>2027/28</v>
      </c>
    </row>
    <row r="517" spans="1:10" x14ac:dyDescent="0.2">
      <c r="A517" t="str">
        <f>[5]trip_summary_region!A517</f>
        <v>07 TARANAKI</v>
      </c>
      <c r="B517">
        <f>[5]trip_summary_region!B517</f>
        <v>6</v>
      </c>
      <c r="C517">
        <f>[5]trip_summary_region!C517</f>
        <v>2033</v>
      </c>
      <c r="D517">
        <f>[5]trip_summary_region!D517</f>
        <v>1</v>
      </c>
      <c r="E517">
        <f>[5]trip_summary_region!E517</f>
        <v>2</v>
      </c>
      <c r="F517">
        <f>[5]trip_summary_region!F517</f>
        <v>5.6227820599999999E-2</v>
      </c>
      <c r="G517">
        <f>[5]trip_summary_region!G517</f>
        <v>0.38482320399999997</v>
      </c>
      <c r="H517">
        <f>[5]trip_summary_region!H517</f>
        <v>9.3713033999999994E-3</v>
      </c>
      <c r="I517" t="str">
        <f>[5]trip_summary_region!I517</f>
        <v>Local Train</v>
      </c>
      <c r="J517" t="str">
        <f>[5]trip_summary_region!J517</f>
        <v>2032/33</v>
      </c>
    </row>
    <row r="518" spans="1:10" x14ac:dyDescent="0.2">
      <c r="A518" t="str">
        <f>[5]trip_summary_region!A518</f>
        <v>07 TARANAKI</v>
      </c>
      <c r="B518">
        <f>[5]trip_summary_region!B518</f>
        <v>6</v>
      </c>
      <c r="C518">
        <f>[5]trip_summary_region!C518</f>
        <v>2038</v>
      </c>
      <c r="D518">
        <f>[5]trip_summary_region!D518</f>
        <v>1</v>
      </c>
      <c r="E518">
        <f>[5]trip_summary_region!E518</f>
        <v>2</v>
      </c>
      <c r="F518">
        <f>[5]trip_summary_region!F518</f>
        <v>6.7456151800000003E-2</v>
      </c>
      <c r="G518">
        <f>[5]trip_summary_region!G518</f>
        <v>0.46166990299999999</v>
      </c>
      <c r="H518">
        <f>[5]trip_summary_region!H518</f>
        <v>1.1242692E-2</v>
      </c>
      <c r="I518" t="str">
        <f>[5]trip_summary_region!I518</f>
        <v>Local Train</v>
      </c>
      <c r="J518" t="str">
        <f>[5]trip_summary_region!J518</f>
        <v>2037/38</v>
      </c>
    </row>
    <row r="519" spans="1:10" x14ac:dyDescent="0.2">
      <c r="A519" t="str">
        <f>[5]trip_summary_region!A519</f>
        <v>07 TARANAKI</v>
      </c>
      <c r="B519">
        <f>[5]trip_summary_region!B519</f>
        <v>6</v>
      </c>
      <c r="C519">
        <f>[5]trip_summary_region!C519</f>
        <v>2043</v>
      </c>
      <c r="D519">
        <f>[5]trip_summary_region!D519</f>
        <v>1</v>
      </c>
      <c r="E519">
        <f>[5]trip_summary_region!E519</f>
        <v>2</v>
      </c>
      <c r="F519">
        <f>[5]trip_summary_region!F519</f>
        <v>7.8870074999999998E-2</v>
      </c>
      <c r="G519">
        <f>[5]trip_summary_region!G519</f>
        <v>0.53978679330000001</v>
      </c>
      <c r="H519">
        <f>[5]trip_summary_region!H519</f>
        <v>1.3145012500000001E-2</v>
      </c>
      <c r="I519" t="str">
        <f>[5]trip_summary_region!I519</f>
        <v>Local Train</v>
      </c>
      <c r="J519" t="str">
        <f>[5]trip_summary_region!J519</f>
        <v>2042/43</v>
      </c>
    </row>
    <row r="520" spans="1:10" x14ac:dyDescent="0.2">
      <c r="A520" t="str">
        <f>[5]trip_summary_region!A520</f>
        <v>07 TARANAKI</v>
      </c>
      <c r="B520">
        <f>[5]trip_summary_region!B520</f>
        <v>7</v>
      </c>
      <c r="C520">
        <f>[5]trip_summary_region!C520</f>
        <v>2013</v>
      </c>
      <c r="D520">
        <f>[5]trip_summary_region!D520</f>
        <v>22</v>
      </c>
      <c r="E520">
        <f>[5]trip_summary_region!E520</f>
        <v>54</v>
      </c>
      <c r="F520">
        <f>[5]trip_summary_region!F520</f>
        <v>1.2787514622</v>
      </c>
      <c r="G520">
        <f>[5]trip_summary_region!G520</f>
        <v>14.084735078</v>
      </c>
      <c r="H520">
        <f>[5]trip_summary_region!H520</f>
        <v>0.4632962336</v>
      </c>
      <c r="I520" t="str">
        <f>[5]trip_summary_region!I520</f>
        <v>Local Bus</v>
      </c>
      <c r="J520" t="str">
        <f>[5]trip_summary_region!J520</f>
        <v>2012/13</v>
      </c>
    </row>
    <row r="521" spans="1:10" x14ac:dyDescent="0.2">
      <c r="A521" t="str">
        <f>[5]trip_summary_region!A521</f>
        <v>07 TARANAKI</v>
      </c>
      <c r="B521">
        <f>[5]trip_summary_region!B521</f>
        <v>7</v>
      </c>
      <c r="C521">
        <f>[5]trip_summary_region!C521</f>
        <v>2018</v>
      </c>
      <c r="D521">
        <f>[5]trip_summary_region!D521</f>
        <v>22</v>
      </c>
      <c r="E521">
        <f>[5]trip_summary_region!E521</f>
        <v>54</v>
      </c>
      <c r="F521">
        <f>[5]trip_summary_region!F521</f>
        <v>1.3400964418000001</v>
      </c>
      <c r="G521">
        <f>[5]trip_summary_region!G521</f>
        <v>15.572626061999999</v>
      </c>
      <c r="H521">
        <f>[5]trip_summary_region!H521</f>
        <v>0.48418283130000001</v>
      </c>
      <c r="I521" t="str">
        <f>[5]trip_summary_region!I521</f>
        <v>Local Bus</v>
      </c>
      <c r="J521" t="str">
        <f>[5]trip_summary_region!J521</f>
        <v>2017/18</v>
      </c>
    </row>
    <row r="522" spans="1:10" x14ac:dyDescent="0.2">
      <c r="A522" t="str">
        <f>[5]trip_summary_region!A522</f>
        <v>07 TARANAKI</v>
      </c>
      <c r="B522">
        <f>[5]trip_summary_region!B522</f>
        <v>7</v>
      </c>
      <c r="C522">
        <f>[5]trip_summary_region!C522</f>
        <v>2023</v>
      </c>
      <c r="D522">
        <f>[5]trip_summary_region!D522</f>
        <v>22</v>
      </c>
      <c r="E522">
        <f>[5]trip_summary_region!E522</f>
        <v>54</v>
      </c>
      <c r="F522">
        <f>[5]trip_summary_region!F522</f>
        <v>1.3867494829</v>
      </c>
      <c r="G522">
        <f>[5]trip_summary_region!G522</f>
        <v>16.507949225000001</v>
      </c>
      <c r="H522">
        <f>[5]trip_summary_region!H522</f>
        <v>0.4981098015</v>
      </c>
      <c r="I522" t="str">
        <f>[5]trip_summary_region!I522</f>
        <v>Local Bus</v>
      </c>
      <c r="J522" t="str">
        <f>[5]trip_summary_region!J522</f>
        <v>2022/23</v>
      </c>
    </row>
    <row r="523" spans="1:10" x14ac:dyDescent="0.2">
      <c r="A523" t="str">
        <f>[5]trip_summary_region!A523</f>
        <v>07 TARANAKI</v>
      </c>
      <c r="B523">
        <f>[5]trip_summary_region!B523</f>
        <v>7</v>
      </c>
      <c r="C523">
        <f>[5]trip_summary_region!C523</f>
        <v>2028</v>
      </c>
      <c r="D523">
        <f>[5]trip_summary_region!D523</f>
        <v>22</v>
      </c>
      <c r="E523">
        <f>[5]trip_summary_region!E523</f>
        <v>54</v>
      </c>
      <c r="F523">
        <f>[5]trip_summary_region!F523</f>
        <v>1.3918253411999999</v>
      </c>
      <c r="G523">
        <f>[5]trip_summary_region!G523</f>
        <v>16.684962707</v>
      </c>
      <c r="H523">
        <f>[5]trip_summary_region!H523</f>
        <v>0.49856022459999999</v>
      </c>
      <c r="I523" t="str">
        <f>[5]trip_summary_region!I523</f>
        <v>Local Bus</v>
      </c>
      <c r="J523" t="str">
        <f>[5]trip_summary_region!J523</f>
        <v>2027/28</v>
      </c>
    </row>
    <row r="524" spans="1:10" x14ac:dyDescent="0.2">
      <c r="A524" t="str">
        <f>[5]trip_summary_region!A524</f>
        <v>07 TARANAKI</v>
      </c>
      <c r="B524">
        <f>[5]trip_summary_region!B524</f>
        <v>7</v>
      </c>
      <c r="C524">
        <f>[5]trip_summary_region!C524</f>
        <v>2033</v>
      </c>
      <c r="D524">
        <f>[5]trip_summary_region!D524</f>
        <v>22</v>
      </c>
      <c r="E524">
        <f>[5]trip_summary_region!E524</f>
        <v>54</v>
      </c>
      <c r="F524">
        <f>[5]trip_summary_region!F524</f>
        <v>1.3744191311</v>
      </c>
      <c r="G524">
        <f>[5]trip_summary_region!G524</f>
        <v>16.600354116999998</v>
      </c>
      <c r="H524">
        <f>[5]trip_summary_region!H524</f>
        <v>0.49225892469999999</v>
      </c>
      <c r="I524" t="str">
        <f>[5]trip_summary_region!I524</f>
        <v>Local Bus</v>
      </c>
      <c r="J524" t="str">
        <f>[5]trip_summary_region!J524</f>
        <v>2032/33</v>
      </c>
    </row>
    <row r="525" spans="1:10" x14ac:dyDescent="0.2">
      <c r="A525" t="str">
        <f>[5]trip_summary_region!A525</f>
        <v>07 TARANAKI</v>
      </c>
      <c r="B525">
        <f>[5]trip_summary_region!B525</f>
        <v>7</v>
      </c>
      <c r="C525">
        <f>[5]trip_summary_region!C525</f>
        <v>2038</v>
      </c>
      <c r="D525">
        <f>[5]trip_summary_region!D525</f>
        <v>22</v>
      </c>
      <c r="E525">
        <f>[5]trip_summary_region!E525</f>
        <v>54</v>
      </c>
      <c r="F525">
        <f>[5]trip_summary_region!F525</f>
        <v>1.4049559479</v>
      </c>
      <c r="G525">
        <f>[5]trip_summary_region!G525</f>
        <v>17.625484579999998</v>
      </c>
      <c r="H525">
        <f>[5]trip_summary_region!H525</f>
        <v>0.50752752769999998</v>
      </c>
      <c r="I525" t="str">
        <f>[5]trip_summary_region!I525</f>
        <v>Local Bus</v>
      </c>
      <c r="J525" t="str">
        <f>[5]trip_summary_region!J525</f>
        <v>2037/38</v>
      </c>
    </row>
    <row r="526" spans="1:10" x14ac:dyDescent="0.2">
      <c r="A526" t="str">
        <f>[5]trip_summary_region!A526</f>
        <v>07 TARANAKI</v>
      </c>
      <c r="B526">
        <f>[5]trip_summary_region!B526</f>
        <v>7</v>
      </c>
      <c r="C526">
        <f>[5]trip_summary_region!C526</f>
        <v>2043</v>
      </c>
      <c r="D526">
        <f>[5]trip_summary_region!D526</f>
        <v>22</v>
      </c>
      <c r="E526">
        <f>[5]trip_summary_region!E526</f>
        <v>54</v>
      </c>
      <c r="F526">
        <f>[5]trip_summary_region!F526</f>
        <v>1.4307181484</v>
      </c>
      <c r="G526">
        <f>[5]trip_summary_region!G526</f>
        <v>18.629388036999998</v>
      </c>
      <c r="H526">
        <f>[5]trip_summary_region!H526</f>
        <v>0.52129328939999997</v>
      </c>
      <c r="I526" t="str">
        <f>[5]trip_summary_region!I526</f>
        <v>Local Bus</v>
      </c>
      <c r="J526" t="str">
        <f>[5]trip_summary_region!J526</f>
        <v>2042/43</v>
      </c>
    </row>
    <row r="527" spans="1:10" x14ac:dyDescent="0.2">
      <c r="A527" t="str">
        <f>[5]trip_summary_region!A527</f>
        <v>07 TARANAKI</v>
      </c>
      <c r="B527">
        <f>[5]trip_summary_region!B527</f>
        <v>9</v>
      </c>
      <c r="C527">
        <f>[5]trip_summary_region!C527</f>
        <v>2013</v>
      </c>
      <c r="D527">
        <f>[5]trip_summary_region!D527</f>
        <v>4</v>
      </c>
      <c r="E527">
        <f>[5]trip_summary_region!E527</f>
        <v>11</v>
      </c>
      <c r="F527">
        <f>[5]trip_summary_region!F527</f>
        <v>0.17475937220000001</v>
      </c>
      <c r="G527">
        <f>[5]trip_summary_region!G527</f>
        <v>0</v>
      </c>
      <c r="H527">
        <f>[5]trip_summary_region!H527</f>
        <v>5.6354069499999999E-2</v>
      </c>
      <c r="I527" t="str">
        <f>[5]trip_summary_region!I527</f>
        <v>Other Household Travel</v>
      </c>
      <c r="J527" t="str">
        <f>[5]trip_summary_region!J527</f>
        <v>2012/13</v>
      </c>
    </row>
    <row r="528" spans="1:10" x14ac:dyDescent="0.2">
      <c r="A528" t="str">
        <f>[5]trip_summary_region!A528</f>
        <v>07 TARANAKI</v>
      </c>
      <c r="B528">
        <f>[5]trip_summary_region!B528</f>
        <v>9</v>
      </c>
      <c r="C528">
        <f>[5]trip_summary_region!C528</f>
        <v>2018</v>
      </c>
      <c r="D528">
        <f>[5]trip_summary_region!D528</f>
        <v>4</v>
      </c>
      <c r="E528">
        <f>[5]trip_summary_region!E528</f>
        <v>11</v>
      </c>
      <c r="F528">
        <f>[5]trip_summary_region!F528</f>
        <v>0.18768948460000001</v>
      </c>
      <c r="G528">
        <f>[5]trip_summary_region!G528</f>
        <v>0</v>
      </c>
      <c r="H528">
        <f>[5]trip_summary_region!H528</f>
        <v>6.0078277800000003E-2</v>
      </c>
      <c r="I528" t="str">
        <f>[5]trip_summary_region!I528</f>
        <v>Other Household Travel</v>
      </c>
      <c r="J528" t="str">
        <f>[5]trip_summary_region!J528</f>
        <v>2017/18</v>
      </c>
    </row>
    <row r="529" spans="1:10" x14ac:dyDescent="0.2">
      <c r="A529" t="str">
        <f>[5]trip_summary_region!A529</f>
        <v>07 TARANAKI</v>
      </c>
      <c r="B529">
        <f>[5]trip_summary_region!B529</f>
        <v>9</v>
      </c>
      <c r="C529">
        <f>[5]trip_summary_region!C529</f>
        <v>2023</v>
      </c>
      <c r="D529">
        <f>[5]trip_summary_region!D529</f>
        <v>4</v>
      </c>
      <c r="E529">
        <f>[5]trip_summary_region!E529</f>
        <v>11</v>
      </c>
      <c r="F529">
        <f>[5]trip_summary_region!F529</f>
        <v>0.19767539840000001</v>
      </c>
      <c r="G529">
        <f>[5]trip_summary_region!G529</f>
        <v>0</v>
      </c>
      <c r="H529">
        <f>[5]trip_summary_region!H529</f>
        <v>6.3362251499999994E-2</v>
      </c>
      <c r="I529" t="str">
        <f>[5]trip_summary_region!I529</f>
        <v>Other Household Travel</v>
      </c>
      <c r="J529" t="str">
        <f>[5]trip_summary_region!J529</f>
        <v>2022/23</v>
      </c>
    </row>
    <row r="530" spans="1:10" x14ac:dyDescent="0.2">
      <c r="A530" t="str">
        <f>[5]trip_summary_region!A530</f>
        <v>07 TARANAKI</v>
      </c>
      <c r="B530">
        <f>[5]trip_summary_region!B530</f>
        <v>9</v>
      </c>
      <c r="C530">
        <f>[5]trip_summary_region!C530</f>
        <v>2028</v>
      </c>
      <c r="D530">
        <f>[5]trip_summary_region!D530</f>
        <v>4</v>
      </c>
      <c r="E530">
        <f>[5]trip_summary_region!E530</f>
        <v>11</v>
      </c>
      <c r="F530">
        <f>[5]trip_summary_region!F530</f>
        <v>0.20647612400000001</v>
      </c>
      <c r="G530">
        <f>[5]trip_summary_region!G530</f>
        <v>0</v>
      </c>
      <c r="H530">
        <f>[5]trip_summary_region!H530</f>
        <v>7.0292968299999994E-2</v>
      </c>
      <c r="I530" t="str">
        <f>[5]trip_summary_region!I530</f>
        <v>Other Household Travel</v>
      </c>
      <c r="J530" t="str">
        <f>[5]trip_summary_region!J530</f>
        <v>2027/28</v>
      </c>
    </row>
    <row r="531" spans="1:10" x14ac:dyDescent="0.2">
      <c r="A531" t="str">
        <f>[5]trip_summary_region!A531</f>
        <v>07 TARANAKI</v>
      </c>
      <c r="B531">
        <f>[5]trip_summary_region!B531</f>
        <v>9</v>
      </c>
      <c r="C531">
        <f>[5]trip_summary_region!C531</f>
        <v>2033</v>
      </c>
      <c r="D531">
        <f>[5]trip_summary_region!D531</f>
        <v>4</v>
      </c>
      <c r="E531">
        <f>[5]trip_summary_region!E531</f>
        <v>11</v>
      </c>
      <c r="F531">
        <f>[5]trip_summary_region!F531</f>
        <v>0.2271659358</v>
      </c>
      <c r="G531">
        <f>[5]trip_summary_region!G531</f>
        <v>0</v>
      </c>
      <c r="H531">
        <f>[5]trip_summary_region!H531</f>
        <v>8.2816069300000003E-2</v>
      </c>
      <c r="I531" t="str">
        <f>[5]trip_summary_region!I531</f>
        <v>Other Household Travel</v>
      </c>
      <c r="J531" t="str">
        <f>[5]trip_summary_region!J531</f>
        <v>2032/33</v>
      </c>
    </row>
    <row r="532" spans="1:10" x14ac:dyDescent="0.2">
      <c r="A532" t="str">
        <f>[5]trip_summary_region!A532</f>
        <v>07 TARANAKI</v>
      </c>
      <c r="B532">
        <f>[5]trip_summary_region!B532</f>
        <v>9</v>
      </c>
      <c r="C532">
        <f>[5]trip_summary_region!C532</f>
        <v>2038</v>
      </c>
      <c r="D532">
        <f>[5]trip_summary_region!D532</f>
        <v>4</v>
      </c>
      <c r="E532">
        <f>[5]trip_summary_region!E532</f>
        <v>11</v>
      </c>
      <c r="F532">
        <f>[5]trip_summary_region!F532</f>
        <v>0.24124982950000001</v>
      </c>
      <c r="G532">
        <f>[5]trip_summary_region!G532</f>
        <v>0</v>
      </c>
      <c r="H532">
        <f>[5]trip_summary_region!H532</f>
        <v>9.1173000099999998E-2</v>
      </c>
      <c r="I532" t="str">
        <f>[5]trip_summary_region!I532</f>
        <v>Other Household Travel</v>
      </c>
      <c r="J532" t="str">
        <f>[5]trip_summary_region!J532</f>
        <v>2037/38</v>
      </c>
    </row>
    <row r="533" spans="1:10" x14ac:dyDescent="0.2">
      <c r="A533" t="str">
        <f>[5]trip_summary_region!A533</f>
        <v>07 TARANAKI</v>
      </c>
      <c r="B533">
        <f>[5]trip_summary_region!B533</f>
        <v>9</v>
      </c>
      <c r="C533">
        <f>[5]trip_summary_region!C533</f>
        <v>2043</v>
      </c>
      <c r="D533">
        <f>[5]trip_summary_region!D533</f>
        <v>4</v>
      </c>
      <c r="E533">
        <f>[5]trip_summary_region!E533</f>
        <v>11</v>
      </c>
      <c r="F533">
        <f>[5]trip_summary_region!F533</f>
        <v>0.24826847990000001</v>
      </c>
      <c r="G533">
        <f>[5]trip_summary_region!G533</f>
        <v>0</v>
      </c>
      <c r="H533">
        <f>[5]trip_summary_region!H533</f>
        <v>9.5659178499999997E-2</v>
      </c>
      <c r="I533" t="str">
        <f>[5]trip_summary_region!I533</f>
        <v>Other Household Travel</v>
      </c>
      <c r="J533" t="str">
        <f>[5]trip_summary_region!J533</f>
        <v>2042/43</v>
      </c>
    </row>
    <row r="534" spans="1:10" x14ac:dyDescent="0.2">
      <c r="A534" t="str">
        <f>[5]trip_summary_region!A534</f>
        <v>07 TARANAKI</v>
      </c>
      <c r="B534">
        <f>[5]trip_summary_region!B534</f>
        <v>10</v>
      </c>
      <c r="C534">
        <f>[5]trip_summary_region!C534</f>
        <v>2013</v>
      </c>
      <c r="D534">
        <f>[5]trip_summary_region!D534</f>
        <v>7</v>
      </c>
      <c r="E534">
        <f>[5]trip_summary_region!E534</f>
        <v>9</v>
      </c>
      <c r="F534">
        <f>[5]trip_summary_region!F534</f>
        <v>0.31946750800000001</v>
      </c>
      <c r="G534">
        <f>[5]trip_summary_region!G534</f>
        <v>11.123016451</v>
      </c>
      <c r="H534">
        <f>[5]trip_summary_region!H534</f>
        <v>0.97687121219999995</v>
      </c>
      <c r="I534" t="str">
        <f>[5]trip_summary_region!I534</f>
        <v>Air/Non-Local PT</v>
      </c>
      <c r="J534" t="str">
        <f>[5]trip_summary_region!J534</f>
        <v>2012/13</v>
      </c>
    </row>
    <row r="535" spans="1:10" x14ac:dyDescent="0.2">
      <c r="A535" t="str">
        <f>[5]trip_summary_region!A535</f>
        <v>07 TARANAKI</v>
      </c>
      <c r="B535">
        <f>[5]trip_summary_region!B535</f>
        <v>10</v>
      </c>
      <c r="C535">
        <f>[5]trip_summary_region!C535</f>
        <v>2018</v>
      </c>
      <c r="D535">
        <f>[5]trip_summary_region!D535</f>
        <v>7</v>
      </c>
      <c r="E535">
        <f>[5]trip_summary_region!E535</f>
        <v>9</v>
      </c>
      <c r="F535">
        <f>[5]trip_summary_region!F535</f>
        <v>0.28338111840000002</v>
      </c>
      <c r="G535">
        <f>[5]trip_summary_region!G535</f>
        <v>12.170993531000001</v>
      </c>
      <c r="H535">
        <f>[5]trip_summary_region!H535</f>
        <v>0.86906801440000003</v>
      </c>
      <c r="I535" t="str">
        <f>[5]trip_summary_region!I535</f>
        <v>Air/Non-Local PT</v>
      </c>
      <c r="J535" t="str">
        <f>[5]trip_summary_region!J535</f>
        <v>2017/18</v>
      </c>
    </row>
    <row r="536" spans="1:10" x14ac:dyDescent="0.2">
      <c r="A536" t="str">
        <f>[5]trip_summary_region!A536</f>
        <v>07 TARANAKI</v>
      </c>
      <c r="B536">
        <f>[5]trip_summary_region!B536</f>
        <v>10</v>
      </c>
      <c r="C536">
        <f>[5]trip_summary_region!C536</f>
        <v>2023</v>
      </c>
      <c r="D536">
        <f>[5]trip_summary_region!D536</f>
        <v>7</v>
      </c>
      <c r="E536">
        <f>[5]trip_summary_region!E536</f>
        <v>9</v>
      </c>
      <c r="F536">
        <f>[5]trip_summary_region!F536</f>
        <v>0.26520832119999999</v>
      </c>
      <c r="G536">
        <f>[5]trip_summary_region!G536</f>
        <v>14.416035902000001</v>
      </c>
      <c r="H536">
        <f>[5]trip_summary_region!H536</f>
        <v>0.82019585920000004</v>
      </c>
      <c r="I536" t="str">
        <f>[5]trip_summary_region!I536</f>
        <v>Air/Non-Local PT</v>
      </c>
      <c r="J536" t="str">
        <f>[5]trip_summary_region!J536</f>
        <v>2022/23</v>
      </c>
    </row>
    <row r="537" spans="1:10" x14ac:dyDescent="0.2">
      <c r="A537" t="str">
        <f>[5]trip_summary_region!A537</f>
        <v>07 TARANAKI</v>
      </c>
      <c r="B537">
        <f>[5]trip_summary_region!B537</f>
        <v>10</v>
      </c>
      <c r="C537">
        <f>[5]trip_summary_region!C537</f>
        <v>2028</v>
      </c>
      <c r="D537">
        <f>[5]trip_summary_region!D537</f>
        <v>7</v>
      </c>
      <c r="E537">
        <f>[5]trip_summary_region!E537</f>
        <v>9</v>
      </c>
      <c r="F537">
        <f>[5]trip_summary_region!F537</f>
        <v>0.26565989569999998</v>
      </c>
      <c r="G537">
        <f>[5]trip_summary_region!G537</f>
        <v>17.554227151999999</v>
      </c>
      <c r="H537">
        <f>[5]trip_summary_region!H537</f>
        <v>0.82977491439999995</v>
      </c>
      <c r="I537" t="str">
        <f>[5]trip_summary_region!I537</f>
        <v>Air/Non-Local PT</v>
      </c>
      <c r="J537" t="str">
        <f>[5]trip_summary_region!J537</f>
        <v>2027/28</v>
      </c>
    </row>
    <row r="538" spans="1:10" x14ac:dyDescent="0.2">
      <c r="A538" t="str">
        <f>[5]trip_summary_region!A538</f>
        <v>07 TARANAKI</v>
      </c>
      <c r="B538">
        <f>[5]trip_summary_region!B538</f>
        <v>10</v>
      </c>
      <c r="C538">
        <f>[5]trip_summary_region!C538</f>
        <v>2033</v>
      </c>
      <c r="D538">
        <f>[5]trip_summary_region!D538</f>
        <v>7</v>
      </c>
      <c r="E538">
        <f>[5]trip_summary_region!E538</f>
        <v>9</v>
      </c>
      <c r="F538">
        <f>[5]trip_summary_region!F538</f>
        <v>0.26929494669999998</v>
      </c>
      <c r="G538">
        <f>[5]trip_summary_region!G538</f>
        <v>20.027282416999999</v>
      </c>
      <c r="H538">
        <f>[5]trip_summary_region!H538</f>
        <v>0.83900811050000002</v>
      </c>
      <c r="I538" t="str">
        <f>[5]trip_summary_region!I538</f>
        <v>Air/Non-Local PT</v>
      </c>
      <c r="J538" t="str">
        <f>[5]trip_summary_region!J538</f>
        <v>2032/33</v>
      </c>
    </row>
    <row r="539" spans="1:10" x14ac:dyDescent="0.2">
      <c r="A539" t="str">
        <f>[5]trip_summary_region!A539</f>
        <v>07 TARANAKI</v>
      </c>
      <c r="B539">
        <f>[5]trip_summary_region!B539</f>
        <v>10</v>
      </c>
      <c r="C539">
        <f>[5]trip_summary_region!C539</f>
        <v>2038</v>
      </c>
      <c r="D539">
        <f>[5]trip_summary_region!D539</f>
        <v>7</v>
      </c>
      <c r="E539">
        <f>[5]trip_summary_region!E539</f>
        <v>9</v>
      </c>
      <c r="F539">
        <f>[5]trip_summary_region!F539</f>
        <v>0.27338680780000002</v>
      </c>
      <c r="G539">
        <f>[5]trip_summary_region!G539</f>
        <v>22.745818786000001</v>
      </c>
      <c r="H539">
        <f>[5]trip_summary_region!H539</f>
        <v>0.84323710460000001</v>
      </c>
      <c r="I539" t="str">
        <f>[5]trip_summary_region!I539</f>
        <v>Air/Non-Local PT</v>
      </c>
      <c r="J539" t="str">
        <f>[5]trip_summary_region!J539</f>
        <v>2037/38</v>
      </c>
    </row>
    <row r="540" spans="1:10" x14ac:dyDescent="0.2">
      <c r="A540" t="str">
        <f>[5]trip_summary_region!A540</f>
        <v>07 TARANAKI</v>
      </c>
      <c r="B540">
        <f>[5]trip_summary_region!B540</f>
        <v>10</v>
      </c>
      <c r="C540">
        <f>[5]trip_summary_region!C540</f>
        <v>2043</v>
      </c>
      <c r="D540">
        <f>[5]trip_summary_region!D540</f>
        <v>7</v>
      </c>
      <c r="E540">
        <f>[5]trip_summary_region!E540</f>
        <v>9</v>
      </c>
      <c r="F540">
        <f>[5]trip_summary_region!F540</f>
        <v>0.27434432240000001</v>
      </c>
      <c r="G540">
        <f>[5]trip_summary_region!G540</f>
        <v>25.373302433999999</v>
      </c>
      <c r="H540">
        <f>[5]trip_summary_region!H540</f>
        <v>0.83934105820000005</v>
      </c>
      <c r="I540" t="str">
        <f>[5]trip_summary_region!I540</f>
        <v>Air/Non-Local PT</v>
      </c>
      <c r="J540" t="str">
        <f>[5]trip_summary_region!J540</f>
        <v>2042/43</v>
      </c>
    </row>
    <row r="541" spans="1:10" x14ac:dyDescent="0.2">
      <c r="A541" t="str">
        <f>[5]trip_summary_region!A541</f>
        <v>07 TARANAKI</v>
      </c>
      <c r="B541">
        <f>[5]trip_summary_region!B541</f>
        <v>11</v>
      </c>
      <c r="C541">
        <f>[5]trip_summary_region!C541</f>
        <v>2013</v>
      </c>
      <c r="D541">
        <f>[5]trip_summary_region!D541</f>
        <v>28</v>
      </c>
      <c r="E541">
        <f>[5]trip_summary_region!E541</f>
        <v>118</v>
      </c>
      <c r="F541">
        <f>[5]trip_summary_region!F541</f>
        <v>3.0516698092999999</v>
      </c>
      <c r="G541">
        <f>[5]trip_summary_region!G541</f>
        <v>51.301529111999997</v>
      </c>
      <c r="H541">
        <f>[5]trip_summary_region!H541</f>
        <v>1.1153896443</v>
      </c>
      <c r="I541" t="str">
        <f>[5]trip_summary_region!I541</f>
        <v>Non-Household Travel</v>
      </c>
      <c r="J541" t="str">
        <f>[5]trip_summary_region!J541</f>
        <v>2012/13</v>
      </c>
    </row>
    <row r="542" spans="1:10" x14ac:dyDescent="0.2">
      <c r="A542" t="str">
        <f>[5]trip_summary_region!A542</f>
        <v>07 TARANAKI</v>
      </c>
      <c r="B542">
        <f>[5]trip_summary_region!B542</f>
        <v>11</v>
      </c>
      <c r="C542">
        <f>[5]trip_summary_region!C542</f>
        <v>2018</v>
      </c>
      <c r="D542">
        <f>[5]trip_summary_region!D542</f>
        <v>28</v>
      </c>
      <c r="E542">
        <f>[5]trip_summary_region!E542</f>
        <v>118</v>
      </c>
      <c r="F542">
        <f>[5]trip_summary_region!F542</f>
        <v>3.4559365399000002</v>
      </c>
      <c r="G542">
        <f>[5]trip_summary_region!G542</f>
        <v>57.562658221</v>
      </c>
      <c r="H542">
        <f>[5]trip_summary_region!H542</f>
        <v>1.2745156098999999</v>
      </c>
      <c r="I542" t="str">
        <f>[5]trip_summary_region!I542</f>
        <v>Non-Household Travel</v>
      </c>
      <c r="J542" t="str">
        <f>[5]trip_summary_region!J542</f>
        <v>2017/18</v>
      </c>
    </row>
    <row r="543" spans="1:10" x14ac:dyDescent="0.2">
      <c r="A543" t="str">
        <f>[5]trip_summary_region!A543</f>
        <v>07 TARANAKI</v>
      </c>
      <c r="B543">
        <f>[5]trip_summary_region!B543</f>
        <v>11</v>
      </c>
      <c r="C543">
        <f>[5]trip_summary_region!C543</f>
        <v>2023</v>
      </c>
      <c r="D543">
        <f>[5]trip_summary_region!D543</f>
        <v>28</v>
      </c>
      <c r="E543">
        <f>[5]trip_summary_region!E543</f>
        <v>118</v>
      </c>
      <c r="F543">
        <f>[5]trip_summary_region!F543</f>
        <v>3.7738785840000002</v>
      </c>
      <c r="G543">
        <f>[5]trip_summary_region!G543</f>
        <v>62.016907021999998</v>
      </c>
      <c r="H543">
        <f>[5]trip_summary_region!H543</f>
        <v>1.3966196653</v>
      </c>
      <c r="I543" t="str">
        <f>[5]trip_summary_region!I543</f>
        <v>Non-Household Travel</v>
      </c>
      <c r="J543" t="str">
        <f>[5]trip_summary_region!J543</f>
        <v>2022/23</v>
      </c>
    </row>
    <row r="544" spans="1:10" x14ac:dyDescent="0.2">
      <c r="A544" t="str">
        <f>[5]trip_summary_region!A544</f>
        <v>07 TARANAKI</v>
      </c>
      <c r="B544">
        <f>[5]trip_summary_region!B544</f>
        <v>11</v>
      </c>
      <c r="C544">
        <f>[5]trip_summary_region!C544</f>
        <v>2028</v>
      </c>
      <c r="D544">
        <f>[5]trip_summary_region!D544</f>
        <v>28</v>
      </c>
      <c r="E544">
        <f>[5]trip_summary_region!E544</f>
        <v>118</v>
      </c>
      <c r="F544">
        <f>[5]trip_summary_region!F544</f>
        <v>4.0027459057000003</v>
      </c>
      <c r="G544">
        <f>[5]trip_summary_region!G544</f>
        <v>63.930157483000002</v>
      </c>
      <c r="H544">
        <f>[5]trip_summary_region!H544</f>
        <v>1.4687199469000001</v>
      </c>
      <c r="I544" t="str">
        <f>[5]trip_summary_region!I544</f>
        <v>Non-Household Travel</v>
      </c>
      <c r="J544" t="str">
        <f>[5]trip_summary_region!J544</f>
        <v>2027/28</v>
      </c>
    </row>
    <row r="545" spans="1:10" x14ac:dyDescent="0.2">
      <c r="A545" t="str">
        <f>[5]trip_summary_region!A545</f>
        <v>07 TARANAKI</v>
      </c>
      <c r="B545">
        <f>[5]trip_summary_region!B545</f>
        <v>11</v>
      </c>
      <c r="C545">
        <f>[5]trip_summary_region!C545</f>
        <v>2033</v>
      </c>
      <c r="D545">
        <f>[5]trip_summary_region!D545</f>
        <v>28</v>
      </c>
      <c r="E545">
        <f>[5]trip_summary_region!E545</f>
        <v>118</v>
      </c>
      <c r="F545">
        <f>[5]trip_summary_region!F545</f>
        <v>4.1522334661000002</v>
      </c>
      <c r="G545">
        <f>[5]trip_summary_region!G545</f>
        <v>64.845388287999995</v>
      </c>
      <c r="H545">
        <f>[5]trip_summary_region!H545</f>
        <v>1.5037652992999999</v>
      </c>
      <c r="I545" t="str">
        <f>[5]trip_summary_region!I545</f>
        <v>Non-Household Travel</v>
      </c>
      <c r="J545" t="str">
        <f>[5]trip_summary_region!J545</f>
        <v>2032/33</v>
      </c>
    </row>
    <row r="546" spans="1:10" x14ac:dyDescent="0.2">
      <c r="A546" t="str">
        <f>[5]trip_summary_region!A546</f>
        <v>07 TARANAKI</v>
      </c>
      <c r="B546">
        <f>[5]trip_summary_region!B546</f>
        <v>11</v>
      </c>
      <c r="C546">
        <f>[5]trip_summary_region!C546</f>
        <v>2038</v>
      </c>
      <c r="D546">
        <f>[5]trip_summary_region!D546</f>
        <v>28</v>
      </c>
      <c r="E546">
        <f>[5]trip_summary_region!E546</f>
        <v>118</v>
      </c>
      <c r="F546">
        <f>[5]trip_summary_region!F546</f>
        <v>4.2604315131000003</v>
      </c>
      <c r="G546">
        <f>[5]trip_summary_region!G546</f>
        <v>65.246468590000006</v>
      </c>
      <c r="H546">
        <f>[5]trip_summary_region!H546</f>
        <v>1.5145743147999999</v>
      </c>
      <c r="I546" t="str">
        <f>[5]trip_summary_region!I546</f>
        <v>Non-Household Travel</v>
      </c>
      <c r="J546" t="str">
        <f>[5]trip_summary_region!J546</f>
        <v>2037/38</v>
      </c>
    </row>
    <row r="547" spans="1:10" x14ac:dyDescent="0.2">
      <c r="A547" t="str">
        <f>[5]trip_summary_region!A547</f>
        <v>07 TARANAKI</v>
      </c>
      <c r="B547">
        <f>[5]trip_summary_region!B547</f>
        <v>11</v>
      </c>
      <c r="C547">
        <f>[5]trip_summary_region!C547</f>
        <v>2043</v>
      </c>
      <c r="D547">
        <f>[5]trip_summary_region!D547</f>
        <v>28</v>
      </c>
      <c r="E547">
        <f>[5]trip_summary_region!E547</f>
        <v>118</v>
      </c>
      <c r="F547">
        <f>[5]trip_summary_region!F547</f>
        <v>4.3559730637999996</v>
      </c>
      <c r="G547">
        <f>[5]trip_summary_region!G547</f>
        <v>65.380802020999994</v>
      </c>
      <c r="H547">
        <f>[5]trip_summary_region!H547</f>
        <v>1.5186849748</v>
      </c>
      <c r="I547" t="str">
        <f>[5]trip_summary_region!I547</f>
        <v>Non-Household Travel</v>
      </c>
      <c r="J547" t="str">
        <f>[5]trip_summary_region!J547</f>
        <v>2042/43</v>
      </c>
    </row>
    <row r="548" spans="1:10" x14ac:dyDescent="0.2">
      <c r="A548" t="str">
        <f>[5]trip_summary_region!A548</f>
        <v>08 MANAWATU-WANGANUI</v>
      </c>
      <c r="B548">
        <f>[5]trip_summary_region!B548</f>
        <v>0</v>
      </c>
      <c r="C548">
        <f>[5]trip_summary_region!C548</f>
        <v>2013</v>
      </c>
      <c r="D548">
        <f>[5]trip_summary_region!D548</f>
        <v>214</v>
      </c>
      <c r="E548">
        <f>[5]trip_summary_region!E548</f>
        <v>797</v>
      </c>
      <c r="F548">
        <f>[5]trip_summary_region!F548</f>
        <v>39.544031846000003</v>
      </c>
      <c r="G548">
        <f>[5]trip_summary_region!G548</f>
        <v>32.265609755</v>
      </c>
      <c r="H548">
        <f>[5]trip_summary_region!H548</f>
        <v>8.3408449691000008</v>
      </c>
      <c r="I548" t="str">
        <f>[5]trip_summary_region!I548</f>
        <v>Pedestrian</v>
      </c>
      <c r="J548" t="str">
        <f>[5]trip_summary_region!J548</f>
        <v>2012/13</v>
      </c>
    </row>
    <row r="549" spans="1:10" x14ac:dyDescent="0.2">
      <c r="A549" t="str">
        <f>[5]trip_summary_region!A549</f>
        <v>08 MANAWATU-WANGANUI</v>
      </c>
      <c r="B549">
        <f>[5]trip_summary_region!B549</f>
        <v>0</v>
      </c>
      <c r="C549">
        <f>[5]trip_summary_region!C549</f>
        <v>2018</v>
      </c>
      <c r="D549">
        <f>[5]trip_summary_region!D549</f>
        <v>214</v>
      </c>
      <c r="E549">
        <f>[5]trip_summary_region!E549</f>
        <v>797</v>
      </c>
      <c r="F549">
        <f>[5]trip_summary_region!F549</f>
        <v>38.987712449999997</v>
      </c>
      <c r="G549">
        <f>[5]trip_summary_region!G549</f>
        <v>32.472223206999999</v>
      </c>
      <c r="H549">
        <f>[5]trip_summary_region!H549</f>
        <v>8.2510815033</v>
      </c>
      <c r="I549" t="str">
        <f>[5]trip_summary_region!I549</f>
        <v>Pedestrian</v>
      </c>
      <c r="J549" t="str">
        <f>[5]trip_summary_region!J549</f>
        <v>2017/18</v>
      </c>
    </row>
    <row r="550" spans="1:10" x14ac:dyDescent="0.2">
      <c r="A550" t="str">
        <f>[5]trip_summary_region!A550</f>
        <v>08 MANAWATU-WANGANUI</v>
      </c>
      <c r="B550">
        <f>[5]trip_summary_region!B550</f>
        <v>0</v>
      </c>
      <c r="C550">
        <f>[5]trip_summary_region!C550</f>
        <v>2023</v>
      </c>
      <c r="D550">
        <f>[5]trip_summary_region!D550</f>
        <v>214</v>
      </c>
      <c r="E550">
        <f>[5]trip_summary_region!E550</f>
        <v>797</v>
      </c>
      <c r="F550">
        <f>[5]trip_summary_region!F550</f>
        <v>37.888700374999999</v>
      </c>
      <c r="G550">
        <f>[5]trip_summary_region!G550</f>
        <v>31.9342158</v>
      </c>
      <c r="H550">
        <f>[5]trip_summary_region!H550</f>
        <v>7.9996800588000001</v>
      </c>
      <c r="I550" t="str">
        <f>[5]trip_summary_region!I550</f>
        <v>Pedestrian</v>
      </c>
      <c r="J550" t="str">
        <f>[5]trip_summary_region!J550</f>
        <v>2022/23</v>
      </c>
    </row>
    <row r="551" spans="1:10" x14ac:dyDescent="0.2">
      <c r="A551" t="str">
        <f>[5]trip_summary_region!A551</f>
        <v>08 MANAWATU-WANGANUI</v>
      </c>
      <c r="B551">
        <f>[5]trip_summary_region!B551</f>
        <v>0</v>
      </c>
      <c r="C551">
        <f>[5]trip_summary_region!C551</f>
        <v>2028</v>
      </c>
      <c r="D551">
        <f>[5]trip_summary_region!D551</f>
        <v>214</v>
      </c>
      <c r="E551">
        <f>[5]trip_summary_region!E551</f>
        <v>797</v>
      </c>
      <c r="F551">
        <f>[5]trip_summary_region!F551</f>
        <v>35.671980556000001</v>
      </c>
      <c r="G551">
        <f>[5]trip_summary_region!G551</f>
        <v>30.370979938000001</v>
      </c>
      <c r="H551">
        <f>[5]trip_summary_region!H551</f>
        <v>7.5246297603999999</v>
      </c>
      <c r="I551" t="str">
        <f>[5]trip_summary_region!I551</f>
        <v>Pedestrian</v>
      </c>
      <c r="J551" t="str">
        <f>[5]trip_summary_region!J551</f>
        <v>2027/28</v>
      </c>
    </row>
    <row r="552" spans="1:10" x14ac:dyDescent="0.2">
      <c r="A552" t="str">
        <f>[5]trip_summary_region!A552</f>
        <v>08 MANAWATU-WANGANUI</v>
      </c>
      <c r="B552">
        <f>[5]trip_summary_region!B552</f>
        <v>0</v>
      </c>
      <c r="C552">
        <f>[5]trip_summary_region!C552</f>
        <v>2033</v>
      </c>
      <c r="D552">
        <f>[5]trip_summary_region!D552</f>
        <v>214</v>
      </c>
      <c r="E552">
        <f>[5]trip_summary_region!E552</f>
        <v>797</v>
      </c>
      <c r="F552">
        <f>[5]trip_summary_region!F552</f>
        <v>33.782198725999997</v>
      </c>
      <c r="G552">
        <f>[5]trip_summary_region!G552</f>
        <v>28.795993660000001</v>
      </c>
      <c r="H552">
        <f>[5]trip_summary_region!H552</f>
        <v>7.0513708211999999</v>
      </c>
      <c r="I552" t="str">
        <f>[5]trip_summary_region!I552</f>
        <v>Pedestrian</v>
      </c>
      <c r="J552" t="str">
        <f>[5]trip_summary_region!J552</f>
        <v>2032/33</v>
      </c>
    </row>
    <row r="553" spans="1:10" x14ac:dyDescent="0.2">
      <c r="A553" t="str">
        <f>[5]trip_summary_region!A553</f>
        <v>08 MANAWATU-WANGANUI</v>
      </c>
      <c r="B553">
        <f>[5]trip_summary_region!B553</f>
        <v>0</v>
      </c>
      <c r="C553">
        <f>[5]trip_summary_region!C553</f>
        <v>2038</v>
      </c>
      <c r="D553">
        <f>[5]trip_summary_region!D553</f>
        <v>214</v>
      </c>
      <c r="E553">
        <f>[5]trip_summary_region!E553</f>
        <v>797</v>
      </c>
      <c r="F553">
        <f>[5]trip_summary_region!F553</f>
        <v>32.201159738000001</v>
      </c>
      <c r="G553">
        <f>[5]trip_summary_region!G553</f>
        <v>27.397459894000001</v>
      </c>
      <c r="H553">
        <f>[5]trip_summary_region!H553</f>
        <v>6.5938896463000001</v>
      </c>
      <c r="I553" t="str">
        <f>[5]trip_summary_region!I553</f>
        <v>Pedestrian</v>
      </c>
      <c r="J553" t="str">
        <f>[5]trip_summary_region!J553</f>
        <v>2037/38</v>
      </c>
    </row>
    <row r="554" spans="1:10" x14ac:dyDescent="0.2">
      <c r="A554" t="str">
        <f>[5]trip_summary_region!A554</f>
        <v>08 MANAWATU-WANGANUI</v>
      </c>
      <c r="B554">
        <f>[5]trip_summary_region!B554</f>
        <v>0</v>
      </c>
      <c r="C554">
        <f>[5]trip_summary_region!C554</f>
        <v>2043</v>
      </c>
      <c r="D554">
        <f>[5]trip_summary_region!D554</f>
        <v>214</v>
      </c>
      <c r="E554">
        <f>[5]trip_summary_region!E554</f>
        <v>797</v>
      </c>
      <c r="F554">
        <f>[5]trip_summary_region!F554</f>
        <v>30.751253462000001</v>
      </c>
      <c r="G554">
        <f>[5]trip_summary_region!G554</f>
        <v>26.146995049000001</v>
      </c>
      <c r="H554">
        <f>[5]trip_summary_region!H554</f>
        <v>6.1752002228</v>
      </c>
      <c r="I554" t="str">
        <f>[5]trip_summary_region!I554</f>
        <v>Pedestrian</v>
      </c>
      <c r="J554" t="str">
        <f>[5]trip_summary_region!J554</f>
        <v>2042/43</v>
      </c>
    </row>
    <row r="555" spans="1:10" x14ac:dyDescent="0.2">
      <c r="A555" t="str">
        <f>[5]trip_summary_region!A555</f>
        <v>08 MANAWATU-WANGANUI</v>
      </c>
      <c r="B555">
        <f>[5]trip_summary_region!B555</f>
        <v>1</v>
      </c>
      <c r="C555">
        <f>[5]trip_summary_region!C555</f>
        <v>2013</v>
      </c>
      <c r="D555">
        <f>[5]trip_summary_region!D555</f>
        <v>33</v>
      </c>
      <c r="E555">
        <f>[5]trip_summary_region!E555</f>
        <v>96</v>
      </c>
      <c r="F555">
        <f>[5]trip_summary_region!F555</f>
        <v>4.6745036201000003</v>
      </c>
      <c r="G555">
        <f>[5]trip_summary_region!G555</f>
        <v>20.722330986999999</v>
      </c>
      <c r="H555">
        <f>[5]trip_summary_region!H555</f>
        <v>1.7566260256999999</v>
      </c>
      <c r="I555" t="str">
        <f>[5]trip_summary_region!I555</f>
        <v>Cyclist</v>
      </c>
      <c r="J555" t="str">
        <f>[5]trip_summary_region!J555</f>
        <v>2012/13</v>
      </c>
    </row>
    <row r="556" spans="1:10" x14ac:dyDescent="0.2">
      <c r="A556" t="str">
        <f>[5]trip_summary_region!A556</f>
        <v>08 MANAWATU-WANGANUI</v>
      </c>
      <c r="B556">
        <f>[5]trip_summary_region!B556</f>
        <v>1</v>
      </c>
      <c r="C556">
        <f>[5]trip_summary_region!C556</f>
        <v>2018</v>
      </c>
      <c r="D556">
        <f>[5]trip_summary_region!D556</f>
        <v>33</v>
      </c>
      <c r="E556">
        <f>[5]trip_summary_region!E556</f>
        <v>96</v>
      </c>
      <c r="F556">
        <f>[5]trip_summary_region!F556</f>
        <v>4.9244934784999996</v>
      </c>
      <c r="G556">
        <f>[5]trip_summary_region!G556</f>
        <v>23.232432227</v>
      </c>
      <c r="H556">
        <f>[5]trip_summary_region!H556</f>
        <v>1.9305336439</v>
      </c>
      <c r="I556" t="str">
        <f>[5]trip_summary_region!I556</f>
        <v>Cyclist</v>
      </c>
      <c r="J556" t="str">
        <f>[5]trip_summary_region!J556</f>
        <v>2017/18</v>
      </c>
    </row>
    <row r="557" spans="1:10" x14ac:dyDescent="0.2">
      <c r="A557" t="str">
        <f>[5]trip_summary_region!A557</f>
        <v>08 MANAWATU-WANGANUI</v>
      </c>
      <c r="B557">
        <f>[5]trip_summary_region!B557</f>
        <v>1</v>
      </c>
      <c r="C557">
        <f>[5]trip_summary_region!C557</f>
        <v>2023</v>
      </c>
      <c r="D557">
        <f>[5]trip_summary_region!D557</f>
        <v>33</v>
      </c>
      <c r="E557">
        <f>[5]trip_summary_region!E557</f>
        <v>96</v>
      </c>
      <c r="F557">
        <f>[5]trip_summary_region!F557</f>
        <v>5.1421878522000002</v>
      </c>
      <c r="G557">
        <f>[5]trip_summary_region!G557</f>
        <v>24.825460721999999</v>
      </c>
      <c r="H557">
        <f>[5]trip_summary_region!H557</f>
        <v>2.0551213770999999</v>
      </c>
      <c r="I557" t="str">
        <f>[5]trip_summary_region!I557</f>
        <v>Cyclist</v>
      </c>
      <c r="J557" t="str">
        <f>[5]trip_summary_region!J557</f>
        <v>2022/23</v>
      </c>
    </row>
    <row r="558" spans="1:10" x14ac:dyDescent="0.2">
      <c r="A558" t="str">
        <f>[5]trip_summary_region!A558</f>
        <v>08 MANAWATU-WANGANUI</v>
      </c>
      <c r="B558">
        <f>[5]trip_summary_region!B558</f>
        <v>1</v>
      </c>
      <c r="C558">
        <f>[5]trip_summary_region!C558</f>
        <v>2028</v>
      </c>
      <c r="D558">
        <f>[5]trip_summary_region!D558</f>
        <v>33</v>
      </c>
      <c r="E558">
        <f>[5]trip_summary_region!E558</f>
        <v>96</v>
      </c>
      <c r="F558">
        <f>[5]trip_summary_region!F558</f>
        <v>5.3269579510999998</v>
      </c>
      <c r="G558">
        <f>[5]trip_summary_region!G558</f>
        <v>25.330350829</v>
      </c>
      <c r="H558">
        <f>[5]trip_summary_region!H558</f>
        <v>2.1241784716000001</v>
      </c>
      <c r="I558" t="str">
        <f>[5]trip_summary_region!I558</f>
        <v>Cyclist</v>
      </c>
      <c r="J558" t="str">
        <f>[5]trip_summary_region!J558</f>
        <v>2027/28</v>
      </c>
    </row>
    <row r="559" spans="1:10" x14ac:dyDescent="0.2">
      <c r="A559" t="str">
        <f>[5]trip_summary_region!A559</f>
        <v>08 MANAWATU-WANGANUI</v>
      </c>
      <c r="B559">
        <f>[5]trip_summary_region!B559</f>
        <v>1</v>
      </c>
      <c r="C559">
        <f>[5]trip_summary_region!C559</f>
        <v>2033</v>
      </c>
      <c r="D559">
        <f>[5]trip_summary_region!D559</f>
        <v>33</v>
      </c>
      <c r="E559">
        <f>[5]trip_summary_region!E559</f>
        <v>96</v>
      </c>
      <c r="F559">
        <f>[5]trip_summary_region!F559</f>
        <v>5.5309736680999997</v>
      </c>
      <c r="G559">
        <f>[5]trip_summary_region!G559</f>
        <v>25.676322209999999</v>
      </c>
      <c r="H559">
        <f>[5]trip_summary_region!H559</f>
        <v>2.1769150525000001</v>
      </c>
      <c r="I559" t="str">
        <f>[5]trip_summary_region!I559</f>
        <v>Cyclist</v>
      </c>
      <c r="J559" t="str">
        <f>[5]trip_summary_region!J559</f>
        <v>2032/33</v>
      </c>
    </row>
    <row r="560" spans="1:10" x14ac:dyDescent="0.2">
      <c r="A560" t="str">
        <f>[5]trip_summary_region!A560</f>
        <v>08 MANAWATU-WANGANUI</v>
      </c>
      <c r="B560">
        <f>[5]trip_summary_region!B560</f>
        <v>1</v>
      </c>
      <c r="C560">
        <f>[5]trip_summary_region!C560</f>
        <v>2038</v>
      </c>
      <c r="D560">
        <f>[5]trip_summary_region!D560</f>
        <v>33</v>
      </c>
      <c r="E560">
        <f>[5]trip_summary_region!E560</f>
        <v>96</v>
      </c>
      <c r="F560">
        <f>[5]trip_summary_region!F560</f>
        <v>5.5381007380999998</v>
      </c>
      <c r="G560">
        <f>[5]trip_summary_region!G560</f>
        <v>25.955105951</v>
      </c>
      <c r="H560">
        <f>[5]trip_summary_region!H560</f>
        <v>2.1825882433000001</v>
      </c>
      <c r="I560" t="str">
        <f>[5]trip_summary_region!I560</f>
        <v>Cyclist</v>
      </c>
      <c r="J560" t="str">
        <f>[5]trip_summary_region!J560</f>
        <v>2037/38</v>
      </c>
    </row>
    <row r="561" spans="1:10" x14ac:dyDescent="0.2">
      <c r="A561" t="str">
        <f>[5]trip_summary_region!A561</f>
        <v>08 MANAWATU-WANGANUI</v>
      </c>
      <c r="B561">
        <f>[5]trip_summary_region!B561</f>
        <v>1</v>
      </c>
      <c r="C561">
        <f>[5]trip_summary_region!C561</f>
        <v>2043</v>
      </c>
      <c r="D561">
        <f>[5]trip_summary_region!D561</f>
        <v>33</v>
      </c>
      <c r="E561">
        <f>[5]trip_summary_region!E561</f>
        <v>96</v>
      </c>
      <c r="F561">
        <f>[5]trip_summary_region!F561</f>
        <v>5.5103469655000001</v>
      </c>
      <c r="G561">
        <f>[5]trip_summary_region!G561</f>
        <v>26.151864316000001</v>
      </c>
      <c r="H561">
        <f>[5]trip_summary_region!H561</f>
        <v>2.1744827309999999</v>
      </c>
      <c r="I561" t="str">
        <f>[5]trip_summary_region!I561</f>
        <v>Cyclist</v>
      </c>
      <c r="J561" t="str">
        <f>[5]trip_summary_region!J561</f>
        <v>2042/43</v>
      </c>
    </row>
    <row r="562" spans="1:10" x14ac:dyDescent="0.2">
      <c r="A562" t="str">
        <f>[5]trip_summary_region!A562</f>
        <v>08 MANAWATU-WANGANUI</v>
      </c>
      <c r="B562">
        <f>[5]trip_summary_region!B562</f>
        <v>2</v>
      </c>
      <c r="C562">
        <f>[5]trip_summary_region!C562</f>
        <v>2013</v>
      </c>
      <c r="D562">
        <f>[5]trip_summary_region!D562</f>
        <v>588</v>
      </c>
      <c r="E562">
        <f>[5]trip_summary_region!E562</f>
        <v>4259</v>
      </c>
      <c r="F562">
        <f>[5]trip_summary_region!F562</f>
        <v>178.69640117</v>
      </c>
      <c r="G562">
        <f>[5]trip_summary_region!G562</f>
        <v>1782.4745101999999</v>
      </c>
      <c r="H562">
        <f>[5]trip_summary_region!H562</f>
        <v>42.09204356</v>
      </c>
      <c r="I562" t="str">
        <f>[5]trip_summary_region!I562</f>
        <v>Light Vehicle Driver</v>
      </c>
      <c r="J562" t="str">
        <f>[5]trip_summary_region!J562</f>
        <v>2012/13</v>
      </c>
    </row>
    <row r="563" spans="1:10" x14ac:dyDescent="0.2">
      <c r="A563" t="str">
        <f>[5]trip_summary_region!A563</f>
        <v>08 MANAWATU-WANGANUI</v>
      </c>
      <c r="B563">
        <f>[5]trip_summary_region!B563</f>
        <v>2</v>
      </c>
      <c r="C563">
        <f>[5]trip_summary_region!C563</f>
        <v>2018</v>
      </c>
      <c r="D563">
        <f>[5]trip_summary_region!D563</f>
        <v>588</v>
      </c>
      <c r="E563">
        <f>[5]trip_summary_region!E563</f>
        <v>4259</v>
      </c>
      <c r="F563">
        <f>[5]trip_summary_region!F563</f>
        <v>191.4185573</v>
      </c>
      <c r="G563">
        <f>[5]trip_summary_region!G563</f>
        <v>1929.1908393000001</v>
      </c>
      <c r="H563">
        <f>[5]trip_summary_region!H563</f>
        <v>45.494087706000002</v>
      </c>
      <c r="I563" t="str">
        <f>[5]trip_summary_region!I563</f>
        <v>Light Vehicle Driver</v>
      </c>
      <c r="J563" t="str">
        <f>[5]trip_summary_region!J563</f>
        <v>2017/18</v>
      </c>
    </row>
    <row r="564" spans="1:10" x14ac:dyDescent="0.2">
      <c r="A564" t="str">
        <f>[5]trip_summary_region!A564</f>
        <v>08 MANAWATU-WANGANUI</v>
      </c>
      <c r="B564">
        <f>[5]trip_summary_region!B564</f>
        <v>2</v>
      </c>
      <c r="C564">
        <f>[5]trip_summary_region!C564</f>
        <v>2023</v>
      </c>
      <c r="D564">
        <f>[5]trip_summary_region!D564</f>
        <v>588</v>
      </c>
      <c r="E564">
        <f>[5]trip_summary_region!E564</f>
        <v>4259</v>
      </c>
      <c r="F564">
        <f>[5]trip_summary_region!F564</f>
        <v>197.84965091000001</v>
      </c>
      <c r="G564">
        <f>[5]trip_summary_region!G564</f>
        <v>2016.6095092999999</v>
      </c>
      <c r="H564">
        <f>[5]trip_summary_region!H564</f>
        <v>47.364095306000003</v>
      </c>
      <c r="I564" t="str">
        <f>[5]trip_summary_region!I564</f>
        <v>Light Vehicle Driver</v>
      </c>
      <c r="J564" t="str">
        <f>[5]trip_summary_region!J564</f>
        <v>2022/23</v>
      </c>
    </row>
    <row r="565" spans="1:10" x14ac:dyDescent="0.2">
      <c r="A565" t="str">
        <f>[5]trip_summary_region!A565</f>
        <v>08 MANAWATU-WANGANUI</v>
      </c>
      <c r="B565">
        <f>[5]trip_summary_region!B565</f>
        <v>2</v>
      </c>
      <c r="C565">
        <f>[5]trip_summary_region!C565</f>
        <v>2028</v>
      </c>
      <c r="D565">
        <f>[5]trip_summary_region!D565</f>
        <v>588</v>
      </c>
      <c r="E565">
        <f>[5]trip_summary_region!E565</f>
        <v>4259</v>
      </c>
      <c r="F565">
        <f>[5]trip_summary_region!F565</f>
        <v>201.08049444</v>
      </c>
      <c r="G565">
        <f>[5]trip_summary_region!G565</f>
        <v>2083.5801848999999</v>
      </c>
      <c r="H565">
        <f>[5]trip_summary_region!H565</f>
        <v>48.518362148000001</v>
      </c>
      <c r="I565" t="str">
        <f>[5]trip_summary_region!I565</f>
        <v>Light Vehicle Driver</v>
      </c>
      <c r="J565" t="str">
        <f>[5]trip_summary_region!J565</f>
        <v>2027/28</v>
      </c>
    </row>
    <row r="566" spans="1:10" x14ac:dyDescent="0.2">
      <c r="A566" t="str">
        <f>[5]trip_summary_region!A566</f>
        <v>08 MANAWATU-WANGANUI</v>
      </c>
      <c r="B566">
        <f>[5]trip_summary_region!B566</f>
        <v>2</v>
      </c>
      <c r="C566">
        <f>[5]trip_summary_region!C566</f>
        <v>2033</v>
      </c>
      <c r="D566">
        <f>[5]trip_summary_region!D566</f>
        <v>588</v>
      </c>
      <c r="E566">
        <f>[5]trip_summary_region!E566</f>
        <v>4259</v>
      </c>
      <c r="F566">
        <f>[5]trip_summary_region!F566</f>
        <v>204.30798813999999</v>
      </c>
      <c r="G566">
        <f>[5]trip_summary_region!G566</f>
        <v>2133.9133953999999</v>
      </c>
      <c r="H566">
        <f>[5]trip_summary_region!H566</f>
        <v>49.459379597999998</v>
      </c>
      <c r="I566" t="str">
        <f>[5]trip_summary_region!I566</f>
        <v>Light Vehicle Driver</v>
      </c>
      <c r="J566" t="str">
        <f>[5]trip_summary_region!J566</f>
        <v>2032/33</v>
      </c>
    </row>
    <row r="567" spans="1:10" x14ac:dyDescent="0.2">
      <c r="A567" t="str">
        <f>[5]trip_summary_region!A567</f>
        <v>08 MANAWATU-WANGANUI</v>
      </c>
      <c r="B567">
        <f>[5]trip_summary_region!B567</f>
        <v>2</v>
      </c>
      <c r="C567">
        <f>[5]trip_summary_region!C567</f>
        <v>2038</v>
      </c>
      <c r="D567">
        <f>[5]trip_summary_region!D567</f>
        <v>588</v>
      </c>
      <c r="E567">
        <f>[5]trip_summary_region!E567</f>
        <v>4259</v>
      </c>
      <c r="F567">
        <f>[5]trip_summary_region!F567</f>
        <v>204.55844685</v>
      </c>
      <c r="G567">
        <f>[5]trip_summary_region!G567</f>
        <v>2151.8758292000002</v>
      </c>
      <c r="H567">
        <f>[5]trip_summary_region!H567</f>
        <v>49.635071173999997</v>
      </c>
      <c r="I567" t="str">
        <f>[5]trip_summary_region!I567</f>
        <v>Light Vehicle Driver</v>
      </c>
      <c r="J567" t="str">
        <f>[5]trip_summary_region!J567</f>
        <v>2037/38</v>
      </c>
    </row>
    <row r="568" spans="1:10" x14ac:dyDescent="0.2">
      <c r="A568" t="str">
        <f>[5]trip_summary_region!A568</f>
        <v>08 MANAWATU-WANGANUI</v>
      </c>
      <c r="B568">
        <f>[5]trip_summary_region!B568</f>
        <v>2</v>
      </c>
      <c r="C568">
        <f>[5]trip_summary_region!C568</f>
        <v>2043</v>
      </c>
      <c r="D568">
        <f>[5]trip_summary_region!D568</f>
        <v>588</v>
      </c>
      <c r="E568">
        <f>[5]trip_summary_region!E568</f>
        <v>4259</v>
      </c>
      <c r="F568">
        <f>[5]trip_summary_region!F568</f>
        <v>203.62099287999999</v>
      </c>
      <c r="G568">
        <f>[5]trip_summary_region!G568</f>
        <v>2157.6105106</v>
      </c>
      <c r="H568">
        <f>[5]trip_summary_region!H568</f>
        <v>49.509530228999999</v>
      </c>
      <c r="I568" t="str">
        <f>[5]trip_summary_region!I568</f>
        <v>Light Vehicle Driver</v>
      </c>
      <c r="J568" t="str">
        <f>[5]trip_summary_region!J568</f>
        <v>2042/43</v>
      </c>
    </row>
    <row r="569" spans="1:10" x14ac:dyDescent="0.2">
      <c r="A569" t="str">
        <f>[5]trip_summary_region!A569</f>
        <v>08 MANAWATU-WANGANUI</v>
      </c>
      <c r="B569">
        <f>[5]trip_summary_region!B569</f>
        <v>3</v>
      </c>
      <c r="C569">
        <f>[5]trip_summary_region!C569</f>
        <v>2013</v>
      </c>
      <c r="D569">
        <f>[5]trip_summary_region!D569</f>
        <v>425</v>
      </c>
      <c r="E569">
        <f>[5]trip_summary_region!E569</f>
        <v>2071</v>
      </c>
      <c r="F569">
        <f>[5]trip_summary_region!F569</f>
        <v>84.046137802999993</v>
      </c>
      <c r="G569">
        <f>[5]trip_summary_region!G569</f>
        <v>885.65568203999999</v>
      </c>
      <c r="H569">
        <f>[5]trip_summary_region!H569</f>
        <v>20.286542670999999</v>
      </c>
      <c r="I569" t="str">
        <f>[5]trip_summary_region!I569</f>
        <v>Light Vehicle Passenger</v>
      </c>
      <c r="J569" t="str">
        <f>[5]trip_summary_region!J569</f>
        <v>2012/13</v>
      </c>
    </row>
    <row r="570" spans="1:10" x14ac:dyDescent="0.2">
      <c r="A570" t="str">
        <f>[5]trip_summary_region!A570</f>
        <v>08 MANAWATU-WANGANUI</v>
      </c>
      <c r="B570">
        <f>[5]trip_summary_region!B570</f>
        <v>3</v>
      </c>
      <c r="C570">
        <f>[5]trip_summary_region!C570</f>
        <v>2018</v>
      </c>
      <c r="D570">
        <f>[5]trip_summary_region!D570</f>
        <v>425</v>
      </c>
      <c r="E570">
        <f>[5]trip_summary_region!E570</f>
        <v>2071</v>
      </c>
      <c r="F570">
        <f>[5]trip_summary_region!F570</f>
        <v>84.205850071</v>
      </c>
      <c r="G570">
        <f>[5]trip_summary_region!G570</f>
        <v>911.73408013000005</v>
      </c>
      <c r="H570">
        <f>[5]trip_summary_region!H570</f>
        <v>20.679045131999999</v>
      </c>
      <c r="I570" t="str">
        <f>[5]trip_summary_region!I570</f>
        <v>Light Vehicle Passenger</v>
      </c>
      <c r="J570" t="str">
        <f>[5]trip_summary_region!J570</f>
        <v>2017/18</v>
      </c>
    </row>
    <row r="571" spans="1:10" x14ac:dyDescent="0.2">
      <c r="A571" t="str">
        <f>[5]trip_summary_region!A571</f>
        <v>08 MANAWATU-WANGANUI</v>
      </c>
      <c r="B571">
        <f>[5]trip_summary_region!B571</f>
        <v>3</v>
      </c>
      <c r="C571">
        <f>[5]trip_summary_region!C571</f>
        <v>2023</v>
      </c>
      <c r="D571">
        <f>[5]trip_summary_region!D571</f>
        <v>425</v>
      </c>
      <c r="E571">
        <f>[5]trip_summary_region!E571</f>
        <v>2071</v>
      </c>
      <c r="F571">
        <f>[5]trip_summary_region!F571</f>
        <v>83.724366356999994</v>
      </c>
      <c r="G571">
        <f>[5]trip_summary_region!G571</f>
        <v>920.50579416999994</v>
      </c>
      <c r="H571">
        <f>[5]trip_summary_region!H571</f>
        <v>20.769843345999998</v>
      </c>
      <c r="I571" t="str">
        <f>[5]trip_summary_region!I571</f>
        <v>Light Vehicle Passenger</v>
      </c>
      <c r="J571" t="str">
        <f>[5]trip_summary_region!J571</f>
        <v>2022/23</v>
      </c>
    </row>
    <row r="572" spans="1:10" x14ac:dyDescent="0.2">
      <c r="A572" t="str">
        <f>[5]trip_summary_region!A572</f>
        <v>08 MANAWATU-WANGANUI</v>
      </c>
      <c r="B572">
        <f>[5]trip_summary_region!B572</f>
        <v>3</v>
      </c>
      <c r="C572">
        <f>[5]trip_summary_region!C572</f>
        <v>2028</v>
      </c>
      <c r="D572">
        <f>[5]trip_summary_region!D572</f>
        <v>425</v>
      </c>
      <c r="E572">
        <f>[5]trip_summary_region!E572</f>
        <v>2071</v>
      </c>
      <c r="F572">
        <f>[5]trip_summary_region!F572</f>
        <v>82.277715204000003</v>
      </c>
      <c r="G572">
        <f>[5]trip_summary_region!G572</f>
        <v>925.69040325000003</v>
      </c>
      <c r="H572">
        <f>[5]trip_summary_region!H572</f>
        <v>20.684412644999998</v>
      </c>
      <c r="I572" t="str">
        <f>[5]trip_summary_region!I572</f>
        <v>Light Vehicle Passenger</v>
      </c>
      <c r="J572" t="str">
        <f>[5]trip_summary_region!J572</f>
        <v>2027/28</v>
      </c>
    </row>
    <row r="573" spans="1:10" x14ac:dyDescent="0.2">
      <c r="A573" t="str">
        <f>[5]trip_summary_region!A573</f>
        <v>08 MANAWATU-WANGANUI</v>
      </c>
      <c r="B573">
        <f>[5]trip_summary_region!B573</f>
        <v>3</v>
      </c>
      <c r="C573">
        <f>[5]trip_summary_region!C573</f>
        <v>2033</v>
      </c>
      <c r="D573">
        <f>[5]trip_summary_region!D573</f>
        <v>425</v>
      </c>
      <c r="E573">
        <f>[5]trip_summary_region!E573</f>
        <v>2071</v>
      </c>
      <c r="F573">
        <f>[5]trip_summary_region!F573</f>
        <v>81.302944530000005</v>
      </c>
      <c r="G573">
        <f>[5]trip_summary_region!G573</f>
        <v>938.19745219000004</v>
      </c>
      <c r="H573">
        <f>[5]trip_summary_region!H573</f>
        <v>20.768273444999998</v>
      </c>
      <c r="I573" t="str">
        <f>[5]trip_summary_region!I573</f>
        <v>Light Vehicle Passenger</v>
      </c>
      <c r="J573" t="str">
        <f>[5]trip_summary_region!J573</f>
        <v>2032/33</v>
      </c>
    </row>
    <row r="574" spans="1:10" x14ac:dyDescent="0.2">
      <c r="A574" t="str">
        <f>[5]trip_summary_region!A574</f>
        <v>08 MANAWATU-WANGANUI</v>
      </c>
      <c r="B574">
        <f>[5]trip_summary_region!B574</f>
        <v>3</v>
      </c>
      <c r="C574">
        <f>[5]trip_summary_region!C574</f>
        <v>2038</v>
      </c>
      <c r="D574">
        <f>[5]trip_summary_region!D574</f>
        <v>425</v>
      </c>
      <c r="E574">
        <f>[5]trip_summary_region!E574</f>
        <v>2071</v>
      </c>
      <c r="F574">
        <f>[5]trip_summary_region!F574</f>
        <v>79.646301219999998</v>
      </c>
      <c r="G574">
        <f>[5]trip_summary_region!G574</f>
        <v>944.42787668999995</v>
      </c>
      <c r="H574">
        <f>[5]trip_summary_region!H574</f>
        <v>20.742935113000001</v>
      </c>
      <c r="I574" t="str">
        <f>[5]trip_summary_region!I574</f>
        <v>Light Vehicle Passenger</v>
      </c>
      <c r="J574" t="str">
        <f>[5]trip_summary_region!J574</f>
        <v>2037/38</v>
      </c>
    </row>
    <row r="575" spans="1:10" x14ac:dyDescent="0.2">
      <c r="A575" t="str">
        <f>[5]trip_summary_region!A575</f>
        <v>08 MANAWATU-WANGANUI</v>
      </c>
      <c r="B575">
        <f>[5]trip_summary_region!B575</f>
        <v>3</v>
      </c>
      <c r="C575">
        <f>[5]trip_summary_region!C575</f>
        <v>2043</v>
      </c>
      <c r="D575">
        <f>[5]trip_summary_region!D575</f>
        <v>425</v>
      </c>
      <c r="E575">
        <f>[5]trip_summary_region!E575</f>
        <v>2071</v>
      </c>
      <c r="F575">
        <f>[5]trip_summary_region!F575</f>
        <v>77.662367571000004</v>
      </c>
      <c r="G575">
        <f>[5]trip_summary_region!G575</f>
        <v>947.52497196000002</v>
      </c>
      <c r="H575">
        <f>[5]trip_summary_region!H575</f>
        <v>20.63650646</v>
      </c>
      <c r="I575" t="str">
        <f>[5]trip_summary_region!I575</f>
        <v>Light Vehicle Passenger</v>
      </c>
      <c r="J575" t="str">
        <f>[5]trip_summary_region!J575</f>
        <v>2042/43</v>
      </c>
    </row>
    <row r="576" spans="1:10" x14ac:dyDescent="0.2">
      <c r="A576" t="str">
        <f>[5]trip_summary_region!A576</f>
        <v>08 MANAWATU-WANGANUI</v>
      </c>
      <c r="B576">
        <f>[5]trip_summary_region!B576</f>
        <v>4</v>
      </c>
      <c r="C576">
        <f>[5]trip_summary_region!C576</f>
        <v>2013</v>
      </c>
      <c r="D576">
        <f>[5]trip_summary_region!D576</f>
        <v>16</v>
      </c>
      <c r="E576">
        <f>[5]trip_summary_region!E576</f>
        <v>32</v>
      </c>
      <c r="F576">
        <f>[5]trip_summary_region!F576</f>
        <v>0.99874441920000001</v>
      </c>
      <c r="G576">
        <f>[5]trip_summary_region!G576</f>
        <v>5.6344181790999999</v>
      </c>
      <c r="H576">
        <f>[5]trip_summary_region!H576</f>
        <v>0.26821620219999998</v>
      </c>
      <c r="I576" t="s">
        <v>116</v>
      </c>
      <c r="J576" t="str">
        <f>[5]trip_summary_region!J576</f>
        <v>2012/13</v>
      </c>
    </row>
    <row r="577" spans="1:10" x14ac:dyDescent="0.2">
      <c r="A577" t="str">
        <f>[5]trip_summary_region!A577</f>
        <v>08 MANAWATU-WANGANUI</v>
      </c>
      <c r="B577">
        <f>[5]trip_summary_region!B577</f>
        <v>4</v>
      </c>
      <c r="C577">
        <f>[5]trip_summary_region!C577</f>
        <v>2018</v>
      </c>
      <c r="D577">
        <f>[5]trip_summary_region!D577</f>
        <v>16</v>
      </c>
      <c r="E577">
        <f>[5]trip_summary_region!E577</f>
        <v>32</v>
      </c>
      <c r="F577">
        <f>[5]trip_summary_region!F577</f>
        <v>1.1052850506</v>
      </c>
      <c r="G577">
        <f>[5]trip_summary_region!G577</f>
        <v>6.8174429943000003</v>
      </c>
      <c r="H577">
        <f>[5]trip_summary_region!H577</f>
        <v>0.31967833109999999</v>
      </c>
      <c r="I577" t="s">
        <v>116</v>
      </c>
      <c r="J577" t="str">
        <f>[5]trip_summary_region!J577</f>
        <v>2017/18</v>
      </c>
    </row>
    <row r="578" spans="1:10" x14ac:dyDescent="0.2">
      <c r="A578" t="str">
        <f>[5]trip_summary_region!A578</f>
        <v>08 MANAWATU-WANGANUI</v>
      </c>
      <c r="B578">
        <f>[5]trip_summary_region!B578</f>
        <v>4</v>
      </c>
      <c r="C578">
        <f>[5]trip_summary_region!C578</f>
        <v>2023</v>
      </c>
      <c r="D578">
        <f>[5]trip_summary_region!D578</f>
        <v>16</v>
      </c>
      <c r="E578">
        <f>[5]trip_summary_region!E578</f>
        <v>32</v>
      </c>
      <c r="F578">
        <f>[5]trip_summary_region!F578</f>
        <v>1.1393188274999999</v>
      </c>
      <c r="G578">
        <f>[5]trip_summary_region!G578</f>
        <v>7.5063117402000001</v>
      </c>
      <c r="H578">
        <f>[5]trip_summary_region!H578</f>
        <v>0.3470837088</v>
      </c>
      <c r="I578" t="s">
        <v>116</v>
      </c>
      <c r="J578" t="str">
        <f>[5]trip_summary_region!J578</f>
        <v>2022/23</v>
      </c>
    </row>
    <row r="579" spans="1:10" x14ac:dyDescent="0.2">
      <c r="A579" t="str">
        <f>[5]trip_summary_region!A579</f>
        <v>08 MANAWATU-WANGANUI</v>
      </c>
      <c r="B579">
        <f>[5]trip_summary_region!B579</f>
        <v>4</v>
      </c>
      <c r="C579">
        <f>[5]trip_summary_region!C579</f>
        <v>2028</v>
      </c>
      <c r="D579">
        <f>[5]trip_summary_region!D579</f>
        <v>16</v>
      </c>
      <c r="E579">
        <f>[5]trip_summary_region!E579</f>
        <v>32</v>
      </c>
      <c r="F579">
        <f>[5]trip_summary_region!F579</f>
        <v>1.1104241131000001</v>
      </c>
      <c r="G579">
        <f>[5]trip_summary_region!G579</f>
        <v>7.7062494359000002</v>
      </c>
      <c r="H579">
        <f>[5]trip_summary_region!H579</f>
        <v>0.35159369559999998</v>
      </c>
      <c r="I579" t="s">
        <v>116</v>
      </c>
      <c r="J579" t="str">
        <f>[5]trip_summary_region!J579</f>
        <v>2027/28</v>
      </c>
    </row>
    <row r="580" spans="1:10" x14ac:dyDescent="0.2">
      <c r="A580" t="str">
        <f>[5]trip_summary_region!A580</f>
        <v>08 MANAWATU-WANGANUI</v>
      </c>
      <c r="B580">
        <f>[5]trip_summary_region!B580</f>
        <v>4</v>
      </c>
      <c r="C580">
        <f>[5]trip_summary_region!C580</f>
        <v>2033</v>
      </c>
      <c r="D580">
        <f>[5]trip_summary_region!D580</f>
        <v>16</v>
      </c>
      <c r="E580">
        <f>[5]trip_summary_region!E580</f>
        <v>32</v>
      </c>
      <c r="F580">
        <f>[5]trip_summary_region!F580</f>
        <v>1.0740239639</v>
      </c>
      <c r="G580">
        <f>[5]trip_summary_region!G580</f>
        <v>7.8481765190999999</v>
      </c>
      <c r="H580">
        <f>[5]trip_summary_region!H580</f>
        <v>0.35443381619999997</v>
      </c>
      <c r="I580" t="s">
        <v>116</v>
      </c>
      <c r="J580" t="str">
        <f>[5]trip_summary_region!J580</f>
        <v>2032/33</v>
      </c>
    </row>
    <row r="581" spans="1:10" x14ac:dyDescent="0.2">
      <c r="A581" t="str">
        <f>[5]trip_summary_region!A581</f>
        <v>08 MANAWATU-WANGANUI</v>
      </c>
      <c r="B581">
        <f>[5]trip_summary_region!B581</f>
        <v>4</v>
      </c>
      <c r="C581">
        <f>[5]trip_summary_region!C581</f>
        <v>2038</v>
      </c>
      <c r="D581">
        <f>[5]trip_summary_region!D581</f>
        <v>16</v>
      </c>
      <c r="E581">
        <f>[5]trip_summary_region!E581</f>
        <v>32</v>
      </c>
      <c r="F581">
        <f>[5]trip_summary_region!F581</f>
        <v>1.0908599788</v>
      </c>
      <c r="G581">
        <f>[5]trip_summary_region!G581</f>
        <v>8.4384813474999998</v>
      </c>
      <c r="H581">
        <f>[5]trip_summary_region!H581</f>
        <v>0.37746347130000002</v>
      </c>
      <c r="I581" t="s">
        <v>116</v>
      </c>
      <c r="J581" t="str">
        <f>[5]trip_summary_region!J581</f>
        <v>2037/38</v>
      </c>
    </row>
    <row r="582" spans="1:10" x14ac:dyDescent="0.2">
      <c r="A582" t="str">
        <f>[5]trip_summary_region!A582</f>
        <v>08 MANAWATU-WANGANUI</v>
      </c>
      <c r="B582">
        <f>[5]trip_summary_region!B582</f>
        <v>4</v>
      </c>
      <c r="C582">
        <f>[5]trip_summary_region!C582</f>
        <v>2043</v>
      </c>
      <c r="D582">
        <f>[5]trip_summary_region!D582</f>
        <v>16</v>
      </c>
      <c r="E582">
        <f>[5]trip_summary_region!E582</f>
        <v>32</v>
      </c>
      <c r="F582">
        <f>[5]trip_summary_region!F582</f>
        <v>1.1105439798000001</v>
      </c>
      <c r="G582">
        <f>[5]trip_summary_region!G582</f>
        <v>9.0666923347000008</v>
      </c>
      <c r="H582">
        <f>[5]trip_summary_region!H582</f>
        <v>0.40209950630000002</v>
      </c>
      <c r="I582" t="s">
        <v>116</v>
      </c>
      <c r="J582" t="str">
        <f>[5]trip_summary_region!J582</f>
        <v>2042/43</v>
      </c>
    </row>
    <row r="583" spans="1:10" x14ac:dyDescent="0.2">
      <c r="A583" t="str">
        <f>[5]trip_summary_region!A583</f>
        <v>08 MANAWATU-WANGANUI</v>
      </c>
      <c r="B583">
        <f>[5]trip_summary_region!B583</f>
        <v>5</v>
      </c>
      <c r="C583">
        <f>[5]trip_summary_region!C583</f>
        <v>2013</v>
      </c>
      <c r="D583">
        <f>[5]trip_summary_region!D583</f>
        <v>5</v>
      </c>
      <c r="E583">
        <f>[5]trip_summary_region!E583</f>
        <v>19</v>
      </c>
      <c r="F583">
        <f>[5]trip_summary_region!F583</f>
        <v>0.79000583589999995</v>
      </c>
      <c r="G583">
        <f>[5]trip_summary_region!G583</f>
        <v>3.8744282972000001</v>
      </c>
      <c r="H583">
        <f>[5]trip_summary_region!H583</f>
        <v>0.1643149203</v>
      </c>
      <c r="I583" t="str">
        <f>[5]trip_summary_region!I583</f>
        <v>Motorcyclist</v>
      </c>
      <c r="J583" t="str">
        <f>[5]trip_summary_region!J583</f>
        <v>2012/13</v>
      </c>
    </row>
    <row r="584" spans="1:10" x14ac:dyDescent="0.2">
      <c r="A584" t="str">
        <f>[5]trip_summary_region!A584</f>
        <v>08 MANAWATU-WANGANUI</v>
      </c>
      <c r="B584">
        <f>[5]trip_summary_region!B584</f>
        <v>5</v>
      </c>
      <c r="C584">
        <f>[5]trip_summary_region!C584</f>
        <v>2018</v>
      </c>
      <c r="D584">
        <f>[5]trip_summary_region!D584</f>
        <v>5</v>
      </c>
      <c r="E584">
        <f>[5]trip_summary_region!E584</f>
        <v>19</v>
      </c>
      <c r="F584">
        <f>[5]trip_summary_region!F584</f>
        <v>0.73075697289999997</v>
      </c>
      <c r="G584">
        <f>[5]trip_summary_region!G584</f>
        <v>4.2424287413000004</v>
      </c>
      <c r="H584">
        <f>[5]trip_summary_region!H584</f>
        <v>0.1586296264</v>
      </c>
      <c r="I584" t="str">
        <f>[5]trip_summary_region!I584</f>
        <v>Motorcyclist</v>
      </c>
      <c r="J584" t="str">
        <f>[5]trip_summary_region!J584</f>
        <v>2017/18</v>
      </c>
    </row>
    <row r="585" spans="1:10" x14ac:dyDescent="0.2">
      <c r="A585" t="str">
        <f>[5]trip_summary_region!A585</f>
        <v>08 MANAWATU-WANGANUI</v>
      </c>
      <c r="B585">
        <f>[5]trip_summary_region!B585</f>
        <v>5</v>
      </c>
      <c r="C585">
        <f>[5]trip_summary_region!C585</f>
        <v>2023</v>
      </c>
      <c r="D585">
        <f>[5]trip_summary_region!D585</f>
        <v>5</v>
      </c>
      <c r="E585">
        <f>[5]trip_summary_region!E585</f>
        <v>19</v>
      </c>
      <c r="F585">
        <f>[5]trip_summary_region!F585</f>
        <v>0.6554155411</v>
      </c>
      <c r="G585">
        <f>[5]trip_summary_region!G585</f>
        <v>4.3634941353999999</v>
      </c>
      <c r="H585">
        <f>[5]trip_summary_region!H585</f>
        <v>0.1479103464</v>
      </c>
      <c r="I585" t="str">
        <f>[5]trip_summary_region!I585</f>
        <v>Motorcyclist</v>
      </c>
      <c r="J585" t="str">
        <f>[5]trip_summary_region!J585</f>
        <v>2022/23</v>
      </c>
    </row>
    <row r="586" spans="1:10" x14ac:dyDescent="0.2">
      <c r="A586" t="str">
        <f>[5]trip_summary_region!A586</f>
        <v>08 MANAWATU-WANGANUI</v>
      </c>
      <c r="B586">
        <f>[5]trip_summary_region!B586</f>
        <v>5</v>
      </c>
      <c r="C586">
        <f>[5]trip_summary_region!C586</f>
        <v>2028</v>
      </c>
      <c r="D586">
        <f>[5]trip_summary_region!D586</f>
        <v>5</v>
      </c>
      <c r="E586">
        <f>[5]trip_summary_region!E586</f>
        <v>19</v>
      </c>
      <c r="F586">
        <f>[5]trip_summary_region!F586</f>
        <v>0.56565076120000002</v>
      </c>
      <c r="G586">
        <f>[5]trip_summary_region!G586</f>
        <v>4.2154012295000003</v>
      </c>
      <c r="H586">
        <f>[5]trip_summary_region!H586</f>
        <v>0.1322136283</v>
      </c>
      <c r="I586" t="str">
        <f>[5]trip_summary_region!I586</f>
        <v>Motorcyclist</v>
      </c>
      <c r="J586" t="str">
        <f>[5]trip_summary_region!J586</f>
        <v>2027/28</v>
      </c>
    </row>
    <row r="587" spans="1:10" x14ac:dyDescent="0.2">
      <c r="A587" t="str">
        <f>[5]trip_summary_region!A587</f>
        <v>08 MANAWATU-WANGANUI</v>
      </c>
      <c r="B587">
        <f>[5]trip_summary_region!B587</f>
        <v>5</v>
      </c>
      <c r="C587">
        <f>[5]trip_summary_region!C587</f>
        <v>2033</v>
      </c>
      <c r="D587">
        <f>[5]trip_summary_region!D587</f>
        <v>5</v>
      </c>
      <c r="E587">
        <f>[5]trip_summary_region!E587</f>
        <v>19</v>
      </c>
      <c r="F587">
        <f>[5]trip_summary_region!F587</f>
        <v>0.51590178379999996</v>
      </c>
      <c r="G587">
        <f>[5]trip_summary_region!G587</f>
        <v>4.0530033268999999</v>
      </c>
      <c r="H587">
        <f>[5]trip_summary_region!H587</f>
        <v>0.1228928438</v>
      </c>
      <c r="I587" t="str">
        <f>[5]trip_summary_region!I587</f>
        <v>Motorcyclist</v>
      </c>
      <c r="J587" t="str">
        <f>[5]trip_summary_region!J587</f>
        <v>2032/33</v>
      </c>
    </row>
    <row r="588" spans="1:10" x14ac:dyDescent="0.2">
      <c r="A588" t="str">
        <f>[5]trip_summary_region!A588</f>
        <v>08 MANAWATU-WANGANUI</v>
      </c>
      <c r="B588">
        <f>[5]trip_summary_region!B588</f>
        <v>5</v>
      </c>
      <c r="C588">
        <f>[5]trip_summary_region!C588</f>
        <v>2038</v>
      </c>
      <c r="D588">
        <f>[5]trip_summary_region!D588</f>
        <v>5</v>
      </c>
      <c r="E588">
        <f>[5]trip_summary_region!E588</f>
        <v>19</v>
      </c>
      <c r="F588">
        <f>[5]trip_summary_region!F588</f>
        <v>0.49502073730000001</v>
      </c>
      <c r="G588">
        <f>[5]trip_summary_region!G588</f>
        <v>3.9717111073</v>
      </c>
      <c r="H588">
        <f>[5]trip_summary_region!H588</f>
        <v>0.1190552377</v>
      </c>
      <c r="I588" t="str">
        <f>[5]trip_summary_region!I588</f>
        <v>Motorcyclist</v>
      </c>
      <c r="J588" t="str">
        <f>[5]trip_summary_region!J588</f>
        <v>2037/38</v>
      </c>
    </row>
    <row r="589" spans="1:10" x14ac:dyDescent="0.2">
      <c r="A589" t="str">
        <f>[5]trip_summary_region!A589</f>
        <v>08 MANAWATU-WANGANUI</v>
      </c>
      <c r="B589">
        <f>[5]trip_summary_region!B589</f>
        <v>5</v>
      </c>
      <c r="C589">
        <f>[5]trip_summary_region!C589</f>
        <v>2043</v>
      </c>
      <c r="D589">
        <f>[5]trip_summary_region!D589</f>
        <v>5</v>
      </c>
      <c r="E589">
        <f>[5]trip_summary_region!E589</f>
        <v>19</v>
      </c>
      <c r="F589">
        <f>[5]trip_summary_region!F589</f>
        <v>0.4673448791</v>
      </c>
      <c r="G589">
        <f>[5]trip_summary_region!G589</f>
        <v>3.8647357322000002</v>
      </c>
      <c r="H589">
        <f>[5]trip_summary_region!H589</f>
        <v>0.1138483235</v>
      </c>
      <c r="I589" t="str">
        <f>[5]trip_summary_region!I589</f>
        <v>Motorcyclist</v>
      </c>
      <c r="J589" t="str">
        <f>[5]trip_summary_region!J589</f>
        <v>2042/43</v>
      </c>
    </row>
    <row r="590" spans="1:10" x14ac:dyDescent="0.2">
      <c r="A590" t="str">
        <f>[5]trip_summary_region!A590</f>
        <v>08 MANAWATU-WANGANUI</v>
      </c>
      <c r="B590">
        <f>[5]trip_summary_region!B590</f>
        <v>7</v>
      </c>
      <c r="C590">
        <f>[5]trip_summary_region!C590</f>
        <v>2013</v>
      </c>
      <c r="D590">
        <f>[5]trip_summary_region!D590</f>
        <v>41</v>
      </c>
      <c r="E590">
        <f>[5]trip_summary_region!E590</f>
        <v>90</v>
      </c>
      <c r="F590">
        <f>[5]trip_summary_region!F590</f>
        <v>5.2110099151</v>
      </c>
      <c r="G590">
        <f>[5]trip_summary_region!G590</f>
        <v>39.768452936000003</v>
      </c>
      <c r="H590">
        <f>[5]trip_summary_region!H590</f>
        <v>1.7349616699999999</v>
      </c>
      <c r="I590" t="str">
        <f>[5]trip_summary_region!I590</f>
        <v>Local Bus</v>
      </c>
      <c r="J590" t="str">
        <f>[5]trip_summary_region!J590</f>
        <v>2012/13</v>
      </c>
    </row>
    <row r="591" spans="1:10" x14ac:dyDescent="0.2">
      <c r="A591" t="str">
        <f>[5]trip_summary_region!A591</f>
        <v>08 MANAWATU-WANGANUI</v>
      </c>
      <c r="B591">
        <f>[5]trip_summary_region!B591</f>
        <v>7</v>
      </c>
      <c r="C591">
        <f>[5]trip_summary_region!C591</f>
        <v>2018</v>
      </c>
      <c r="D591">
        <f>[5]trip_summary_region!D591</f>
        <v>41</v>
      </c>
      <c r="E591">
        <f>[5]trip_summary_region!E591</f>
        <v>90</v>
      </c>
      <c r="F591">
        <f>[5]trip_summary_region!F591</f>
        <v>4.7992741297999997</v>
      </c>
      <c r="G591">
        <f>[5]trip_summary_region!G591</f>
        <v>35.463637843000001</v>
      </c>
      <c r="H591">
        <f>[5]trip_summary_region!H591</f>
        <v>1.5928493693000001</v>
      </c>
      <c r="I591" t="str">
        <f>[5]trip_summary_region!I591</f>
        <v>Local Bus</v>
      </c>
      <c r="J591" t="str">
        <f>[5]trip_summary_region!J591</f>
        <v>2017/18</v>
      </c>
    </row>
    <row r="592" spans="1:10" x14ac:dyDescent="0.2">
      <c r="A592" t="str">
        <f>[5]trip_summary_region!A592</f>
        <v>08 MANAWATU-WANGANUI</v>
      </c>
      <c r="B592">
        <f>[5]trip_summary_region!B592</f>
        <v>7</v>
      </c>
      <c r="C592">
        <f>[5]trip_summary_region!C592</f>
        <v>2023</v>
      </c>
      <c r="D592">
        <f>[5]trip_summary_region!D592</f>
        <v>41</v>
      </c>
      <c r="E592">
        <f>[5]trip_summary_region!E592</f>
        <v>90</v>
      </c>
      <c r="F592">
        <f>[5]trip_summary_region!F592</f>
        <v>4.4664523108000003</v>
      </c>
      <c r="G592">
        <f>[5]trip_summary_region!G592</f>
        <v>32.262616164000001</v>
      </c>
      <c r="H592">
        <f>[5]trip_summary_region!H592</f>
        <v>1.4711924487000001</v>
      </c>
      <c r="I592" t="str">
        <f>[5]trip_summary_region!I592</f>
        <v>Local Bus</v>
      </c>
      <c r="J592" t="str">
        <f>[5]trip_summary_region!J592</f>
        <v>2022/23</v>
      </c>
    </row>
    <row r="593" spans="1:10" x14ac:dyDescent="0.2">
      <c r="A593" t="str">
        <f>[5]trip_summary_region!A593</f>
        <v>08 MANAWATU-WANGANUI</v>
      </c>
      <c r="B593">
        <f>[5]trip_summary_region!B593</f>
        <v>7</v>
      </c>
      <c r="C593">
        <f>[5]trip_summary_region!C593</f>
        <v>2028</v>
      </c>
      <c r="D593">
        <f>[5]trip_summary_region!D593</f>
        <v>41</v>
      </c>
      <c r="E593">
        <f>[5]trip_summary_region!E593</f>
        <v>90</v>
      </c>
      <c r="F593">
        <f>[5]trip_summary_region!F593</f>
        <v>4.22900104</v>
      </c>
      <c r="G593">
        <f>[5]trip_summary_region!G593</f>
        <v>29.967091243999999</v>
      </c>
      <c r="H593">
        <f>[5]trip_summary_region!H593</f>
        <v>1.3726948413</v>
      </c>
      <c r="I593" t="str">
        <f>[5]trip_summary_region!I593</f>
        <v>Local Bus</v>
      </c>
      <c r="J593" t="str">
        <f>[5]trip_summary_region!J593</f>
        <v>2027/28</v>
      </c>
    </row>
    <row r="594" spans="1:10" x14ac:dyDescent="0.2">
      <c r="A594" t="str">
        <f>[5]trip_summary_region!A594</f>
        <v>08 MANAWATU-WANGANUI</v>
      </c>
      <c r="B594">
        <f>[5]trip_summary_region!B594</f>
        <v>7</v>
      </c>
      <c r="C594">
        <f>[5]trip_summary_region!C594</f>
        <v>2033</v>
      </c>
      <c r="D594">
        <f>[5]trip_summary_region!D594</f>
        <v>41</v>
      </c>
      <c r="E594">
        <f>[5]trip_summary_region!E594</f>
        <v>90</v>
      </c>
      <c r="F594">
        <f>[5]trip_summary_region!F594</f>
        <v>3.9816103929</v>
      </c>
      <c r="G594">
        <f>[5]trip_summary_region!G594</f>
        <v>27.641163957</v>
      </c>
      <c r="H594">
        <f>[5]trip_summary_region!H594</f>
        <v>1.2829070495999999</v>
      </c>
      <c r="I594" t="str">
        <f>[5]trip_summary_region!I594</f>
        <v>Local Bus</v>
      </c>
      <c r="J594" t="str">
        <f>[5]trip_summary_region!J594</f>
        <v>2032/33</v>
      </c>
    </row>
    <row r="595" spans="1:10" x14ac:dyDescent="0.2">
      <c r="A595" t="str">
        <f>[5]trip_summary_region!A595</f>
        <v>08 MANAWATU-WANGANUI</v>
      </c>
      <c r="B595">
        <f>[5]trip_summary_region!B595</f>
        <v>7</v>
      </c>
      <c r="C595">
        <f>[5]trip_summary_region!C595</f>
        <v>2038</v>
      </c>
      <c r="D595">
        <f>[5]trip_summary_region!D595</f>
        <v>41</v>
      </c>
      <c r="E595">
        <f>[5]trip_summary_region!E595</f>
        <v>90</v>
      </c>
      <c r="F595">
        <f>[5]trip_summary_region!F595</f>
        <v>3.7525360292999999</v>
      </c>
      <c r="G595">
        <f>[5]trip_summary_region!G595</f>
        <v>25.645375153</v>
      </c>
      <c r="H595">
        <f>[5]trip_summary_region!H595</f>
        <v>1.1896391038</v>
      </c>
      <c r="I595" t="str">
        <f>[5]trip_summary_region!I595</f>
        <v>Local Bus</v>
      </c>
      <c r="J595" t="str">
        <f>[5]trip_summary_region!J595</f>
        <v>2037/38</v>
      </c>
    </row>
    <row r="596" spans="1:10" x14ac:dyDescent="0.2">
      <c r="A596" t="str">
        <f>[5]trip_summary_region!A596</f>
        <v>08 MANAWATU-WANGANUI</v>
      </c>
      <c r="B596">
        <f>[5]trip_summary_region!B596</f>
        <v>7</v>
      </c>
      <c r="C596">
        <f>[5]trip_summary_region!C596</f>
        <v>2043</v>
      </c>
      <c r="D596">
        <f>[5]trip_summary_region!D596</f>
        <v>41</v>
      </c>
      <c r="E596">
        <f>[5]trip_summary_region!E596</f>
        <v>90</v>
      </c>
      <c r="F596">
        <f>[5]trip_summary_region!F596</f>
        <v>3.4863763688999998</v>
      </c>
      <c r="G596">
        <f>[5]trip_summary_region!G596</f>
        <v>23.567949271</v>
      </c>
      <c r="H596">
        <f>[5]trip_summary_region!H596</f>
        <v>1.0887806358000001</v>
      </c>
      <c r="I596" t="str">
        <f>[5]trip_summary_region!I596</f>
        <v>Local Bus</v>
      </c>
      <c r="J596" t="str">
        <f>[5]trip_summary_region!J596</f>
        <v>2042/43</v>
      </c>
    </row>
    <row r="597" spans="1:10" x14ac:dyDescent="0.2">
      <c r="A597" t="str">
        <f>[5]trip_summary_region!A597</f>
        <v>08 MANAWATU-WANGANUI</v>
      </c>
      <c r="B597">
        <f>[5]trip_summary_region!B597</f>
        <v>8</v>
      </c>
      <c r="C597">
        <f>[5]trip_summary_region!C597</f>
        <v>2013</v>
      </c>
      <c r="D597">
        <f>[5]trip_summary_region!D597</f>
        <v>2</v>
      </c>
      <c r="E597">
        <f>[5]trip_summary_region!E597</f>
        <v>4</v>
      </c>
      <c r="F597">
        <f>[5]trip_summary_region!F597</f>
        <v>0.1068619116</v>
      </c>
      <c r="G597">
        <f>[5]trip_summary_region!G597</f>
        <v>0</v>
      </c>
      <c r="H597">
        <f>[5]trip_summary_region!H597</f>
        <v>1.3357739E-2</v>
      </c>
      <c r="I597" t="str">
        <f>[5]trip_summary_region!I597</f>
        <v>Local Ferry</v>
      </c>
      <c r="J597" t="str">
        <f>[5]trip_summary_region!J597</f>
        <v>2012/13</v>
      </c>
    </row>
    <row r="598" spans="1:10" x14ac:dyDescent="0.2">
      <c r="A598" t="str">
        <f>[5]trip_summary_region!A598</f>
        <v>08 MANAWATU-WANGANUI</v>
      </c>
      <c r="B598">
        <f>[5]trip_summary_region!B598</f>
        <v>8</v>
      </c>
      <c r="C598">
        <f>[5]trip_summary_region!C598</f>
        <v>2018</v>
      </c>
      <c r="D598">
        <f>[5]trip_summary_region!D598</f>
        <v>2</v>
      </c>
      <c r="E598">
        <f>[5]trip_summary_region!E598</f>
        <v>4</v>
      </c>
      <c r="F598">
        <f>[5]trip_summary_region!F598</f>
        <v>0.11976830550000001</v>
      </c>
      <c r="G598">
        <f>[5]trip_summary_region!G598</f>
        <v>0</v>
      </c>
      <c r="H598">
        <f>[5]trip_summary_region!H598</f>
        <v>1.49710382E-2</v>
      </c>
      <c r="I598" t="str">
        <f>[5]trip_summary_region!I598</f>
        <v>Local Ferry</v>
      </c>
      <c r="J598" t="str">
        <f>[5]trip_summary_region!J598</f>
        <v>2017/18</v>
      </c>
    </row>
    <row r="599" spans="1:10" x14ac:dyDescent="0.2">
      <c r="A599" t="str">
        <f>[5]trip_summary_region!A599</f>
        <v>08 MANAWATU-WANGANUI</v>
      </c>
      <c r="B599">
        <f>[5]trip_summary_region!B599</f>
        <v>8</v>
      </c>
      <c r="C599">
        <f>[5]trip_summary_region!C599</f>
        <v>2023</v>
      </c>
      <c r="D599">
        <f>[5]trip_summary_region!D599</f>
        <v>2</v>
      </c>
      <c r="E599">
        <f>[5]trip_summary_region!E599</f>
        <v>4</v>
      </c>
      <c r="F599">
        <f>[5]trip_summary_region!F599</f>
        <v>0.1275353591</v>
      </c>
      <c r="G599">
        <f>[5]trip_summary_region!G599</f>
        <v>0</v>
      </c>
      <c r="H599">
        <f>[5]trip_summary_region!H599</f>
        <v>1.59419199E-2</v>
      </c>
      <c r="I599" t="str">
        <f>[5]trip_summary_region!I599</f>
        <v>Local Ferry</v>
      </c>
      <c r="J599" t="str">
        <f>[5]trip_summary_region!J599</f>
        <v>2022/23</v>
      </c>
    </row>
    <row r="600" spans="1:10" x14ac:dyDescent="0.2">
      <c r="A600" t="str">
        <f>[5]trip_summary_region!A600</f>
        <v>08 MANAWATU-WANGANUI</v>
      </c>
      <c r="B600">
        <f>[5]trip_summary_region!B600</f>
        <v>8</v>
      </c>
      <c r="C600">
        <f>[5]trip_summary_region!C600</f>
        <v>2028</v>
      </c>
      <c r="D600">
        <f>[5]trip_summary_region!D600</f>
        <v>2</v>
      </c>
      <c r="E600">
        <f>[5]trip_summary_region!E600</f>
        <v>4</v>
      </c>
      <c r="F600">
        <f>[5]trip_summary_region!F600</f>
        <v>0.14090991310000001</v>
      </c>
      <c r="G600">
        <f>[5]trip_summary_region!G600</f>
        <v>0</v>
      </c>
      <c r="H600">
        <f>[5]trip_summary_region!H600</f>
        <v>1.7613739100000001E-2</v>
      </c>
      <c r="I600" t="str">
        <f>[5]trip_summary_region!I600</f>
        <v>Local Ferry</v>
      </c>
      <c r="J600" t="str">
        <f>[5]trip_summary_region!J600</f>
        <v>2027/28</v>
      </c>
    </row>
    <row r="601" spans="1:10" x14ac:dyDescent="0.2">
      <c r="A601" t="str">
        <f>[5]trip_summary_region!A601</f>
        <v>08 MANAWATU-WANGANUI</v>
      </c>
      <c r="B601">
        <f>[5]trip_summary_region!B601</f>
        <v>8</v>
      </c>
      <c r="C601">
        <f>[5]trip_summary_region!C601</f>
        <v>2033</v>
      </c>
      <c r="D601">
        <f>[5]trip_summary_region!D601</f>
        <v>2</v>
      </c>
      <c r="E601">
        <f>[5]trip_summary_region!E601</f>
        <v>4</v>
      </c>
      <c r="F601">
        <f>[5]trip_summary_region!F601</f>
        <v>0.14431783519999999</v>
      </c>
      <c r="G601">
        <f>[5]trip_summary_region!G601</f>
        <v>0</v>
      </c>
      <c r="H601">
        <f>[5]trip_summary_region!H601</f>
        <v>1.8039729399999999E-2</v>
      </c>
      <c r="I601" t="str">
        <f>[5]trip_summary_region!I601</f>
        <v>Local Ferry</v>
      </c>
      <c r="J601" t="str">
        <f>[5]trip_summary_region!J601</f>
        <v>2032/33</v>
      </c>
    </row>
    <row r="602" spans="1:10" x14ac:dyDescent="0.2">
      <c r="A602" t="str">
        <f>[5]trip_summary_region!A602</f>
        <v>08 MANAWATU-WANGANUI</v>
      </c>
      <c r="B602">
        <f>[5]trip_summary_region!B602</f>
        <v>8</v>
      </c>
      <c r="C602">
        <f>[5]trip_summary_region!C602</f>
        <v>2038</v>
      </c>
      <c r="D602">
        <f>[5]trip_summary_region!D602</f>
        <v>2</v>
      </c>
      <c r="E602">
        <f>[5]trip_summary_region!E602</f>
        <v>4</v>
      </c>
      <c r="F602">
        <f>[5]trip_summary_region!F602</f>
        <v>0.14027711900000001</v>
      </c>
      <c r="G602">
        <f>[5]trip_summary_region!G602</f>
        <v>0</v>
      </c>
      <c r="H602">
        <f>[5]trip_summary_region!H602</f>
        <v>1.7534639899999999E-2</v>
      </c>
      <c r="I602" t="str">
        <f>[5]trip_summary_region!I602</f>
        <v>Local Ferry</v>
      </c>
      <c r="J602" t="str">
        <f>[5]trip_summary_region!J602</f>
        <v>2037/38</v>
      </c>
    </row>
    <row r="603" spans="1:10" x14ac:dyDescent="0.2">
      <c r="A603" t="str">
        <f>[5]trip_summary_region!A603</f>
        <v>08 MANAWATU-WANGANUI</v>
      </c>
      <c r="B603">
        <f>[5]trip_summary_region!B603</f>
        <v>8</v>
      </c>
      <c r="C603">
        <f>[5]trip_summary_region!C603</f>
        <v>2043</v>
      </c>
      <c r="D603">
        <f>[5]trip_summary_region!D603</f>
        <v>2</v>
      </c>
      <c r="E603">
        <f>[5]trip_summary_region!E603</f>
        <v>4</v>
      </c>
      <c r="F603">
        <f>[5]trip_summary_region!F603</f>
        <v>0.13521903069999999</v>
      </c>
      <c r="G603">
        <f>[5]trip_summary_region!G603</f>
        <v>0</v>
      </c>
      <c r="H603">
        <f>[5]trip_summary_region!H603</f>
        <v>1.6902378799999999E-2</v>
      </c>
      <c r="I603" t="str">
        <f>[5]trip_summary_region!I603</f>
        <v>Local Ferry</v>
      </c>
      <c r="J603" t="str">
        <f>[5]trip_summary_region!J603</f>
        <v>2042/43</v>
      </c>
    </row>
    <row r="604" spans="1:10" x14ac:dyDescent="0.2">
      <c r="A604" t="str">
        <f>[5]trip_summary_region!A604</f>
        <v>08 MANAWATU-WANGANUI</v>
      </c>
      <c r="B604">
        <f>[5]trip_summary_region!B604</f>
        <v>9</v>
      </c>
      <c r="C604">
        <f>[5]trip_summary_region!C604</f>
        <v>2013</v>
      </c>
      <c r="D604">
        <f>[5]trip_summary_region!D604</f>
        <v>2</v>
      </c>
      <c r="E604">
        <f>[5]trip_summary_region!E604</f>
        <v>5</v>
      </c>
      <c r="F604">
        <f>[5]trip_summary_region!F604</f>
        <v>0.24513607779999999</v>
      </c>
      <c r="G604">
        <f>[5]trip_summary_region!G604</f>
        <v>0</v>
      </c>
      <c r="H604">
        <f>[5]trip_summary_region!H604</f>
        <v>3.9735238899999997E-2</v>
      </c>
      <c r="I604" t="str">
        <f>[5]trip_summary_region!I604</f>
        <v>Other Household Travel</v>
      </c>
      <c r="J604" t="str">
        <f>[5]trip_summary_region!J604</f>
        <v>2012/13</v>
      </c>
    </row>
    <row r="605" spans="1:10" x14ac:dyDescent="0.2">
      <c r="A605" t="str">
        <f>[5]trip_summary_region!A605</f>
        <v>08 MANAWATU-WANGANUI</v>
      </c>
      <c r="B605">
        <f>[5]trip_summary_region!B605</f>
        <v>9</v>
      </c>
      <c r="C605">
        <f>[5]trip_summary_region!C605</f>
        <v>2018</v>
      </c>
      <c r="D605">
        <f>[5]trip_summary_region!D605</f>
        <v>2</v>
      </c>
      <c r="E605">
        <f>[5]trip_summary_region!E605</f>
        <v>5</v>
      </c>
      <c r="F605">
        <f>[5]trip_summary_region!F605</f>
        <v>0.2327765504</v>
      </c>
      <c r="G605">
        <f>[5]trip_summary_region!G605</f>
        <v>0</v>
      </c>
      <c r="H605">
        <f>[5]trip_summary_region!H605</f>
        <v>3.7969601800000002E-2</v>
      </c>
      <c r="I605" t="str">
        <f>[5]trip_summary_region!I605</f>
        <v>Other Household Travel</v>
      </c>
      <c r="J605" t="str">
        <f>[5]trip_summary_region!J605</f>
        <v>2017/18</v>
      </c>
    </row>
    <row r="606" spans="1:10" x14ac:dyDescent="0.2">
      <c r="A606" t="str">
        <f>[5]trip_summary_region!A606</f>
        <v>08 MANAWATU-WANGANUI</v>
      </c>
      <c r="B606">
        <f>[5]trip_summary_region!B606</f>
        <v>9</v>
      </c>
      <c r="C606">
        <f>[5]trip_summary_region!C606</f>
        <v>2023</v>
      </c>
      <c r="D606">
        <f>[5]trip_summary_region!D606</f>
        <v>2</v>
      </c>
      <c r="E606">
        <f>[5]trip_summary_region!E606</f>
        <v>5</v>
      </c>
      <c r="F606">
        <f>[5]trip_summary_region!F606</f>
        <v>0.21315470389999999</v>
      </c>
      <c r="G606">
        <f>[5]trip_summary_region!G606</f>
        <v>0</v>
      </c>
      <c r="H606">
        <f>[5]trip_summary_region!H606</f>
        <v>3.4600539899999998E-2</v>
      </c>
      <c r="I606" t="str">
        <f>[5]trip_summary_region!I606</f>
        <v>Other Household Travel</v>
      </c>
      <c r="J606" t="str">
        <f>[5]trip_summary_region!J606</f>
        <v>2022/23</v>
      </c>
    </row>
    <row r="607" spans="1:10" x14ac:dyDescent="0.2">
      <c r="A607" t="str">
        <f>[5]trip_summary_region!A607</f>
        <v>08 MANAWATU-WANGANUI</v>
      </c>
      <c r="B607">
        <f>[5]trip_summary_region!B607</f>
        <v>9</v>
      </c>
      <c r="C607">
        <f>[5]trip_summary_region!C607</f>
        <v>2028</v>
      </c>
      <c r="D607">
        <f>[5]trip_summary_region!D607</f>
        <v>2</v>
      </c>
      <c r="E607">
        <f>[5]trip_summary_region!E607</f>
        <v>5</v>
      </c>
      <c r="F607">
        <f>[5]trip_summary_region!F607</f>
        <v>0.18530111320000001</v>
      </c>
      <c r="G607">
        <f>[5]trip_summary_region!G607</f>
        <v>0</v>
      </c>
      <c r="H607">
        <f>[5]trip_summary_region!H607</f>
        <v>3.0384627599999998E-2</v>
      </c>
      <c r="I607" t="str">
        <f>[5]trip_summary_region!I607</f>
        <v>Other Household Travel</v>
      </c>
      <c r="J607" t="str">
        <f>[5]trip_summary_region!J607</f>
        <v>2027/28</v>
      </c>
    </row>
    <row r="608" spans="1:10" x14ac:dyDescent="0.2">
      <c r="A608" t="str">
        <f>[5]trip_summary_region!A608</f>
        <v>08 MANAWATU-WANGANUI</v>
      </c>
      <c r="B608">
        <f>[5]trip_summary_region!B608</f>
        <v>9</v>
      </c>
      <c r="C608">
        <f>[5]trip_summary_region!C608</f>
        <v>2033</v>
      </c>
      <c r="D608">
        <f>[5]trip_summary_region!D608</f>
        <v>2</v>
      </c>
      <c r="E608">
        <f>[5]trip_summary_region!E608</f>
        <v>5</v>
      </c>
      <c r="F608">
        <f>[5]trip_summary_region!F608</f>
        <v>0.16652488570000001</v>
      </c>
      <c r="G608">
        <f>[5]trip_summary_region!G608</f>
        <v>0</v>
      </c>
      <c r="H608">
        <f>[5]trip_summary_region!H608</f>
        <v>2.7585458100000002E-2</v>
      </c>
      <c r="I608" t="str">
        <f>[5]trip_summary_region!I608</f>
        <v>Other Household Travel</v>
      </c>
      <c r="J608" t="str">
        <f>[5]trip_summary_region!J608</f>
        <v>2032/33</v>
      </c>
    </row>
    <row r="609" spans="1:10" x14ac:dyDescent="0.2">
      <c r="A609" t="str">
        <f>[5]trip_summary_region!A609</f>
        <v>08 MANAWATU-WANGANUI</v>
      </c>
      <c r="B609">
        <f>[5]trip_summary_region!B609</f>
        <v>9</v>
      </c>
      <c r="C609">
        <f>[5]trip_summary_region!C609</f>
        <v>2038</v>
      </c>
      <c r="D609">
        <f>[5]trip_summary_region!D609</f>
        <v>2</v>
      </c>
      <c r="E609">
        <f>[5]trip_summary_region!E609</f>
        <v>5</v>
      </c>
      <c r="F609">
        <f>[5]trip_summary_region!F609</f>
        <v>0.14889280620000001</v>
      </c>
      <c r="G609">
        <f>[5]trip_summary_region!G609</f>
        <v>0</v>
      </c>
      <c r="H609">
        <f>[5]trip_summary_region!H609</f>
        <v>2.5204759199999999E-2</v>
      </c>
      <c r="I609" t="str">
        <f>[5]trip_summary_region!I609</f>
        <v>Other Household Travel</v>
      </c>
      <c r="J609" t="str">
        <f>[5]trip_summary_region!J609</f>
        <v>2037/38</v>
      </c>
    </row>
    <row r="610" spans="1:10" x14ac:dyDescent="0.2">
      <c r="A610" t="str">
        <f>[5]trip_summary_region!A610</f>
        <v>08 MANAWATU-WANGANUI</v>
      </c>
      <c r="B610">
        <f>[5]trip_summary_region!B610</f>
        <v>9</v>
      </c>
      <c r="C610">
        <f>[5]trip_summary_region!C610</f>
        <v>2043</v>
      </c>
      <c r="D610">
        <f>[5]trip_summary_region!D610</f>
        <v>2</v>
      </c>
      <c r="E610">
        <f>[5]trip_summary_region!E610</f>
        <v>5</v>
      </c>
      <c r="F610">
        <f>[5]trip_summary_region!F610</f>
        <v>0.1302357136</v>
      </c>
      <c r="G610">
        <f>[5]trip_summary_region!G610</f>
        <v>0</v>
      </c>
      <c r="H610">
        <f>[5]trip_summary_region!H610</f>
        <v>2.2511562499999999E-2</v>
      </c>
      <c r="I610" t="str">
        <f>[5]trip_summary_region!I610</f>
        <v>Other Household Travel</v>
      </c>
      <c r="J610" t="str">
        <f>[5]trip_summary_region!J610</f>
        <v>2042/43</v>
      </c>
    </row>
    <row r="611" spans="1:10" x14ac:dyDescent="0.2">
      <c r="A611" t="str">
        <f>[5]trip_summary_region!A611</f>
        <v>08 MANAWATU-WANGANUI</v>
      </c>
      <c r="B611">
        <f>[5]trip_summary_region!B611</f>
        <v>10</v>
      </c>
      <c r="C611">
        <f>[5]trip_summary_region!C611</f>
        <v>2013</v>
      </c>
      <c r="D611">
        <f>[5]trip_summary_region!D611</f>
        <v>7</v>
      </c>
      <c r="E611">
        <f>[5]trip_summary_region!E611</f>
        <v>9</v>
      </c>
      <c r="F611">
        <f>[5]trip_summary_region!F611</f>
        <v>0.39226351739999998</v>
      </c>
      <c r="G611">
        <f>[5]trip_summary_region!G611</f>
        <v>21.972430028000002</v>
      </c>
      <c r="H611">
        <f>[5]trip_summary_region!H611</f>
        <v>0.73590853769999998</v>
      </c>
      <c r="I611" t="str">
        <f>[5]trip_summary_region!I611</f>
        <v>Air/Non-Local PT</v>
      </c>
      <c r="J611" t="str">
        <f>[5]trip_summary_region!J611</f>
        <v>2012/13</v>
      </c>
    </row>
    <row r="612" spans="1:10" x14ac:dyDescent="0.2">
      <c r="A612" t="str">
        <f>[5]trip_summary_region!A612</f>
        <v>08 MANAWATU-WANGANUI</v>
      </c>
      <c r="B612">
        <f>[5]trip_summary_region!B612</f>
        <v>10</v>
      </c>
      <c r="C612">
        <f>[5]trip_summary_region!C612</f>
        <v>2018</v>
      </c>
      <c r="D612">
        <f>[5]trip_summary_region!D612</f>
        <v>7</v>
      </c>
      <c r="E612">
        <f>[5]trip_summary_region!E612</f>
        <v>9</v>
      </c>
      <c r="F612">
        <f>[5]trip_summary_region!F612</f>
        <v>0.475095975</v>
      </c>
      <c r="G612">
        <f>[5]trip_summary_region!G612</f>
        <v>24.136963859000002</v>
      </c>
      <c r="H612">
        <f>[5]trip_summary_region!H612</f>
        <v>0.85405637199999995</v>
      </c>
      <c r="I612" t="str">
        <f>[5]trip_summary_region!I612</f>
        <v>Air/Non-Local PT</v>
      </c>
      <c r="J612" t="str">
        <f>[5]trip_summary_region!J612</f>
        <v>2017/18</v>
      </c>
    </row>
    <row r="613" spans="1:10" x14ac:dyDescent="0.2">
      <c r="A613" t="str">
        <f>[5]trip_summary_region!A613</f>
        <v>08 MANAWATU-WANGANUI</v>
      </c>
      <c r="B613">
        <f>[5]trip_summary_region!B613</f>
        <v>10</v>
      </c>
      <c r="C613">
        <f>[5]trip_summary_region!C613</f>
        <v>2023</v>
      </c>
      <c r="D613">
        <f>[5]trip_summary_region!D613</f>
        <v>7</v>
      </c>
      <c r="E613">
        <f>[5]trip_summary_region!E613</f>
        <v>9</v>
      </c>
      <c r="F613">
        <f>[5]trip_summary_region!F613</f>
        <v>0.54861016559999998</v>
      </c>
      <c r="G613">
        <f>[5]trip_summary_region!G613</f>
        <v>26.530540343999998</v>
      </c>
      <c r="H613">
        <f>[5]trip_summary_region!H613</f>
        <v>0.97529474650000003</v>
      </c>
      <c r="I613" t="str">
        <f>[5]trip_summary_region!I613</f>
        <v>Air/Non-Local PT</v>
      </c>
      <c r="J613" t="str">
        <f>[5]trip_summary_region!J613</f>
        <v>2022/23</v>
      </c>
    </row>
    <row r="614" spans="1:10" x14ac:dyDescent="0.2">
      <c r="A614" t="str">
        <f>[5]trip_summary_region!A614</f>
        <v>08 MANAWATU-WANGANUI</v>
      </c>
      <c r="B614">
        <f>[5]trip_summary_region!B614</f>
        <v>10</v>
      </c>
      <c r="C614">
        <f>[5]trip_summary_region!C614</f>
        <v>2028</v>
      </c>
      <c r="D614">
        <f>[5]trip_summary_region!D614</f>
        <v>7</v>
      </c>
      <c r="E614">
        <f>[5]trip_summary_region!E614</f>
        <v>9</v>
      </c>
      <c r="F614">
        <f>[5]trip_summary_region!F614</f>
        <v>0.62068960849999999</v>
      </c>
      <c r="G614">
        <f>[5]trip_summary_region!G614</f>
        <v>30.078330421</v>
      </c>
      <c r="H614">
        <f>[5]trip_summary_region!H614</f>
        <v>1.1223978608</v>
      </c>
      <c r="I614" t="str">
        <f>[5]trip_summary_region!I614</f>
        <v>Air/Non-Local PT</v>
      </c>
      <c r="J614" t="str">
        <f>[5]trip_summary_region!J614</f>
        <v>2027/28</v>
      </c>
    </row>
    <row r="615" spans="1:10" x14ac:dyDescent="0.2">
      <c r="A615" t="str">
        <f>[5]trip_summary_region!A615</f>
        <v>08 MANAWATU-WANGANUI</v>
      </c>
      <c r="B615">
        <f>[5]trip_summary_region!B615</f>
        <v>10</v>
      </c>
      <c r="C615">
        <f>[5]trip_summary_region!C615</f>
        <v>2033</v>
      </c>
      <c r="D615">
        <f>[5]trip_summary_region!D615</f>
        <v>7</v>
      </c>
      <c r="E615">
        <f>[5]trip_summary_region!E615</f>
        <v>9</v>
      </c>
      <c r="F615">
        <f>[5]trip_summary_region!F615</f>
        <v>0.68124318319999999</v>
      </c>
      <c r="G615">
        <f>[5]trip_summary_region!G615</f>
        <v>31.894626069000001</v>
      </c>
      <c r="H615">
        <f>[5]trip_summary_region!H615</f>
        <v>1.2362531486999999</v>
      </c>
      <c r="I615" t="str">
        <f>[5]trip_summary_region!I615</f>
        <v>Air/Non-Local PT</v>
      </c>
      <c r="J615" t="str">
        <f>[5]trip_summary_region!J615</f>
        <v>2032/33</v>
      </c>
    </row>
    <row r="616" spans="1:10" x14ac:dyDescent="0.2">
      <c r="A616" t="str">
        <f>[5]trip_summary_region!A616</f>
        <v>08 MANAWATU-WANGANUI</v>
      </c>
      <c r="B616">
        <f>[5]trip_summary_region!B616</f>
        <v>10</v>
      </c>
      <c r="C616">
        <f>[5]trip_summary_region!C616</f>
        <v>2038</v>
      </c>
      <c r="D616">
        <f>[5]trip_summary_region!D616</f>
        <v>7</v>
      </c>
      <c r="E616">
        <f>[5]trip_summary_region!E616</f>
        <v>9</v>
      </c>
      <c r="F616">
        <f>[5]trip_summary_region!F616</f>
        <v>0.72370683449999995</v>
      </c>
      <c r="G616">
        <f>[5]trip_summary_region!G616</f>
        <v>30.865594077000001</v>
      </c>
      <c r="H616">
        <f>[5]trip_summary_region!H616</f>
        <v>1.2792573837000001</v>
      </c>
      <c r="I616" t="str">
        <f>[5]trip_summary_region!I616</f>
        <v>Air/Non-Local PT</v>
      </c>
      <c r="J616" t="str">
        <f>[5]trip_summary_region!J616</f>
        <v>2037/38</v>
      </c>
    </row>
    <row r="617" spans="1:10" x14ac:dyDescent="0.2">
      <c r="A617" t="str">
        <f>[5]trip_summary_region!A617</f>
        <v>08 MANAWATU-WANGANUI</v>
      </c>
      <c r="B617">
        <f>[5]trip_summary_region!B617</f>
        <v>10</v>
      </c>
      <c r="C617">
        <f>[5]trip_summary_region!C617</f>
        <v>2043</v>
      </c>
      <c r="D617">
        <f>[5]trip_summary_region!D617</f>
        <v>7</v>
      </c>
      <c r="E617">
        <f>[5]trip_summary_region!E617</f>
        <v>9</v>
      </c>
      <c r="F617">
        <f>[5]trip_summary_region!F617</f>
        <v>0.76613102109999998</v>
      </c>
      <c r="G617">
        <f>[5]trip_summary_region!G617</f>
        <v>29.56399858</v>
      </c>
      <c r="H617">
        <f>[5]trip_summary_region!H617</f>
        <v>1.3168224413</v>
      </c>
      <c r="I617" t="str">
        <f>[5]trip_summary_region!I617</f>
        <v>Air/Non-Local PT</v>
      </c>
      <c r="J617" t="str">
        <f>[5]trip_summary_region!J617</f>
        <v>2042/43</v>
      </c>
    </row>
    <row r="618" spans="1:10" x14ac:dyDescent="0.2">
      <c r="A618" t="str">
        <f>[5]trip_summary_region!A618</f>
        <v>08 MANAWATU-WANGANUI</v>
      </c>
      <c r="B618">
        <f>[5]trip_summary_region!B618</f>
        <v>11</v>
      </c>
      <c r="C618">
        <f>[5]trip_summary_region!C618</f>
        <v>2013</v>
      </c>
      <c r="D618">
        <f>[5]trip_summary_region!D618</f>
        <v>12</v>
      </c>
      <c r="E618">
        <f>[5]trip_summary_region!E618</f>
        <v>37</v>
      </c>
      <c r="F618">
        <f>[5]trip_summary_region!F618</f>
        <v>1.6982787315000001</v>
      </c>
      <c r="G618">
        <f>[5]trip_summary_region!G618</f>
        <v>38.826541556000002</v>
      </c>
      <c r="H618">
        <f>[5]trip_summary_region!H618</f>
        <v>0.76899050189999996</v>
      </c>
      <c r="I618" t="str">
        <f>[5]trip_summary_region!I618</f>
        <v>Non-Household Travel</v>
      </c>
      <c r="J618" t="str">
        <f>[5]trip_summary_region!J618</f>
        <v>2012/13</v>
      </c>
    </row>
    <row r="619" spans="1:10" x14ac:dyDescent="0.2">
      <c r="A619" t="str">
        <f>[5]trip_summary_region!A619</f>
        <v>08 MANAWATU-WANGANUI</v>
      </c>
      <c r="B619">
        <f>[5]trip_summary_region!B619</f>
        <v>11</v>
      </c>
      <c r="C619">
        <f>[5]trip_summary_region!C619</f>
        <v>2018</v>
      </c>
      <c r="D619">
        <f>[5]trip_summary_region!D619</f>
        <v>12</v>
      </c>
      <c r="E619">
        <f>[5]trip_summary_region!E619</f>
        <v>37</v>
      </c>
      <c r="F619">
        <f>[5]trip_summary_region!F619</f>
        <v>1.7344107607999999</v>
      </c>
      <c r="G619">
        <f>[5]trip_summary_region!G619</f>
        <v>38.914123939</v>
      </c>
      <c r="H619">
        <f>[5]trip_summary_region!H619</f>
        <v>0.78580530569999996</v>
      </c>
      <c r="I619" t="str">
        <f>[5]trip_summary_region!I619</f>
        <v>Non-Household Travel</v>
      </c>
      <c r="J619" t="str">
        <f>[5]trip_summary_region!J619</f>
        <v>2017/18</v>
      </c>
    </row>
    <row r="620" spans="1:10" x14ac:dyDescent="0.2">
      <c r="A620" t="str">
        <f>[5]trip_summary_region!A620</f>
        <v>08 MANAWATU-WANGANUI</v>
      </c>
      <c r="B620">
        <f>[5]trip_summary_region!B620</f>
        <v>11</v>
      </c>
      <c r="C620">
        <f>[5]trip_summary_region!C620</f>
        <v>2023</v>
      </c>
      <c r="D620">
        <f>[5]trip_summary_region!D620</f>
        <v>12</v>
      </c>
      <c r="E620">
        <f>[5]trip_summary_region!E620</f>
        <v>37</v>
      </c>
      <c r="F620">
        <f>[5]trip_summary_region!F620</f>
        <v>1.7859000431000001</v>
      </c>
      <c r="G620">
        <f>[5]trip_summary_region!G620</f>
        <v>40.031645490999999</v>
      </c>
      <c r="H620">
        <f>[5]trip_summary_region!H620</f>
        <v>0.81469435909999999</v>
      </c>
      <c r="I620" t="str">
        <f>[5]trip_summary_region!I620</f>
        <v>Non-Household Travel</v>
      </c>
      <c r="J620" t="str">
        <f>[5]trip_summary_region!J620</f>
        <v>2022/23</v>
      </c>
    </row>
    <row r="621" spans="1:10" x14ac:dyDescent="0.2">
      <c r="A621" t="str">
        <f>[5]trip_summary_region!A621</f>
        <v>08 MANAWATU-WANGANUI</v>
      </c>
      <c r="B621">
        <f>[5]trip_summary_region!B621</f>
        <v>11</v>
      </c>
      <c r="C621">
        <f>[5]trip_summary_region!C621</f>
        <v>2028</v>
      </c>
      <c r="D621">
        <f>[5]trip_summary_region!D621</f>
        <v>12</v>
      </c>
      <c r="E621">
        <f>[5]trip_summary_region!E621</f>
        <v>37</v>
      </c>
      <c r="F621">
        <f>[5]trip_summary_region!F621</f>
        <v>1.8628661629000001</v>
      </c>
      <c r="G621">
        <f>[5]trip_summary_region!G621</f>
        <v>42.284798403000003</v>
      </c>
      <c r="H621">
        <f>[5]trip_summary_region!H621</f>
        <v>0.85743060260000004</v>
      </c>
      <c r="I621" t="str">
        <f>[5]trip_summary_region!I621</f>
        <v>Non-Household Travel</v>
      </c>
      <c r="J621" t="str">
        <f>[5]trip_summary_region!J621</f>
        <v>2027/28</v>
      </c>
    </row>
    <row r="622" spans="1:10" x14ac:dyDescent="0.2">
      <c r="A622" t="str">
        <f>[5]trip_summary_region!A622</f>
        <v>08 MANAWATU-WANGANUI</v>
      </c>
      <c r="B622">
        <f>[5]trip_summary_region!B622</f>
        <v>11</v>
      </c>
      <c r="C622">
        <f>[5]trip_summary_region!C622</f>
        <v>2033</v>
      </c>
      <c r="D622">
        <f>[5]trip_summary_region!D622</f>
        <v>12</v>
      </c>
      <c r="E622">
        <f>[5]trip_summary_region!E622</f>
        <v>37</v>
      </c>
      <c r="F622">
        <f>[5]trip_summary_region!F622</f>
        <v>1.8868938638999999</v>
      </c>
      <c r="G622">
        <f>[5]trip_summary_region!G622</f>
        <v>44.390455101000001</v>
      </c>
      <c r="H622">
        <f>[5]trip_summary_region!H622</f>
        <v>0.88847103829999996</v>
      </c>
      <c r="I622" t="str">
        <f>[5]trip_summary_region!I622</f>
        <v>Non-Household Travel</v>
      </c>
      <c r="J622" t="str">
        <f>[5]trip_summary_region!J622</f>
        <v>2032/33</v>
      </c>
    </row>
    <row r="623" spans="1:10" x14ac:dyDescent="0.2">
      <c r="A623" t="str">
        <f>[5]trip_summary_region!A623</f>
        <v>08 MANAWATU-WANGANUI</v>
      </c>
      <c r="B623">
        <f>[5]trip_summary_region!B623</f>
        <v>11</v>
      </c>
      <c r="C623">
        <f>[5]trip_summary_region!C623</f>
        <v>2038</v>
      </c>
      <c r="D623">
        <f>[5]trip_summary_region!D623</f>
        <v>12</v>
      </c>
      <c r="E623">
        <f>[5]trip_summary_region!E623</f>
        <v>37</v>
      </c>
      <c r="F623">
        <f>[5]trip_summary_region!F623</f>
        <v>1.8646595249</v>
      </c>
      <c r="G623">
        <f>[5]trip_summary_region!G623</f>
        <v>44.878203646000003</v>
      </c>
      <c r="H623">
        <f>[5]trip_summary_region!H623</f>
        <v>0.89057526440000001</v>
      </c>
      <c r="I623" t="str">
        <f>[5]trip_summary_region!I623</f>
        <v>Non-Household Travel</v>
      </c>
      <c r="J623" t="str">
        <f>[5]trip_summary_region!J623</f>
        <v>2037/38</v>
      </c>
    </row>
    <row r="624" spans="1:10" x14ac:dyDescent="0.2">
      <c r="A624" t="str">
        <f>[5]trip_summary_region!A624</f>
        <v>08 MANAWATU-WANGANUI</v>
      </c>
      <c r="B624">
        <f>[5]trip_summary_region!B624</f>
        <v>11</v>
      </c>
      <c r="C624">
        <f>[5]trip_summary_region!C624</f>
        <v>2043</v>
      </c>
      <c r="D624">
        <f>[5]trip_summary_region!D624</f>
        <v>12</v>
      </c>
      <c r="E624">
        <f>[5]trip_summary_region!E624</f>
        <v>37</v>
      </c>
      <c r="F624">
        <f>[5]trip_summary_region!F624</f>
        <v>1.8234838419999999</v>
      </c>
      <c r="G624">
        <f>[5]trip_summary_region!G624</f>
        <v>45.026903941999997</v>
      </c>
      <c r="H624">
        <f>[5]trip_summary_region!H624</f>
        <v>0.88566785569999995</v>
      </c>
      <c r="I624" t="str">
        <f>[5]trip_summary_region!I624</f>
        <v>Non-Household Travel</v>
      </c>
      <c r="J624" t="str">
        <f>[5]trip_summary_region!J624</f>
        <v>2042/43</v>
      </c>
    </row>
    <row r="625" spans="1:10" x14ac:dyDescent="0.2">
      <c r="A625" t="str">
        <f>[5]trip_summary_region!A625</f>
        <v>09 WELLINGTON</v>
      </c>
      <c r="B625">
        <f>[5]trip_summary_region!B625</f>
        <v>0</v>
      </c>
      <c r="C625">
        <f>[5]trip_summary_region!C625</f>
        <v>2013</v>
      </c>
      <c r="D625">
        <f>[5]trip_summary_region!D625</f>
        <v>941</v>
      </c>
      <c r="E625">
        <f>[5]trip_summary_region!E625</f>
        <v>4221</v>
      </c>
      <c r="F625">
        <f>[5]trip_summary_region!F625</f>
        <v>182.29561206</v>
      </c>
      <c r="G625">
        <f>[5]trip_summary_region!G625</f>
        <v>126.13499251</v>
      </c>
      <c r="H625">
        <f>[5]trip_summary_region!H625</f>
        <v>32.985647405999998</v>
      </c>
      <c r="I625" t="str">
        <f>[5]trip_summary_region!I625</f>
        <v>Pedestrian</v>
      </c>
      <c r="J625" t="str">
        <f>[5]trip_summary_region!J625</f>
        <v>2012/13</v>
      </c>
    </row>
    <row r="626" spans="1:10" x14ac:dyDescent="0.2">
      <c r="A626" t="str">
        <f>[5]trip_summary_region!A626</f>
        <v>09 WELLINGTON</v>
      </c>
      <c r="B626">
        <f>[5]trip_summary_region!B626</f>
        <v>0</v>
      </c>
      <c r="C626">
        <f>[5]trip_summary_region!C626</f>
        <v>2018</v>
      </c>
      <c r="D626">
        <f>[5]trip_summary_region!D626</f>
        <v>941</v>
      </c>
      <c r="E626">
        <f>[5]trip_summary_region!E626</f>
        <v>4221</v>
      </c>
      <c r="F626">
        <f>[5]trip_summary_region!F626</f>
        <v>195.41046102999999</v>
      </c>
      <c r="G626">
        <f>[5]trip_summary_region!G626</f>
        <v>135.98196798000001</v>
      </c>
      <c r="H626">
        <f>[5]trip_summary_region!H626</f>
        <v>35.535702491999999</v>
      </c>
      <c r="I626" t="str">
        <f>[5]trip_summary_region!I626</f>
        <v>Pedestrian</v>
      </c>
      <c r="J626" t="str">
        <f>[5]trip_summary_region!J626</f>
        <v>2017/18</v>
      </c>
    </row>
    <row r="627" spans="1:10" x14ac:dyDescent="0.2">
      <c r="A627" t="str">
        <f>[5]trip_summary_region!A627</f>
        <v>09 WELLINGTON</v>
      </c>
      <c r="B627">
        <f>[5]trip_summary_region!B627</f>
        <v>0</v>
      </c>
      <c r="C627">
        <f>[5]trip_summary_region!C627</f>
        <v>2023</v>
      </c>
      <c r="D627">
        <f>[5]trip_summary_region!D627</f>
        <v>941</v>
      </c>
      <c r="E627">
        <f>[5]trip_summary_region!E627</f>
        <v>4221</v>
      </c>
      <c r="F627">
        <f>[5]trip_summary_region!F627</f>
        <v>202.44457084000001</v>
      </c>
      <c r="G627">
        <f>[5]trip_summary_region!G627</f>
        <v>141.19355490000001</v>
      </c>
      <c r="H627">
        <f>[5]trip_summary_region!H627</f>
        <v>36.843545433999999</v>
      </c>
      <c r="I627" t="str">
        <f>[5]trip_summary_region!I627</f>
        <v>Pedestrian</v>
      </c>
      <c r="J627" t="str">
        <f>[5]trip_summary_region!J627</f>
        <v>2022/23</v>
      </c>
    </row>
    <row r="628" spans="1:10" x14ac:dyDescent="0.2">
      <c r="A628" t="str">
        <f>[5]trip_summary_region!A628</f>
        <v>09 WELLINGTON</v>
      </c>
      <c r="B628">
        <f>[5]trip_summary_region!B628</f>
        <v>0</v>
      </c>
      <c r="C628">
        <f>[5]trip_summary_region!C628</f>
        <v>2028</v>
      </c>
      <c r="D628">
        <f>[5]trip_summary_region!D628</f>
        <v>941</v>
      </c>
      <c r="E628">
        <f>[5]trip_summary_region!E628</f>
        <v>4221</v>
      </c>
      <c r="F628">
        <f>[5]trip_summary_region!F628</f>
        <v>209.19577819</v>
      </c>
      <c r="G628">
        <f>[5]trip_summary_region!G628</f>
        <v>146.41929726000001</v>
      </c>
      <c r="H628">
        <f>[5]trip_summary_region!H628</f>
        <v>38.311459913</v>
      </c>
      <c r="I628" t="str">
        <f>[5]trip_summary_region!I628</f>
        <v>Pedestrian</v>
      </c>
      <c r="J628" t="str">
        <f>[5]trip_summary_region!J628</f>
        <v>2027/28</v>
      </c>
    </row>
    <row r="629" spans="1:10" x14ac:dyDescent="0.2">
      <c r="A629" t="str">
        <f>[5]trip_summary_region!A629</f>
        <v>09 WELLINGTON</v>
      </c>
      <c r="B629">
        <f>[5]trip_summary_region!B629</f>
        <v>0</v>
      </c>
      <c r="C629">
        <f>[5]trip_summary_region!C629</f>
        <v>2033</v>
      </c>
      <c r="D629">
        <f>[5]trip_summary_region!D629</f>
        <v>941</v>
      </c>
      <c r="E629">
        <f>[5]trip_summary_region!E629</f>
        <v>4221</v>
      </c>
      <c r="F629">
        <f>[5]trip_summary_region!F629</f>
        <v>215.14329817000001</v>
      </c>
      <c r="G629">
        <f>[5]trip_summary_region!G629</f>
        <v>151.29976058</v>
      </c>
      <c r="H629">
        <f>[5]trip_summary_region!H629</f>
        <v>39.644547842999998</v>
      </c>
      <c r="I629" t="str">
        <f>[5]trip_summary_region!I629</f>
        <v>Pedestrian</v>
      </c>
      <c r="J629" t="str">
        <f>[5]trip_summary_region!J629</f>
        <v>2032/33</v>
      </c>
    </row>
    <row r="630" spans="1:10" x14ac:dyDescent="0.2">
      <c r="A630" t="str">
        <f>[5]trip_summary_region!A630</f>
        <v>09 WELLINGTON</v>
      </c>
      <c r="B630">
        <f>[5]trip_summary_region!B630</f>
        <v>0</v>
      </c>
      <c r="C630">
        <f>[5]trip_summary_region!C630</f>
        <v>2038</v>
      </c>
      <c r="D630">
        <f>[5]trip_summary_region!D630</f>
        <v>941</v>
      </c>
      <c r="E630">
        <f>[5]trip_summary_region!E630</f>
        <v>4221</v>
      </c>
      <c r="F630">
        <f>[5]trip_summary_region!F630</f>
        <v>220.86656511000001</v>
      </c>
      <c r="G630">
        <f>[5]trip_summary_region!G630</f>
        <v>156.43219998000001</v>
      </c>
      <c r="H630">
        <f>[5]trip_summary_region!H630</f>
        <v>40.888281010999997</v>
      </c>
      <c r="I630" t="str">
        <f>[5]trip_summary_region!I630</f>
        <v>Pedestrian</v>
      </c>
      <c r="J630" t="str">
        <f>[5]trip_summary_region!J630</f>
        <v>2037/38</v>
      </c>
    </row>
    <row r="631" spans="1:10" x14ac:dyDescent="0.2">
      <c r="A631" t="str">
        <f>[5]trip_summary_region!A631</f>
        <v>09 WELLINGTON</v>
      </c>
      <c r="B631">
        <f>[5]trip_summary_region!B631</f>
        <v>0</v>
      </c>
      <c r="C631">
        <f>[5]trip_summary_region!C631</f>
        <v>2043</v>
      </c>
      <c r="D631">
        <f>[5]trip_summary_region!D631</f>
        <v>941</v>
      </c>
      <c r="E631">
        <f>[5]trip_summary_region!E631</f>
        <v>4221</v>
      </c>
      <c r="F631">
        <f>[5]trip_summary_region!F631</f>
        <v>225.78151946</v>
      </c>
      <c r="G631">
        <f>[5]trip_summary_region!G631</f>
        <v>161.16905208</v>
      </c>
      <c r="H631">
        <f>[5]trip_summary_region!H631</f>
        <v>42.021579107999997</v>
      </c>
      <c r="I631" t="str">
        <f>[5]trip_summary_region!I631</f>
        <v>Pedestrian</v>
      </c>
      <c r="J631" t="str">
        <f>[5]trip_summary_region!J631</f>
        <v>2042/43</v>
      </c>
    </row>
    <row r="632" spans="1:10" x14ac:dyDescent="0.2">
      <c r="A632" t="str">
        <f>[5]trip_summary_region!A632</f>
        <v>09 WELLINGTON</v>
      </c>
      <c r="B632">
        <f>[5]trip_summary_region!B632</f>
        <v>1</v>
      </c>
      <c r="C632">
        <f>[5]trip_summary_region!C632</f>
        <v>2013</v>
      </c>
      <c r="D632">
        <f>[5]trip_summary_region!D632</f>
        <v>54</v>
      </c>
      <c r="E632">
        <f>[5]trip_summary_region!E632</f>
        <v>164</v>
      </c>
      <c r="F632">
        <f>[5]trip_summary_region!F632</f>
        <v>8.1327913301999999</v>
      </c>
      <c r="G632">
        <f>[5]trip_summary_region!G632</f>
        <v>52.092312808000003</v>
      </c>
      <c r="H632">
        <f>[5]trip_summary_region!H632</f>
        <v>3.6978261002999999</v>
      </c>
      <c r="I632" t="str">
        <f>[5]trip_summary_region!I632</f>
        <v>Cyclist</v>
      </c>
      <c r="J632" t="str">
        <f>[5]trip_summary_region!J632</f>
        <v>2012/13</v>
      </c>
    </row>
    <row r="633" spans="1:10" x14ac:dyDescent="0.2">
      <c r="A633" t="str">
        <f>[5]trip_summary_region!A633</f>
        <v>09 WELLINGTON</v>
      </c>
      <c r="B633">
        <f>[5]trip_summary_region!B633</f>
        <v>1</v>
      </c>
      <c r="C633">
        <f>[5]trip_summary_region!C633</f>
        <v>2018</v>
      </c>
      <c r="D633">
        <f>[5]trip_summary_region!D633</f>
        <v>54</v>
      </c>
      <c r="E633">
        <f>[5]trip_summary_region!E633</f>
        <v>164</v>
      </c>
      <c r="F633">
        <f>[5]trip_summary_region!F633</f>
        <v>8.4455327274999998</v>
      </c>
      <c r="G633">
        <f>[5]trip_summary_region!G633</f>
        <v>56.208191462000002</v>
      </c>
      <c r="H633">
        <f>[5]trip_summary_region!H633</f>
        <v>3.9817902190000001</v>
      </c>
      <c r="I633" t="str">
        <f>[5]trip_summary_region!I633</f>
        <v>Cyclist</v>
      </c>
      <c r="J633" t="str">
        <f>[5]trip_summary_region!J633</f>
        <v>2017/18</v>
      </c>
    </row>
    <row r="634" spans="1:10" x14ac:dyDescent="0.2">
      <c r="A634" t="str">
        <f>[5]trip_summary_region!A634</f>
        <v>09 WELLINGTON</v>
      </c>
      <c r="B634">
        <f>[5]trip_summary_region!B634</f>
        <v>1</v>
      </c>
      <c r="C634">
        <f>[5]trip_summary_region!C634</f>
        <v>2023</v>
      </c>
      <c r="D634">
        <f>[5]trip_summary_region!D634</f>
        <v>54</v>
      </c>
      <c r="E634">
        <f>[5]trip_summary_region!E634</f>
        <v>164</v>
      </c>
      <c r="F634">
        <f>[5]trip_summary_region!F634</f>
        <v>8.5378166344000004</v>
      </c>
      <c r="G634">
        <f>[5]trip_summary_region!G634</f>
        <v>58.267945685999997</v>
      </c>
      <c r="H634">
        <f>[5]trip_summary_region!H634</f>
        <v>4.1143884247000004</v>
      </c>
      <c r="I634" t="str">
        <f>[5]trip_summary_region!I634</f>
        <v>Cyclist</v>
      </c>
      <c r="J634" t="str">
        <f>[5]trip_summary_region!J634</f>
        <v>2022/23</v>
      </c>
    </row>
    <row r="635" spans="1:10" x14ac:dyDescent="0.2">
      <c r="A635" t="str">
        <f>[5]trip_summary_region!A635</f>
        <v>09 WELLINGTON</v>
      </c>
      <c r="B635">
        <f>[5]trip_summary_region!B635</f>
        <v>1</v>
      </c>
      <c r="C635">
        <f>[5]trip_summary_region!C635</f>
        <v>2028</v>
      </c>
      <c r="D635">
        <f>[5]trip_summary_region!D635</f>
        <v>54</v>
      </c>
      <c r="E635">
        <f>[5]trip_summary_region!E635</f>
        <v>164</v>
      </c>
      <c r="F635">
        <f>[5]trip_summary_region!F635</f>
        <v>8.3763557579000008</v>
      </c>
      <c r="G635">
        <f>[5]trip_summary_region!G635</f>
        <v>60.828494468000002</v>
      </c>
      <c r="H635">
        <f>[5]trip_summary_region!H635</f>
        <v>4.2509635308</v>
      </c>
      <c r="I635" t="str">
        <f>[5]trip_summary_region!I635</f>
        <v>Cyclist</v>
      </c>
      <c r="J635" t="str">
        <f>[5]trip_summary_region!J635</f>
        <v>2027/28</v>
      </c>
    </row>
    <row r="636" spans="1:10" x14ac:dyDescent="0.2">
      <c r="A636" t="str">
        <f>[5]trip_summary_region!A636</f>
        <v>09 WELLINGTON</v>
      </c>
      <c r="B636">
        <f>[5]trip_summary_region!B636</f>
        <v>1</v>
      </c>
      <c r="C636">
        <f>[5]trip_summary_region!C636</f>
        <v>2033</v>
      </c>
      <c r="D636">
        <f>[5]trip_summary_region!D636</f>
        <v>54</v>
      </c>
      <c r="E636">
        <f>[5]trip_summary_region!E636</f>
        <v>164</v>
      </c>
      <c r="F636">
        <f>[5]trip_summary_region!F636</f>
        <v>8.3302547782000005</v>
      </c>
      <c r="G636">
        <f>[5]trip_summary_region!G636</f>
        <v>66.012993046000005</v>
      </c>
      <c r="H636">
        <f>[5]trip_summary_region!H636</f>
        <v>4.5479570425000002</v>
      </c>
      <c r="I636" t="str">
        <f>[5]trip_summary_region!I636</f>
        <v>Cyclist</v>
      </c>
      <c r="J636" t="str">
        <f>[5]trip_summary_region!J636</f>
        <v>2032/33</v>
      </c>
    </row>
    <row r="637" spans="1:10" x14ac:dyDescent="0.2">
      <c r="A637" t="str">
        <f>[5]trip_summary_region!A637</f>
        <v>09 WELLINGTON</v>
      </c>
      <c r="B637">
        <f>[5]trip_summary_region!B637</f>
        <v>1</v>
      </c>
      <c r="C637">
        <f>[5]trip_summary_region!C637</f>
        <v>2038</v>
      </c>
      <c r="D637">
        <f>[5]trip_summary_region!D637</f>
        <v>54</v>
      </c>
      <c r="E637">
        <f>[5]trip_summary_region!E637</f>
        <v>164</v>
      </c>
      <c r="F637">
        <f>[5]trip_summary_region!F637</f>
        <v>8.4155079156999992</v>
      </c>
      <c r="G637">
        <f>[5]trip_summary_region!G637</f>
        <v>73.308999201000006</v>
      </c>
      <c r="H637">
        <f>[5]trip_summary_region!H637</f>
        <v>4.9832096256999998</v>
      </c>
      <c r="I637" t="str">
        <f>[5]trip_summary_region!I637</f>
        <v>Cyclist</v>
      </c>
      <c r="J637" t="str">
        <f>[5]trip_summary_region!J637</f>
        <v>2037/38</v>
      </c>
    </row>
    <row r="638" spans="1:10" x14ac:dyDescent="0.2">
      <c r="A638" t="str">
        <f>[5]trip_summary_region!A638</f>
        <v>09 WELLINGTON</v>
      </c>
      <c r="B638">
        <f>[5]trip_summary_region!B638</f>
        <v>1</v>
      </c>
      <c r="C638">
        <f>[5]trip_summary_region!C638</f>
        <v>2043</v>
      </c>
      <c r="D638">
        <f>[5]trip_summary_region!D638</f>
        <v>54</v>
      </c>
      <c r="E638">
        <f>[5]trip_summary_region!E638</f>
        <v>164</v>
      </c>
      <c r="F638">
        <f>[5]trip_summary_region!F638</f>
        <v>8.5020881517000007</v>
      </c>
      <c r="G638">
        <f>[5]trip_summary_region!G638</f>
        <v>81.016922836000006</v>
      </c>
      <c r="H638">
        <f>[5]trip_summary_region!H638</f>
        <v>5.4421418192999997</v>
      </c>
      <c r="I638" t="str">
        <f>[5]trip_summary_region!I638</f>
        <v>Cyclist</v>
      </c>
      <c r="J638" t="str">
        <f>[5]trip_summary_region!J638</f>
        <v>2042/43</v>
      </c>
    </row>
    <row r="639" spans="1:10" x14ac:dyDescent="0.2">
      <c r="A639" t="str">
        <f>[5]trip_summary_region!A639</f>
        <v>09 WELLINGTON</v>
      </c>
      <c r="B639">
        <f>[5]trip_summary_region!B639</f>
        <v>2</v>
      </c>
      <c r="C639">
        <f>[5]trip_summary_region!C639</f>
        <v>2013</v>
      </c>
      <c r="D639">
        <f>[5]trip_summary_region!D639</f>
        <v>1130</v>
      </c>
      <c r="E639">
        <f>[5]trip_summary_region!E639</f>
        <v>8488</v>
      </c>
      <c r="F639">
        <f>[5]trip_summary_region!F639</f>
        <v>377.93589692</v>
      </c>
      <c r="G639">
        <f>[5]trip_summary_region!G639</f>
        <v>3481.4296611999998</v>
      </c>
      <c r="H639">
        <f>[5]trip_summary_region!H639</f>
        <v>92.129697210000003</v>
      </c>
      <c r="I639" t="str">
        <f>[5]trip_summary_region!I639</f>
        <v>Light Vehicle Driver</v>
      </c>
      <c r="J639" t="str">
        <f>[5]trip_summary_region!J639</f>
        <v>2012/13</v>
      </c>
    </row>
    <row r="640" spans="1:10" x14ac:dyDescent="0.2">
      <c r="A640" t="str">
        <f>[5]trip_summary_region!A640</f>
        <v>09 WELLINGTON</v>
      </c>
      <c r="B640">
        <f>[5]trip_summary_region!B640</f>
        <v>2</v>
      </c>
      <c r="C640">
        <f>[5]trip_summary_region!C640</f>
        <v>2018</v>
      </c>
      <c r="D640">
        <f>[5]trip_summary_region!D640</f>
        <v>1130</v>
      </c>
      <c r="E640">
        <f>[5]trip_summary_region!E640</f>
        <v>8488</v>
      </c>
      <c r="F640">
        <f>[5]trip_summary_region!F640</f>
        <v>403.68901804000001</v>
      </c>
      <c r="G640">
        <f>[5]trip_summary_region!G640</f>
        <v>3734.7458326999999</v>
      </c>
      <c r="H640">
        <f>[5]trip_summary_region!H640</f>
        <v>98.888412060999997</v>
      </c>
      <c r="I640" t="str">
        <f>[5]trip_summary_region!I640</f>
        <v>Light Vehicle Driver</v>
      </c>
      <c r="J640" t="str">
        <f>[5]trip_summary_region!J640</f>
        <v>2017/18</v>
      </c>
    </row>
    <row r="641" spans="1:10" x14ac:dyDescent="0.2">
      <c r="A641" t="str">
        <f>[5]trip_summary_region!A641</f>
        <v>09 WELLINGTON</v>
      </c>
      <c r="B641">
        <f>[5]trip_summary_region!B641</f>
        <v>2</v>
      </c>
      <c r="C641">
        <f>[5]trip_summary_region!C641</f>
        <v>2023</v>
      </c>
      <c r="D641">
        <f>[5]trip_summary_region!D641</f>
        <v>1130</v>
      </c>
      <c r="E641">
        <f>[5]trip_summary_region!E641</f>
        <v>8488</v>
      </c>
      <c r="F641">
        <f>[5]trip_summary_region!F641</f>
        <v>420.26146378999999</v>
      </c>
      <c r="G641">
        <f>[5]trip_summary_region!G641</f>
        <v>3893.8505936000001</v>
      </c>
      <c r="H641">
        <f>[5]trip_summary_region!H641</f>
        <v>103.22082046</v>
      </c>
      <c r="I641" t="str">
        <f>[5]trip_summary_region!I641</f>
        <v>Light Vehicle Driver</v>
      </c>
      <c r="J641" t="str">
        <f>[5]trip_summary_region!J641</f>
        <v>2022/23</v>
      </c>
    </row>
    <row r="642" spans="1:10" x14ac:dyDescent="0.2">
      <c r="A642" t="str">
        <f>[5]trip_summary_region!A642</f>
        <v>09 WELLINGTON</v>
      </c>
      <c r="B642">
        <f>[5]trip_summary_region!B642</f>
        <v>2</v>
      </c>
      <c r="C642">
        <f>[5]trip_summary_region!C642</f>
        <v>2028</v>
      </c>
      <c r="D642">
        <f>[5]trip_summary_region!D642</f>
        <v>1130</v>
      </c>
      <c r="E642">
        <f>[5]trip_summary_region!E642</f>
        <v>8488</v>
      </c>
      <c r="F642">
        <f>[5]trip_summary_region!F642</f>
        <v>443.52970985000002</v>
      </c>
      <c r="G642">
        <f>[5]trip_summary_region!G642</f>
        <v>4126.3290004999999</v>
      </c>
      <c r="H642">
        <f>[5]trip_summary_region!H642</f>
        <v>109.17294712</v>
      </c>
      <c r="I642" t="str">
        <f>[5]trip_summary_region!I642</f>
        <v>Light Vehicle Driver</v>
      </c>
      <c r="J642" t="str">
        <f>[5]trip_summary_region!J642</f>
        <v>2027/28</v>
      </c>
    </row>
    <row r="643" spans="1:10" x14ac:dyDescent="0.2">
      <c r="A643" t="str">
        <f>[5]trip_summary_region!A643</f>
        <v>09 WELLINGTON</v>
      </c>
      <c r="B643">
        <f>[5]trip_summary_region!B643</f>
        <v>2</v>
      </c>
      <c r="C643">
        <f>[5]trip_summary_region!C643</f>
        <v>2033</v>
      </c>
      <c r="D643">
        <f>[5]trip_summary_region!D643</f>
        <v>1130</v>
      </c>
      <c r="E643">
        <f>[5]trip_summary_region!E643</f>
        <v>8488</v>
      </c>
      <c r="F643">
        <f>[5]trip_summary_region!F643</f>
        <v>465.26615237999999</v>
      </c>
      <c r="G643">
        <f>[5]trip_summary_region!G643</f>
        <v>4361.1903928000002</v>
      </c>
      <c r="H643">
        <f>[5]trip_summary_region!H643</f>
        <v>114.91557026</v>
      </c>
      <c r="I643" t="str">
        <f>[5]trip_summary_region!I643</f>
        <v>Light Vehicle Driver</v>
      </c>
      <c r="J643" t="str">
        <f>[5]trip_summary_region!J643</f>
        <v>2032/33</v>
      </c>
    </row>
    <row r="644" spans="1:10" x14ac:dyDescent="0.2">
      <c r="A644" t="str">
        <f>[5]trip_summary_region!A644</f>
        <v>09 WELLINGTON</v>
      </c>
      <c r="B644">
        <f>[5]trip_summary_region!B644</f>
        <v>2</v>
      </c>
      <c r="C644">
        <f>[5]trip_summary_region!C644</f>
        <v>2038</v>
      </c>
      <c r="D644">
        <f>[5]trip_summary_region!D644</f>
        <v>1130</v>
      </c>
      <c r="E644">
        <f>[5]trip_summary_region!E644</f>
        <v>8488</v>
      </c>
      <c r="F644">
        <f>[5]trip_summary_region!F644</f>
        <v>482.94373567000002</v>
      </c>
      <c r="G644">
        <f>[5]trip_summary_region!G644</f>
        <v>4559.8959955</v>
      </c>
      <c r="H644">
        <f>[5]trip_summary_region!H644</f>
        <v>119.80245468</v>
      </c>
      <c r="I644" t="str">
        <f>[5]trip_summary_region!I644</f>
        <v>Light Vehicle Driver</v>
      </c>
      <c r="J644" t="str">
        <f>[5]trip_summary_region!J644</f>
        <v>2037/38</v>
      </c>
    </row>
    <row r="645" spans="1:10" x14ac:dyDescent="0.2">
      <c r="A645" t="str">
        <f>[5]trip_summary_region!A645</f>
        <v>09 WELLINGTON</v>
      </c>
      <c r="B645">
        <f>[5]trip_summary_region!B645</f>
        <v>2</v>
      </c>
      <c r="C645">
        <f>[5]trip_summary_region!C645</f>
        <v>2043</v>
      </c>
      <c r="D645">
        <f>[5]trip_summary_region!D645</f>
        <v>1130</v>
      </c>
      <c r="E645">
        <f>[5]trip_summary_region!E645</f>
        <v>8488</v>
      </c>
      <c r="F645">
        <f>[5]trip_summary_region!F645</f>
        <v>498.55732760000001</v>
      </c>
      <c r="G645">
        <f>[5]trip_summary_region!G645</f>
        <v>4739.7416266999999</v>
      </c>
      <c r="H645">
        <f>[5]trip_summary_region!H645</f>
        <v>124.21460869000001</v>
      </c>
      <c r="I645" t="str">
        <f>[5]trip_summary_region!I645</f>
        <v>Light Vehicle Driver</v>
      </c>
      <c r="J645" t="str">
        <f>[5]trip_summary_region!J645</f>
        <v>2042/43</v>
      </c>
    </row>
    <row r="646" spans="1:10" x14ac:dyDescent="0.2">
      <c r="A646" t="str">
        <f>[5]trip_summary_region!A646</f>
        <v>09 WELLINGTON</v>
      </c>
      <c r="B646">
        <f>[5]trip_summary_region!B646</f>
        <v>3</v>
      </c>
      <c r="C646">
        <f>[5]trip_summary_region!C646</f>
        <v>2013</v>
      </c>
      <c r="D646">
        <f>[5]trip_summary_region!D646</f>
        <v>936</v>
      </c>
      <c r="E646">
        <f>[5]trip_summary_region!E646</f>
        <v>4461</v>
      </c>
      <c r="F646">
        <f>[5]trip_summary_region!F646</f>
        <v>183.55442563</v>
      </c>
      <c r="G646">
        <f>[5]trip_summary_region!G646</f>
        <v>2005.8850408000001</v>
      </c>
      <c r="H646">
        <f>[5]trip_summary_region!H646</f>
        <v>48.966354531</v>
      </c>
      <c r="I646" t="str">
        <f>[5]trip_summary_region!I646</f>
        <v>Light Vehicle Passenger</v>
      </c>
      <c r="J646" t="str">
        <f>[5]trip_summary_region!J646</f>
        <v>2012/13</v>
      </c>
    </row>
    <row r="647" spans="1:10" x14ac:dyDescent="0.2">
      <c r="A647" t="str">
        <f>[5]trip_summary_region!A647</f>
        <v>09 WELLINGTON</v>
      </c>
      <c r="B647">
        <f>[5]trip_summary_region!B647</f>
        <v>3</v>
      </c>
      <c r="C647">
        <f>[5]trip_summary_region!C647</f>
        <v>2018</v>
      </c>
      <c r="D647">
        <f>[5]trip_summary_region!D647</f>
        <v>936</v>
      </c>
      <c r="E647">
        <f>[5]trip_summary_region!E647</f>
        <v>4461</v>
      </c>
      <c r="F647">
        <f>[5]trip_summary_region!F647</f>
        <v>190.91427575</v>
      </c>
      <c r="G647">
        <f>[5]trip_summary_region!G647</f>
        <v>2061.3885857</v>
      </c>
      <c r="H647">
        <f>[5]trip_summary_region!H647</f>
        <v>50.681857047000001</v>
      </c>
      <c r="I647" t="str">
        <f>[5]trip_summary_region!I647</f>
        <v>Light Vehicle Passenger</v>
      </c>
      <c r="J647" t="str">
        <f>[5]trip_summary_region!J647</f>
        <v>2017/18</v>
      </c>
    </row>
    <row r="648" spans="1:10" x14ac:dyDescent="0.2">
      <c r="A648" t="str">
        <f>[5]trip_summary_region!A648</f>
        <v>09 WELLINGTON</v>
      </c>
      <c r="B648">
        <f>[5]trip_summary_region!B648</f>
        <v>3</v>
      </c>
      <c r="C648">
        <f>[5]trip_summary_region!C648</f>
        <v>2023</v>
      </c>
      <c r="D648">
        <f>[5]trip_summary_region!D648</f>
        <v>936</v>
      </c>
      <c r="E648">
        <f>[5]trip_summary_region!E648</f>
        <v>4461</v>
      </c>
      <c r="F648">
        <f>[5]trip_summary_region!F648</f>
        <v>195.13534315000001</v>
      </c>
      <c r="G648">
        <f>[5]trip_summary_region!G648</f>
        <v>2081.6169740999999</v>
      </c>
      <c r="H648">
        <f>[5]trip_summary_region!H648</f>
        <v>51.467476109000003</v>
      </c>
      <c r="I648" t="str">
        <f>[5]trip_summary_region!I648</f>
        <v>Light Vehicle Passenger</v>
      </c>
      <c r="J648" t="str">
        <f>[5]trip_summary_region!J648</f>
        <v>2022/23</v>
      </c>
    </row>
    <row r="649" spans="1:10" x14ac:dyDescent="0.2">
      <c r="A649" t="str">
        <f>[5]trip_summary_region!A649</f>
        <v>09 WELLINGTON</v>
      </c>
      <c r="B649">
        <f>[5]trip_summary_region!B649</f>
        <v>3</v>
      </c>
      <c r="C649">
        <f>[5]trip_summary_region!C649</f>
        <v>2028</v>
      </c>
      <c r="D649">
        <f>[5]trip_summary_region!D649</f>
        <v>936</v>
      </c>
      <c r="E649">
        <f>[5]trip_summary_region!E649</f>
        <v>4461</v>
      </c>
      <c r="F649">
        <f>[5]trip_summary_region!F649</f>
        <v>199.28770459</v>
      </c>
      <c r="G649">
        <f>[5]trip_summary_region!G649</f>
        <v>2127.1259315000002</v>
      </c>
      <c r="H649">
        <f>[5]trip_summary_region!H649</f>
        <v>52.574226039000003</v>
      </c>
      <c r="I649" t="str">
        <f>[5]trip_summary_region!I649</f>
        <v>Light Vehicle Passenger</v>
      </c>
      <c r="J649" t="str">
        <f>[5]trip_summary_region!J649</f>
        <v>2027/28</v>
      </c>
    </row>
    <row r="650" spans="1:10" x14ac:dyDescent="0.2">
      <c r="A650" t="str">
        <f>[5]trip_summary_region!A650</f>
        <v>09 WELLINGTON</v>
      </c>
      <c r="B650">
        <f>[5]trip_summary_region!B650</f>
        <v>3</v>
      </c>
      <c r="C650">
        <f>[5]trip_summary_region!C650</f>
        <v>2033</v>
      </c>
      <c r="D650">
        <f>[5]trip_summary_region!D650</f>
        <v>936</v>
      </c>
      <c r="E650">
        <f>[5]trip_summary_region!E650</f>
        <v>4461</v>
      </c>
      <c r="F650">
        <f>[5]trip_summary_region!F650</f>
        <v>203.33669255999999</v>
      </c>
      <c r="G650">
        <f>[5]trip_summary_region!G650</f>
        <v>2173.2460959</v>
      </c>
      <c r="H650">
        <f>[5]trip_summary_region!H650</f>
        <v>53.67067187</v>
      </c>
      <c r="I650" t="str">
        <f>[5]trip_summary_region!I650</f>
        <v>Light Vehicle Passenger</v>
      </c>
      <c r="J650" t="str">
        <f>[5]trip_summary_region!J650</f>
        <v>2032/33</v>
      </c>
    </row>
    <row r="651" spans="1:10" x14ac:dyDescent="0.2">
      <c r="A651" t="str">
        <f>[5]trip_summary_region!A651</f>
        <v>09 WELLINGTON</v>
      </c>
      <c r="B651">
        <f>[5]trip_summary_region!B651</f>
        <v>3</v>
      </c>
      <c r="C651">
        <f>[5]trip_summary_region!C651</f>
        <v>2038</v>
      </c>
      <c r="D651">
        <f>[5]trip_summary_region!D651</f>
        <v>936</v>
      </c>
      <c r="E651">
        <f>[5]trip_summary_region!E651</f>
        <v>4461</v>
      </c>
      <c r="F651">
        <f>[5]trip_summary_region!F651</f>
        <v>206.51740670999999</v>
      </c>
      <c r="G651">
        <f>[5]trip_summary_region!G651</f>
        <v>2203.7873046999998</v>
      </c>
      <c r="H651">
        <f>[5]trip_summary_region!H651</f>
        <v>54.400864646000002</v>
      </c>
      <c r="I651" t="str">
        <f>[5]trip_summary_region!I651</f>
        <v>Light Vehicle Passenger</v>
      </c>
      <c r="J651" t="str">
        <f>[5]trip_summary_region!J651</f>
        <v>2037/38</v>
      </c>
    </row>
    <row r="652" spans="1:10" x14ac:dyDescent="0.2">
      <c r="A652" t="str">
        <f>[5]trip_summary_region!A652</f>
        <v>09 WELLINGTON</v>
      </c>
      <c r="B652">
        <f>[5]trip_summary_region!B652</f>
        <v>3</v>
      </c>
      <c r="C652">
        <f>[5]trip_summary_region!C652</f>
        <v>2043</v>
      </c>
      <c r="D652">
        <f>[5]trip_summary_region!D652</f>
        <v>936</v>
      </c>
      <c r="E652">
        <f>[5]trip_summary_region!E652</f>
        <v>4461</v>
      </c>
      <c r="F652">
        <f>[5]trip_summary_region!F652</f>
        <v>208.41985266</v>
      </c>
      <c r="G652">
        <f>[5]trip_summary_region!G652</f>
        <v>2221.8873815000002</v>
      </c>
      <c r="H652">
        <f>[5]trip_summary_region!H652</f>
        <v>54.833946834000002</v>
      </c>
      <c r="I652" t="str">
        <f>[5]trip_summary_region!I652</f>
        <v>Light Vehicle Passenger</v>
      </c>
      <c r="J652" t="str">
        <f>[5]trip_summary_region!J652</f>
        <v>2042/43</v>
      </c>
    </row>
    <row r="653" spans="1:10" x14ac:dyDescent="0.2">
      <c r="A653" t="str">
        <f>[5]trip_summary_region!A653</f>
        <v>09 WELLINGTON</v>
      </c>
      <c r="B653">
        <f>[5]trip_summary_region!B653</f>
        <v>4</v>
      </c>
      <c r="C653">
        <f>[5]trip_summary_region!C653</f>
        <v>2013</v>
      </c>
      <c r="D653">
        <f>[5]trip_summary_region!D653</f>
        <v>31</v>
      </c>
      <c r="E653">
        <f>[5]trip_summary_region!E653</f>
        <v>51</v>
      </c>
      <c r="F653">
        <f>[5]trip_summary_region!F653</f>
        <v>2.3579512121000001</v>
      </c>
      <c r="G653">
        <f>[5]trip_summary_region!G653</f>
        <v>19.359252680000001</v>
      </c>
      <c r="H653">
        <f>[5]trip_summary_region!H653</f>
        <v>0.76229285280000003</v>
      </c>
      <c r="I653" t="s">
        <v>116</v>
      </c>
      <c r="J653" t="str">
        <f>[5]trip_summary_region!J653</f>
        <v>2012/13</v>
      </c>
    </row>
    <row r="654" spans="1:10" x14ac:dyDescent="0.2">
      <c r="A654" t="str">
        <f>[5]trip_summary_region!A654</f>
        <v>09 WELLINGTON</v>
      </c>
      <c r="B654">
        <f>[5]trip_summary_region!B654</f>
        <v>4</v>
      </c>
      <c r="C654">
        <f>[5]trip_summary_region!C654</f>
        <v>2018</v>
      </c>
      <c r="D654">
        <f>[5]trip_summary_region!D654</f>
        <v>31</v>
      </c>
      <c r="E654">
        <f>[5]trip_summary_region!E654</f>
        <v>51</v>
      </c>
      <c r="F654">
        <f>[5]trip_summary_region!F654</f>
        <v>2.6096777248</v>
      </c>
      <c r="G654">
        <f>[5]trip_summary_region!G654</f>
        <v>20.870338469</v>
      </c>
      <c r="H654">
        <f>[5]trip_summary_region!H654</f>
        <v>0.83114396690000003</v>
      </c>
      <c r="I654" t="s">
        <v>116</v>
      </c>
      <c r="J654" t="str">
        <f>[5]trip_summary_region!J654</f>
        <v>2017/18</v>
      </c>
    </row>
    <row r="655" spans="1:10" x14ac:dyDescent="0.2">
      <c r="A655" t="str">
        <f>[5]trip_summary_region!A655</f>
        <v>09 WELLINGTON</v>
      </c>
      <c r="B655">
        <f>[5]trip_summary_region!B655</f>
        <v>4</v>
      </c>
      <c r="C655">
        <f>[5]trip_summary_region!C655</f>
        <v>2023</v>
      </c>
      <c r="D655">
        <f>[5]trip_summary_region!D655</f>
        <v>31</v>
      </c>
      <c r="E655">
        <f>[5]trip_summary_region!E655</f>
        <v>51</v>
      </c>
      <c r="F655">
        <f>[5]trip_summary_region!F655</f>
        <v>2.7683039984</v>
      </c>
      <c r="G655">
        <f>[5]trip_summary_region!G655</f>
        <v>22.262005342999998</v>
      </c>
      <c r="H655">
        <f>[5]trip_summary_region!H655</f>
        <v>0.89051783979999999</v>
      </c>
      <c r="I655" t="s">
        <v>116</v>
      </c>
      <c r="J655" t="str">
        <f>[5]trip_summary_region!J655</f>
        <v>2022/23</v>
      </c>
    </row>
    <row r="656" spans="1:10" x14ac:dyDescent="0.2">
      <c r="A656" t="str">
        <f>[5]trip_summary_region!A656</f>
        <v>09 WELLINGTON</v>
      </c>
      <c r="B656">
        <f>[5]trip_summary_region!B656</f>
        <v>4</v>
      </c>
      <c r="C656">
        <f>[5]trip_summary_region!C656</f>
        <v>2028</v>
      </c>
      <c r="D656">
        <f>[5]trip_summary_region!D656</f>
        <v>31</v>
      </c>
      <c r="E656">
        <f>[5]trip_summary_region!E656</f>
        <v>51</v>
      </c>
      <c r="F656">
        <f>[5]trip_summary_region!F656</f>
        <v>2.9263181496000001</v>
      </c>
      <c r="G656">
        <f>[5]trip_summary_region!G656</f>
        <v>24.309593308</v>
      </c>
      <c r="H656">
        <f>[5]trip_summary_region!H656</f>
        <v>0.96930699379999996</v>
      </c>
      <c r="I656" t="s">
        <v>116</v>
      </c>
      <c r="J656" t="str">
        <f>[5]trip_summary_region!J656</f>
        <v>2027/28</v>
      </c>
    </row>
    <row r="657" spans="1:10" x14ac:dyDescent="0.2">
      <c r="A657" t="str">
        <f>[5]trip_summary_region!A657</f>
        <v>09 WELLINGTON</v>
      </c>
      <c r="B657">
        <f>[5]trip_summary_region!B657</f>
        <v>4</v>
      </c>
      <c r="C657">
        <f>[5]trip_summary_region!C657</f>
        <v>2033</v>
      </c>
      <c r="D657">
        <f>[5]trip_summary_region!D657</f>
        <v>31</v>
      </c>
      <c r="E657">
        <f>[5]trip_summary_region!E657</f>
        <v>51</v>
      </c>
      <c r="F657">
        <f>[5]trip_summary_region!F657</f>
        <v>3.0734515014000001</v>
      </c>
      <c r="G657">
        <f>[5]trip_summary_region!G657</f>
        <v>26.326827371</v>
      </c>
      <c r="H657">
        <f>[5]trip_summary_region!H657</f>
        <v>1.0378713101999999</v>
      </c>
      <c r="I657" t="s">
        <v>116</v>
      </c>
      <c r="J657" t="str">
        <f>[5]trip_summary_region!J657</f>
        <v>2032/33</v>
      </c>
    </row>
    <row r="658" spans="1:10" x14ac:dyDescent="0.2">
      <c r="A658" t="str">
        <f>[5]trip_summary_region!A658</f>
        <v>09 WELLINGTON</v>
      </c>
      <c r="B658">
        <f>[5]trip_summary_region!B658</f>
        <v>4</v>
      </c>
      <c r="C658">
        <f>[5]trip_summary_region!C658</f>
        <v>2038</v>
      </c>
      <c r="D658">
        <f>[5]trip_summary_region!D658</f>
        <v>31</v>
      </c>
      <c r="E658">
        <f>[5]trip_summary_region!E658</f>
        <v>51</v>
      </c>
      <c r="F658">
        <f>[5]trip_summary_region!F658</f>
        <v>3.2063250814000002</v>
      </c>
      <c r="G658">
        <f>[5]trip_summary_region!G658</f>
        <v>27.969559895</v>
      </c>
      <c r="H658">
        <f>[5]trip_summary_region!H658</f>
        <v>1.0880160775000001</v>
      </c>
      <c r="I658" t="s">
        <v>116</v>
      </c>
      <c r="J658" t="str">
        <f>[5]trip_summary_region!J658</f>
        <v>2037/38</v>
      </c>
    </row>
    <row r="659" spans="1:10" x14ac:dyDescent="0.2">
      <c r="A659" t="str">
        <f>[5]trip_summary_region!A659</f>
        <v>09 WELLINGTON</v>
      </c>
      <c r="B659">
        <f>[5]trip_summary_region!B659</f>
        <v>4</v>
      </c>
      <c r="C659">
        <f>[5]trip_summary_region!C659</f>
        <v>2043</v>
      </c>
      <c r="D659">
        <f>[5]trip_summary_region!D659</f>
        <v>31</v>
      </c>
      <c r="E659">
        <f>[5]trip_summary_region!E659</f>
        <v>51</v>
      </c>
      <c r="F659">
        <f>[5]trip_summary_region!F659</f>
        <v>3.3256707772</v>
      </c>
      <c r="G659">
        <f>[5]trip_summary_region!G659</f>
        <v>29.409127783999999</v>
      </c>
      <c r="H659">
        <f>[5]trip_summary_region!H659</f>
        <v>1.1320938256999999</v>
      </c>
      <c r="I659" t="s">
        <v>116</v>
      </c>
      <c r="J659" t="str">
        <f>[5]trip_summary_region!J659</f>
        <v>2042/43</v>
      </c>
    </row>
    <row r="660" spans="1:10" x14ac:dyDescent="0.2">
      <c r="A660" t="str">
        <f>[5]trip_summary_region!A660</f>
        <v>09 WELLINGTON</v>
      </c>
      <c r="B660">
        <f>[5]trip_summary_region!B660</f>
        <v>5</v>
      </c>
      <c r="C660">
        <f>[5]trip_summary_region!C660</f>
        <v>2013</v>
      </c>
      <c r="D660">
        <f>[5]trip_summary_region!D660</f>
        <v>16</v>
      </c>
      <c r="E660">
        <f>[5]trip_summary_region!E660</f>
        <v>64</v>
      </c>
      <c r="F660">
        <f>[5]trip_summary_region!F660</f>
        <v>2.4968267649999998</v>
      </c>
      <c r="G660">
        <f>[5]trip_summary_region!G660</f>
        <v>24.444631151999999</v>
      </c>
      <c r="H660">
        <f>[5]trip_summary_region!H660</f>
        <v>0.71073078609999996</v>
      </c>
      <c r="I660" t="str">
        <f>[5]trip_summary_region!I660</f>
        <v>Motorcyclist</v>
      </c>
      <c r="J660" t="str">
        <f>[5]trip_summary_region!J660</f>
        <v>2012/13</v>
      </c>
    </row>
    <row r="661" spans="1:10" x14ac:dyDescent="0.2">
      <c r="A661" t="str">
        <f>[5]trip_summary_region!A661</f>
        <v>09 WELLINGTON</v>
      </c>
      <c r="B661">
        <f>[5]trip_summary_region!B661</f>
        <v>5</v>
      </c>
      <c r="C661">
        <f>[5]trip_summary_region!C661</f>
        <v>2018</v>
      </c>
      <c r="D661">
        <f>[5]trip_summary_region!D661</f>
        <v>16</v>
      </c>
      <c r="E661">
        <f>[5]trip_summary_region!E661</f>
        <v>64</v>
      </c>
      <c r="F661">
        <f>[5]trip_summary_region!F661</f>
        <v>2.6697112401999998</v>
      </c>
      <c r="G661">
        <f>[5]trip_summary_region!G661</f>
        <v>24.915436018000001</v>
      </c>
      <c r="H661">
        <f>[5]trip_summary_region!H661</f>
        <v>0.73986955409999999</v>
      </c>
      <c r="I661" t="str">
        <f>[5]trip_summary_region!I661</f>
        <v>Motorcyclist</v>
      </c>
      <c r="J661" t="str">
        <f>[5]trip_summary_region!J661</f>
        <v>2017/18</v>
      </c>
    </row>
    <row r="662" spans="1:10" x14ac:dyDescent="0.2">
      <c r="A662" t="str">
        <f>[5]trip_summary_region!A662</f>
        <v>09 WELLINGTON</v>
      </c>
      <c r="B662">
        <f>[5]trip_summary_region!B662</f>
        <v>5</v>
      </c>
      <c r="C662">
        <f>[5]trip_summary_region!C662</f>
        <v>2023</v>
      </c>
      <c r="D662">
        <f>[5]trip_summary_region!D662</f>
        <v>16</v>
      </c>
      <c r="E662">
        <f>[5]trip_summary_region!E662</f>
        <v>64</v>
      </c>
      <c r="F662">
        <f>[5]trip_summary_region!F662</f>
        <v>2.7376842686999998</v>
      </c>
      <c r="G662">
        <f>[5]trip_summary_region!G662</f>
        <v>24.889414937000002</v>
      </c>
      <c r="H662">
        <f>[5]trip_summary_region!H662</f>
        <v>0.74320626089999997</v>
      </c>
      <c r="I662" t="str">
        <f>[5]trip_summary_region!I662</f>
        <v>Motorcyclist</v>
      </c>
      <c r="J662" t="str">
        <f>[5]trip_summary_region!J662</f>
        <v>2022/23</v>
      </c>
    </row>
    <row r="663" spans="1:10" x14ac:dyDescent="0.2">
      <c r="A663" t="str">
        <f>[5]trip_summary_region!A663</f>
        <v>09 WELLINGTON</v>
      </c>
      <c r="B663">
        <f>[5]trip_summary_region!B663</f>
        <v>5</v>
      </c>
      <c r="C663">
        <f>[5]trip_summary_region!C663</f>
        <v>2028</v>
      </c>
      <c r="D663">
        <f>[5]trip_summary_region!D663</f>
        <v>16</v>
      </c>
      <c r="E663">
        <f>[5]trip_summary_region!E663</f>
        <v>64</v>
      </c>
      <c r="F663">
        <f>[5]trip_summary_region!F663</f>
        <v>2.8298805211000002</v>
      </c>
      <c r="G663">
        <f>[5]trip_summary_region!G663</f>
        <v>25.78215307</v>
      </c>
      <c r="H663">
        <f>[5]trip_summary_region!H663</f>
        <v>0.76260897319999998</v>
      </c>
      <c r="I663" t="str">
        <f>[5]trip_summary_region!I663</f>
        <v>Motorcyclist</v>
      </c>
      <c r="J663" t="str">
        <f>[5]trip_summary_region!J663</f>
        <v>2027/28</v>
      </c>
    </row>
    <row r="664" spans="1:10" x14ac:dyDescent="0.2">
      <c r="A664" t="str">
        <f>[5]trip_summary_region!A664</f>
        <v>09 WELLINGTON</v>
      </c>
      <c r="B664">
        <f>[5]trip_summary_region!B664</f>
        <v>5</v>
      </c>
      <c r="C664">
        <f>[5]trip_summary_region!C664</f>
        <v>2033</v>
      </c>
      <c r="D664">
        <f>[5]trip_summary_region!D664</f>
        <v>16</v>
      </c>
      <c r="E664">
        <f>[5]trip_summary_region!E664</f>
        <v>64</v>
      </c>
      <c r="F664">
        <f>[5]trip_summary_region!F664</f>
        <v>2.9428362749999999</v>
      </c>
      <c r="G664">
        <f>[5]trip_summary_region!G664</f>
        <v>27.432653900999998</v>
      </c>
      <c r="H664">
        <f>[5]trip_summary_region!H664</f>
        <v>0.80182981499999995</v>
      </c>
      <c r="I664" t="str">
        <f>[5]trip_summary_region!I664</f>
        <v>Motorcyclist</v>
      </c>
      <c r="J664" t="str">
        <f>[5]trip_summary_region!J664</f>
        <v>2032/33</v>
      </c>
    </row>
    <row r="665" spans="1:10" x14ac:dyDescent="0.2">
      <c r="A665" t="str">
        <f>[5]trip_summary_region!A665</f>
        <v>09 WELLINGTON</v>
      </c>
      <c r="B665">
        <f>[5]trip_summary_region!B665</f>
        <v>5</v>
      </c>
      <c r="C665">
        <f>[5]trip_summary_region!C665</f>
        <v>2038</v>
      </c>
      <c r="D665">
        <f>[5]trip_summary_region!D665</f>
        <v>16</v>
      </c>
      <c r="E665">
        <f>[5]trip_summary_region!E665</f>
        <v>64</v>
      </c>
      <c r="F665">
        <f>[5]trip_summary_region!F665</f>
        <v>3.0203811453</v>
      </c>
      <c r="G665">
        <f>[5]trip_summary_region!G665</f>
        <v>28.798171240999999</v>
      </c>
      <c r="H665">
        <f>[5]trip_summary_region!H665</f>
        <v>0.83540665889999999</v>
      </c>
      <c r="I665" t="str">
        <f>[5]trip_summary_region!I665</f>
        <v>Motorcyclist</v>
      </c>
      <c r="J665" t="str">
        <f>[5]trip_summary_region!J665</f>
        <v>2037/38</v>
      </c>
    </row>
    <row r="666" spans="1:10" x14ac:dyDescent="0.2">
      <c r="A666" t="str">
        <f>[5]trip_summary_region!A666</f>
        <v>09 WELLINGTON</v>
      </c>
      <c r="B666">
        <f>[5]trip_summary_region!B666</f>
        <v>5</v>
      </c>
      <c r="C666">
        <f>[5]trip_summary_region!C666</f>
        <v>2043</v>
      </c>
      <c r="D666">
        <f>[5]trip_summary_region!D666</f>
        <v>16</v>
      </c>
      <c r="E666">
        <f>[5]trip_summary_region!E666</f>
        <v>64</v>
      </c>
      <c r="F666">
        <f>[5]trip_summary_region!F666</f>
        <v>3.0618537293000001</v>
      </c>
      <c r="G666">
        <f>[5]trip_summary_region!G666</f>
        <v>29.808710197</v>
      </c>
      <c r="H666">
        <f>[5]trip_summary_region!H666</f>
        <v>0.85781365980000002</v>
      </c>
      <c r="I666" t="str">
        <f>[5]trip_summary_region!I666</f>
        <v>Motorcyclist</v>
      </c>
      <c r="J666" t="str">
        <f>[5]trip_summary_region!J666</f>
        <v>2042/43</v>
      </c>
    </row>
    <row r="667" spans="1:10" x14ac:dyDescent="0.2">
      <c r="A667" t="str">
        <f>[5]trip_summary_region!A667</f>
        <v>09 WELLINGTON</v>
      </c>
      <c r="B667">
        <f>[5]trip_summary_region!B667</f>
        <v>6</v>
      </c>
      <c r="C667">
        <f>[5]trip_summary_region!C667</f>
        <v>2013</v>
      </c>
      <c r="D667">
        <f>[5]trip_summary_region!D667</f>
        <v>94</v>
      </c>
      <c r="E667">
        <f>[5]trip_summary_region!E667</f>
        <v>228</v>
      </c>
      <c r="F667">
        <f>[5]trip_summary_region!F667</f>
        <v>10.165258230999999</v>
      </c>
      <c r="G667">
        <f>[5]trip_summary_region!G667</f>
        <v>251.12727889999999</v>
      </c>
      <c r="H667">
        <f>[5]trip_summary_region!H667</f>
        <v>5.5268751299999996</v>
      </c>
      <c r="I667" t="str">
        <f>[5]trip_summary_region!I667</f>
        <v>Local Train</v>
      </c>
      <c r="J667" t="str">
        <f>[5]trip_summary_region!J667</f>
        <v>2012/13</v>
      </c>
    </row>
    <row r="668" spans="1:10" x14ac:dyDescent="0.2">
      <c r="A668" t="str">
        <f>[5]trip_summary_region!A668</f>
        <v>09 WELLINGTON</v>
      </c>
      <c r="B668">
        <f>[5]trip_summary_region!B668</f>
        <v>6</v>
      </c>
      <c r="C668">
        <f>[5]trip_summary_region!C668</f>
        <v>2018</v>
      </c>
      <c r="D668">
        <f>[5]trip_summary_region!D668</f>
        <v>94</v>
      </c>
      <c r="E668">
        <f>[5]trip_summary_region!E668</f>
        <v>228</v>
      </c>
      <c r="F668">
        <f>[5]trip_summary_region!F668</f>
        <v>11.09745863</v>
      </c>
      <c r="G668">
        <f>[5]trip_summary_region!G668</f>
        <v>272.30099767000002</v>
      </c>
      <c r="H668">
        <f>[5]trip_summary_region!H668</f>
        <v>5.9722013032000003</v>
      </c>
      <c r="I668" t="str">
        <f>[5]trip_summary_region!I668</f>
        <v>Local Train</v>
      </c>
      <c r="J668" t="str">
        <f>[5]trip_summary_region!J668</f>
        <v>2017/18</v>
      </c>
    </row>
    <row r="669" spans="1:10" x14ac:dyDescent="0.2">
      <c r="A669" t="str">
        <f>[5]trip_summary_region!A669</f>
        <v>09 WELLINGTON</v>
      </c>
      <c r="B669">
        <f>[5]trip_summary_region!B669</f>
        <v>6</v>
      </c>
      <c r="C669">
        <f>[5]trip_summary_region!C669</f>
        <v>2023</v>
      </c>
      <c r="D669">
        <f>[5]trip_summary_region!D669</f>
        <v>94</v>
      </c>
      <c r="E669">
        <f>[5]trip_summary_region!E669</f>
        <v>228</v>
      </c>
      <c r="F669">
        <f>[5]trip_summary_region!F669</f>
        <v>11.700891197000001</v>
      </c>
      <c r="G669">
        <f>[5]trip_summary_region!G669</f>
        <v>287.57689847</v>
      </c>
      <c r="H669">
        <f>[5]trip_summary_region!H669</f>
        <v>6.2906053629000001</v>
      </c>
      <c r="I669" t="str">
        <f>[5]trip_summary_region!I669</f>
        <v>Local Train</v>
      </c>
      <c r="J669" t="str">
        <f>[5]trip_summary_region!J669</f>
        <v>2022/23</v>
      </c>
    </row>
    <row r="670" spans="1:10" x14ac:dyDescent="0.2">
      <c r="A670" t="str">
        <f>[5]trip_summary_region!A670</f>
        <v>09 WELLINGTON</v>
      </c>
      <c r="B670">
        <f>[5]trip_summary_region!B670</f>
        <v>6</v>
      </c>
      <c r="C670">
        <f>[5]trip_summary_region!C670</f>
        <v>2028</v>
      </c>
      <c r="D670">
        <f>[5]trip_summary_region!D670</f>
        <v>94</v>
      </c>
      <c r="E670">
        <f>[5]trip_summary_region!E670</f>
        <v>228</v>
      </c>
      <c r="F670">
        <f>[5]trip_summary_region!F670</f>
        <v>12.041057675999999</v>
      </c>
      <c r="G670">
        <f>[5]trip_summary_region!G670</f>
        <v>299.35808040000001</v>
      </c>
      <c r="H670">
        <f>[5]trip_summary_region!H670</f>
        <v>6.5361995627000002</v>
      </c>
      <c r="I670" t="str">
        <f>[5]trip_summary_region!I670</f>
        <v>Local Train</v>
      </c>
      <c r="J670" t="str">
        <f>[5]trip_summary_region!J670</f>
        <v>2027/28</v>
      </c>
    </row>
    <row r="671" spans="1:10" x14ac:dyDescent="0.2">
      <c r="A671" t="str">
        <f>[5]trip_summary_region!A671</f>
        <v>09 WELLINGTON</v>
      </c>
      <c r="B671">
        <f>[5]trip_summary_region!B671</f>
        <v>6</v>
      </c>
      <c r="C671">
        <f>[5]trip_summary_region!C671</f>
        <v>2033</v>
      </c>
      <c r="D671">
        <f>[5]trip_summary_region!D671</f>
        <v>94</v>
      </c>
      <c r="E671">
        <f>[5]trip_summary_region!E671</f>
        <v>228</v>
      </c>
      <c r="F671">
        <f>[5]trip_summary_region!F671</f>
        <v>12.251059278</v>
      </c>
      <c r="G671">
        <f>[5]trip_summary_region!G671</f>
        <v>304.57215048</v>
      </c>
      <c r="H671">
        <f>[5]trip_summary_region!H671</f>
        <v>6.6633950145999998</v>
      </c>
      <c r="I671" t="str">
        <f>[5]trip_summary_region!I671</f>
        <v>Local Train</v>
      </c>
      <c r="J671" t="str">
        <f>[5]trip_summary_region!J671</f>
        <v>2032/33</v>
      </c>
    </row>
    <row r="672" spans="1:10" x14ac:dyDescent="0.2">
      <c r="A672" t="str">
        <f>[5]trip_summary_region!A672</f>
        <v>09 WELLINGTON</v>
      </c>
      <c r="B672">
        <f>[5]trip_summary_region!B672</f>
        <v>6</v>
      </c>
      <c r="C672">
        <f>[5]trip_summary_region!C672</f>
        <v>2038</v>
      </c>
      <c r="D672">
        <f>[5]trip_summary_region!D672</f>
        <v>94</v>
      </c>
      <c r="E672">
        <f>[5]trip_summary_region!E672</f>
        <v>228</v>
      </c>
      <c r="F672">
        <f>[5]trip_summary_region!F672</f>
        <v>12.545954514</v>
      </c>
      <c r="G672">
        <f>[5]trip_summary_region!G672</f>
        <v>311.21015441999998</v>
      </c>
      <c r="H672">
        <f>[5]trip_summary_region!H672</f>
        <v>6.8175096367999997</v>
      </c>
      <c r="I672" t="str">
        <f>[5]trip_summary_region!I672</f>
        <v>Local Train</v>
      </c>
      <c r="J672" t="str">
        <f>[5]trip_summary_region!J672</f>
        <v>2037/38</v>
      </c>
    </row>
    <row r="673" spans="1:10" x14ac:dyDescent="0.2">
      <c r="A673" t="str">
        <f>[5]trip_summary_region!A673</f>
        <v>09 WELLINGTON</v>
      </c>
      <c r="B673">
        <f>[5]trip_summary_region!B673</f>
        <v>6</v>
      </c>
      <c r="C673">
        <f>[5]trip_summary_region!C673</f>
        <v>2043</v>
      </c>
      <c r="D673">
        <f>[5]trip_summary_region!D673</f>
        <v>94</v>
      </c>
      <c r="E673">
        <f>[5]trip_summary_region!E673</f>
        <v>228</v>
      </c>
      <c r="F673">
        <f>[5]trip_summary_region!F673</f>
        <v>12.780011669</v>
      </c>
      <c r="G673">
        <f>[5]trip_summary_region!G673</f>
        <v>315.94281543</v>
      </c>
      <c r="H673">
        <f>[5]trip_summary_region!H673</f>
        <v>6.9350759681999996</v>
      </c>
      <c r="I673" t="str">
        <f>[5]trip_summary_region!I673</f>
        <v>Local Train</v>
      </c>
      <c r="J673" t="str">
        <f>[5]trip_summary_region!J673</f>
        <v>2042/43</v>
      </c>
    </row>
    <row r="674" spans="1:10" x14ac:dyDescent="0.2">
      <c r="A674" t="str">
        <f>[5]trip_summary_region!A674</f>
        <v>09 WELLINGTON</v>
      </c>
      <c r="B674">
        <f>[5]trip_summary_region!B674</f>
        <v>7</v>
      </c>
      <c r="C674">
        <f>[5]trip_summary_region!C674</f>
        <v>2013</v>
      </c>
      <c r="D674">
        <f>[5]trip_summary_region!D674</f>
        <v>211</v>
      </c>
      <c r="E674">
        <f>[5]trip_summary_region!E674</f>
        <v>552</v>
      </c>
      <c r="F674">
        <f>[5]trip_summary_region!F674</f>
        <v>24.821335829999999</v>
      </c>
      <c r="G674">
        <f>[5]trip_summary_region!G674</f>
        <v>187.412398</v>
      </c>
      <c r="H674">
        <f>[5]trip_summary_region!H674</f>
        <v>9.3956469076999998</v>
      </c>
      <c r="I674" t="str">
        <f>[5]trip_summary_region!I674</f>
        <v>Local Bus</v>
      </c>
      <c r="J674" t="str">
        <f>[5]trip_summary_region!J674</f>
        <v>2012/13</v>
      </c>
    </row>
    <row r="675" spans="1:10" x14ac:dyDescent="0.2">
      <c r="A675" t="str">
        <f>[5]trip_summary_region!A675</f>
        <v>09 WELLINGTON</v>
      </c>
      <c r="B675">
        <f>[5]trip_summary_region!B675</f>
        <v>7</v>
      </c>
      <c r="C675">
        <f>[5]trip_summary_region!C675</f>
        <v>2018</v>
      </c>
      <c r="D675">
        <f>[5]trip_summary_region!D675</f>
        <v>211</v>
      </c>
      <c r="E675">
        <f>[5]trip_summary_region!E675</f>
        <v>552</v>
      </c>
      <c r="F675">
        <f>[5]trip_summary_region!F675</f>
        <v>26.179189936</v>
      </c>
      <c r="G675">
        <f>[5]trip_summary_region!G675</f>
        <v>199.36998972000001</v>
      </c>
      <c r="H675">
        <f>[5]trip_summary_region!H675</f>
        <v>9.9524310807000003</v>
      </c>
      <c r="I675" t="str">
        <f>[5]trip_summary_region!I675</f>
        <v>Local Bus</v>
      </c>
      <c r="J675" t="str">
        <f>[5]trip_summary_region!J675</f>
        <v>2017/18</v>
      </c>
    </row>
    <row r="676" spans="1:10" x14ac:dyDescent="0.2">
      <c r="A676" t="str">
        <f>[5]trip_summary_region!A676</f>
        <v>09 WELLINGTON</v>
      </c>
      <c r="B676">
        <f>[5]trip_summary_region!B676</f>
        <v>7</v>
      </c>
      <c r="C676">
        <f>[5]trip_summary_region!C676</f>
        <v>2023</v>
      </c>
      <c r="D676">
        <f>[5]trip_summary_region!D676</f>
        <v>211</v>
      </c>
      <c r="E676">
        <f>[5]trip_summary_region!E676</f>
        <v>552</v>
      </c>
      <c r="F676">
        <f>[5]trip_summary_region!F676</f>
        <v>26.782264098999999</v>
      </c>
      <c r="G676">
        <f>[5]trip_summary_region!G676</f>
        <v>204.78550231</v>
      </c>
      <c r="H676">
        <f>[5]trip_summary_region!H676</f>
        <v>10.221614831</v>
      </c>
      <c r="I676" t="str">
        <f>[5]trip_summary_region!I676</f>
        <v>Local Bus</v>
      </c>
      <c r="J676" t="str">
        <f>[5]trip_summary_region!J676</f>
        <v>2022/23</v>
      </c>
    </row>
    <row r="677" spans="1:10" x14ac:dyDescent="0.2">
      <c r="A677" t="str">
        <f>[5]trip_summary_region!A677</f>
        <v>09 WELLINGTON</v>
      </c>
      <c r="B677">
        <f>[5]trip_summary_region!B677</f>
        <v>7</v>
      </c>
      <c r="C677">
        <f>[5]trip_summary_region!C677</f>
        <v>2028</v>
      </c>
      <c r="D677">
        <f>[5]trip_summary_region!D677</f>
        <v>211</v>
      </c>
      <c r="E677">
        <f>[5]trip_summary_region!E677</f>
        <v>552</v>
      </c>
      <c r="F677">
        <f>[5]trip_summary_region!F677</f>
        <v>26.876840296000001</v>
      </c>
      <c r="G677">
        <f>[5]trip_summary_region!G677</f>
        <v>208.60145833000001</v>
      </c>
      <c r="H677">
        <f>[5]trip_summary_region!H677</f>
        <v>10.277843769</v>
      </c>
      <c r="I677" t="str">
        <f>[5]trip_summary_region!I677</f>
        <v>Local Bus</v>
      </c>
      <c r="J677" t="str">
        <f>[5]trip_summary_region!J677</f>
        <v>2027/28</v>
      </c>
    </row>
    <row r="678" spans="1:10" x14ac:dyDescent="0.2">
      <c r="A678" t="str">
        <f>[5]trip_summary_region!A678</f>
        <v>09 WELLINGTON</v>
      </c>
      <c r="B678">
        <f>[5]trip_summary_region!B678</f>
        <v>7</v>
      </c>
      <c r="C678">
        <f>[5]trip_summary_region!C678</f>
        <v>2033</v>
      </c>
      <c r="D678">
        <f>[5]trip_summary_region!D678</f>
        <v>211</v>
      </c>
      <c r="E678">
        <f>[5]trip_summary_region!E678</f>
        <v>552</v>
      </c>
      <c r="F678">
        <f>[5]trip_summary_region!F678</f>
        <v>26.570308375</v>
      </c>
      <c r="G678">
        <f>[5]trip_summary_region!G678</f>
        <v>210.43878918999999</v>
      </c>
      <c r="H678">
        <f>[5]trip_summary_region!H678</f>
        <v>10.191776047999999</v>
      </c>
      <c r="I678" t="str">
        <f>[5]trip_summary_region!I678</f>
        <v>Local Bus</v>
      </c>
      <c r="J678" t="str">
        <f>[5]trip_summary_region!J678</f>
        <v>2032/33</v>
      </c>
    </row>
    <row r="679" spans="1:10" x14ac:dyDescent="0.2">
      <c r="A679" t="str">
        <f>[5]trip_summary_region!A679</f>
        <v>09 WELLINGTON</v>
      </c>
      <c r="B679">
        <f>[5]trip_summary_region!B679</f>
        <v>7</v>
      </c>
      <c r="C679">
        <f>[5]trip_summary_region!C679</f>
        <v>2038</v>
      </c>
      <c r="D679">
        <f>[5]trip_summary_region!D679</f>
        <v>211</v>
      </c>
      <c r="E679">
        <f>[5]trip_summary_region!E679</f>
        <v>552</v>
      </c>
      <c r="F679">
        <f>[5]trip_summary_region!F679</f>
        <v>26.094585173999999</v>
      </c>
      <c r="G679">
        <f>[5]trip_summary_region!G679</f>
        <v>211.45580906999999</v>
      </c>
      <c r="H679">
        <f>[5]trip_summary_region!H679</f>
        <v>10.057332625000001</v>
      </c>
      <c r="I679" t="str">
        <f>[5]trip_summary_region!I679</f>
        <v>Local Bus</v>
      </c>
      <c r="J679" t="str">
        <f>[5]trip_summary_region!J679</f>
        <v>2037/38</v>
      </c>
    </row>
    <row r="680" spans="1:10" x14ac:dyDescent="0.2">
      <c r="A680" t="str">
        <f>[5]trip_summary_region!A680</f>
        <v>09 WELLINGTON</v>
      </c>
      <c r="B680">
        <f>[5]trip_summary_region!B680</f>
        <v>7</v>
      </c>
      <c r="C680">
        <f>[5]trip_summary_region!C680</f>
        <v>2043</v>
      </c>
      <c r="D680">
        <f>[5]trip_summary_region!D680</f>
        <v>211</v>
      </c>
      <c r="E680">
        <f>[5]trip_summary_region!E680</f>
        <v>552</v>
      </c>
      <c r="F680">
        <f>[5]trip_summary_region!F680</f>
        <v>25.481608257000001</v>
      </c>
      <c r="G680">
        <f>[5]trip_summary_region!G680</f>
        <v>211.28452615</v>
      </c>
      <c r="H680">
        <f>[5]trip_summary_region!H680</f>
        <v>9.8641072621999992</v>
      </c>
      <c r="I680" t="str">
        <f>[5]trip_summary_region!I680</f>
        <v>Local Bus</v>
      </c>
      <c r="J680" t="str">
        <f>[5]trip_summary_region!J680</f>
        <v>2042/43</v>
      </c>
    </row>
    <row r="681" spans="1:10" x14ac:dyDescent="0.2">
      <c r="A681" t="str">
        <f>[5]trip_summary_region!A681</f>
        <v>09 WELLINGTON</v>
      </c>
      <c r="B681">
        <f>[5]trip_summary_region!B681</f>
        <v>8</v>
      </c>
      <c r="C681">
        <f>[5]trip_summary_region!C681</f>
        <v>2013</v>
      </c>
      <c r="D681">
        <f>[5]trip_summary_region!D681</f>
        <v>2</v>
      </c>
      <c r="E681">
        <f>[5]trip_summary_region!E681</f>
        <v>4</v>
      </c>
      <c r="F681">
        <f>[5]trip_summary_region!F681</f>
        <v>0.22615005399999999</v>
      </c>
      <c r="G681">
        <f>[5]trip_summary_region!G681</f>
        <v>0</v>
      </c>
      <c r="H681">
        <f>[5]trip_summary_region!H681</f>
        <v>5.6537513499999997E-2</v>
      </c>
      <c r="I681" t="str">
        <f>[5]trip_summary_region!I681</f>
        <v>Local Ferry</v>
      </c>
      <c r="J681" t="str">
        <f>[5]trip_summary_region!J681</f>
        <v>2012/13</v>
      </c>
    </row>
    <row r="682" spans="1:10" x14ac:dyDescent="0.2">
      <c r="A682" t="str">
        <f>[5]trip_summary_region!A682</f>
        <v>09 WELLINGTON</v>
      </c>
      <c r="B682">
        <f>[5]trip_summary_region!B682</f>
        <v>8</v>
      </c>
      <c r="C682">
        <f>[5]trip_summary_region!C682</f>
        <v>2018</v>
      </c>
      <c r="D682">
        <f>[5]trip_summary_region!D682</f>
        <v>2</v>
      </c>
      <c r="E682">
        <f>[5]trip_summary_region!E682</f>
        <v>4</v>
      </c>
      <c r="F682">
        <f>[5]trip_summary_region!F682</f>
        <v>0.2693852887</v>
      </c>
      <c r="G682">
        <f>[5]trip_summary_region!G682</f>
        <v>0</v>
      </c>
      <c r="H682">
        <f>[5]trip_summary_region!H682</f>
        <v>6.7346322200000003E-2</v>
      </c>
      <c r="I682" t="str">
        <f>[5]trip_summary_region!I682</f>
        <v>Local Ferry</v>
      </c>
      <c r="J682" t="str">
        <f>[5]trip_summary_region!J682</f>
        <v>2017/18</v>
      </c>
    </row>
    <row r="683" spans="1:10" x14ac:dyDescent="0.2">
      <c r="A683" t="str">
        <f>[5]trip_summary_region!A683</f>
        <v>09 WELLINGTON</v>
      </c>
      <c r="B683">
        <f>[5]trip_summary_region!B683</f>
        <v>8</v>
      </c>
      <c r="C683">
        <f>[5]trip_summary_region!C683</f>
        <v>2023</v>
      </c>
      <c r="D683">
        <f>[5]trip_summary_region!D683</f>
        <v>2</v>
      </c>
      <c r="E683">
        <f>[5]trip_summary_region!E683</f>
        <v>4</v>
      </c>
      <c r="F683">
        <f>[5]trip_summary_region!F683</f>
        <v>0.29641218809999997</v>
      </c>
      <c r="G683">
        <f>[5]trip_summary_region!G683</f>
        <v>0</v>
      </c>
      <c r="H683">
        <f>[5]trip_summary_region!H683</f>
        <v>7.4103047000000005E-2</v>
      </c>
      <c r="I683" t="str">
        <f>[5]trip_summary_region!I683</f>
        <v>Local Ferry</v>
      </c>
      <c r="J683" t="str">
        <f>[5]trip_summary_region!J683</f>
        <v>2022/23</v>
      </c>
    </row>
    <row r="684" spans="1:10" x14ac:dyDescent="0.2">
      <c r="A684" t="str">
        <f>[5]trip_summary_region!A684</f>
        <v>09 WELLINGTON</v>
      </c>
      <c r="B684">
        <f>[5]trip_summary_region!B684</f>
        <v>8</v>
      </c>
      <c r="C684">
        <f>[5]trip_summary_region!C684</f>
        <v>2028</v>
      </c>
      <c r="D684">
        <f>[5]trip_summary_region!D684</f>
        <v>2</v>
      </c>
      <c r="E684">
        <f>[5]trip_summary_region!E684</f>
        <v>4</v>
      </c>
      <c r="F684">
        <f>[5]trip_summary_region!F684</f>
        <v>0.32699941999999999</v>
      </c>
      <c r="G684">
        <f>[5]trip_summary_region!G684</f>
        <v>0</v>
      </c>
      <c r="H684">
        <f>[5]trip_summary_region!H684</f>
        <v>8.1749854999999996E-2</v>
      </c>
      <c r="I684" t="str">
        <f>[5]trip_summary_region!I684</f>
        <v>Local Ferry</v>
      </c>
      <c r="J684" t="str">
        <f>[5]trip_summary_region!J684</f>
        <v>2027/28</v>
      </c>
    </row>
    <row r="685" spans="1:10" x14ac:dyDescent="0.2">
      <c r="A685" t="str">
        <f>[5]trip_summary_region!A685</f>
        <v>09 WELLINGTON</v>
      </c>
      <c r="B685">
        <f>[5]trip_summary_region!B685</f>
        <v>8</v>
      </c>
      <c r="C685">
        <f>[5]trip_summary_region!C685</f>
        <v>2033</v>
      </c>
      <c r="D685">
        <f>[5]trip_summary_region!D685</f>
        <v>2</v>
      </c>
      <c r="E685">
        <f>[5]trip_summary_region!E685</f>
        <v>4</v>
      </c>
      <c r="F685">
        <f>[5]trip_summary_region!F685</f>
        <v>0.36098686619999998</v>
      </c>
      <c r="G685">
        <f>[5]trip_summary_region!G685</f>
        <v>0</v>
      </c>
      <c r="H685">
        <f>[5]trip_summary_region!H685</f>
        <v>9.0246716500000004E-2</v>
      </c>
      <c r="I685" t="str">
        <f>[5]trip_summary_region!I685</f>
        <v>Local Ferry</v>
      </c>
      <c r="J685" t="str">
        <f>[5]trip_summary_region!J685</f>
        <v>2032/33</v>
      </c>
    </row>
    <row r="686" spans="1:10" x14ac:dyDescent="0.2">
      <c r="A686" t="str">
        <f>[5]trip_summary_region!A686</f>
        <v>09 WELLINGTON</v>
      </c>
      <c r="B686">
        <f>[5]trip_summary_region!B686</f>
        <v>8</v>
      </c>
      <c r="C686">
        <f>[5]trip_summary_region!C686</f>
        <v>2038</v>
      </c>
      <c r="D686">
        <f>[5]trip_summary_region!D686</f>
        <v>2</v>
      </c>
      <c r="E686">
        <f>[5]trip_summary_region!E686</f>
        <v>4</v>
      </c>
      <c r="F686">
        <f>[5]trip_summary_region!F686</f>
        <v>0.40539583470000001</v>
      </c>
      <c r="G686">
        <f>[5]trip_summary_region!G686</f>
        <v>0</v>
      </c>
      <c r="H686">
        <f>[5]trip_summary_region!H686</f>
        <v>0.10134895870000001</v>
      </c>
      <c r="I686" t="str">
        <f>[5]trip_summary_region!I686</f>
        <v>Local Ferry</v>
      </c>
      <c r="J686" t="str">
        <f>[5]trip_summary_region!J686</f>
        <v>2037/38</v>
      </c>
    </row>
    <row r="687" spans="1:10" x14ac:dyDescent="0.2">
      <c r="A687" t="str">
        <f>[5]trip_summary_region!A687</f>
        <v>09 WELLINGTON</v>
      </c>
      <c r="B687">
        <f>[5]trip_summary_region!B687</f>
        <v>8</v>
      </c>
      <c r="C687">
        <f>[5]trip_summary_region!C687</f>
        <v>2043</v>
      </c>
      <c r="D687">
        <f>[5]trip_summary_region!D687</f>
        <v>2</v>
      </c>
      <c r="E687">
        <f>[5]trip_summary_region!E687</f>
        <v>4</v>
      </c>
      <c r="F687">
        <f>[5]trip_summary_region!F687</f>
        <v>0.45331101419999997</v>
      </c>
      <c r="G687">
        <f>[5]trip_summary_region!G687</f>
        <v>0</v>
      </c>
      <c r="H687">
        <f>[5]trip_summary_region!H687</f>
        <v>0.1133277536</v>
      </c>
      <c r="I687" t="str">
        <f>[5]trip_summary_region!I687</f>
        <v>Local Ferry</v>
      </c>
      <c r="J687" t="str">
        <f>[5]trip_summary_region!J687</f>
        <v>2042/43</v>
      </c>
    </row>
    <row r="688" spans="1:10" x14ac:dyDescent="0.2">
      <c r="A688" t="str">
        <f>[5]trip_summary_region!A688</f>
        <v>09 WELLINGTON</v>
      </c>
      <c r="B688">
        <f>[5]trip_summary_region!B688</f>
        <v>9</v>
      </c>
      <c r="C688">
        <f>[5]trip_summary_region!C688</f>
        <v>2013</v>
      </c>
      <c r="D688">
        <f>[5]trip_summary_region!D688</f>
        <v>7</v>
      </c>
      <c r="E688">
        <f>[5]trip_summary_region!E688</f>
        <v>10</v>
      </c>
      <c r="F688">
        <f>[5]trip_summary_region!F688</f>
        <v>0.33422365529999998</v>
      </c>
      <c r="G688">
        <f>[5]trip_summary_region!G688</f>
        <v>0</v>
      </c>
      <c r="H688">
        <f>[5]trip_summary_region!H688</f>
        <v>0.36538599710000003</v>
      </c>
      <c r="I688" t="str">
        <f>[5]trip_summary_region!I688</f>
        <v>Other Household Travel</v>
      </c>
      <c r="J688" t="str">
        <f>[5]trip_summary_region!J688</f>
        <v>2012/13</v>
      </c>
    </row>
    <row r="689" spans="1:10" x14ac:dyDescent="0.2">
      <c r="A689" t="str">
        <f>[5]trip_summary_region!A689</f>
        <v>09 WELLINGTON</v>
      </c>
      <c r="B689">
        <f>[5]trip_summary_region!B689</f>
        <v>9</v>
      </c>
      <c r="C689">
        <f>[5]trip_summary_region!C689</f>
        <v>2018</v>
      </c>
      <c r="D689">
        <f>[5]trip_summary_region!D689</f>
        <v>7</v>
      </c>
      <c r="E689">
        <f>[5]trip_summary_region!E689</f>
        <v>10</v>
      </c>
      <c r="F689">
        <f>[5]trip_summary_region!F689</f>
        <v>0.34319833830000002</v>
      </c>
      <c r="G689">
        <f>[5]trip_summary_region!G689</f>
        <v>0</v>
      </c>
      <c r="H689">
        <f>[5]trip_summary_region!H689</f>
        <v>0.34710272650000001</v>
      </c>
      <c r="I689" t="str">
        <f>[5]trip_summary_region!I689</f>
        <v>Other Household Travel</v>
      </c>
      <c r="J689" t="str">
        <f>[5]trip_summary_region!J689</f>
        <v>2017/18</v>
      </c>
    </row>
    <row r="690" spans="1:10" x14ac:dyDescent="0.2">
      <c r="A690" t="str">
        <f>[5]trip_summary_region!A690</f>
        <v>09 WELLINGTON</v>
      </c>
      <c r="B690">
        <f>[5]trip_summary_region!B690</f>
        <v>9</v>
      </c>
      <c r="C690">
        <f>[5]trip_summary_region!C690</f>
        <v>2023</v>
      </c>
      <c r="D690">
        <f>[5]trip_summary_region!D690</f>
        <v>7</v>
      </c>
      <c r="E690">
        <f>[5]trip_summary_region!E690</f>
        <v>10</v>
      </c>
      <c r="F690">
        <f>[5]trip_summary_region!F690</f>
        <v>0.35251805139999998</v>
      </c>
      <c r="G690">
        <f>[5]trip_summary_region!G690</f>
        <v>0</v>
      </c>
      <c r="H690">
        <f>[5]trip_summary_region!H690</f>
        <v>0.36285676319999999</v>
      </c>
      <c r="I690" t="str">
        <f>[5]trip_summary_region!I690</f>
        <v>Other Household Travel</v>
      </c>
      <c r="J690" t="str">
        <f>[5]trip_summary_region!J690</f>
        <v>2022/23</v>
      </c>
    </row>
    <row r="691" spans="1:10" x14ac:dyDescent="0.2">
      <c r="A691" t="str">
        <f>[5]trip_summary_region!A691</f>
        <v>09 WELLINGTON</v>
      </c>
      <c r="B691">
        <f>[5]trip_summary_region!B691</f>
        <v>9</v>
      </c>
      <c r="C691">
        <f>[5]trip_summary_region!C691</f>
        <v>2028</v>
      </c>
      <c r="D691">
        <f>[5]trip_summary_region!D691</f>
        <v>7</v>
      </c>
      <c r="E691">
        <f>[5]trip_summary_region!E691</f>
        <v>10</v>
      </c>
      <c r="F691">
        <f>[5]trip_summary_region!F691</f>
        <v>0.3550117928</v>
      </c>
      <c r="G691">
        <f>[5]trip_summary_region!G691</f>
        <v>0</v>
      </c>
      <c r="H691">
        <f>[5]trip_summary_region!H691</f>
        <v>0.41333741400000001</v>
      </c>
      <c r="I691" t="str">
        <f>[5]trip_summary_region!I691</f>
        <v>Other Household Travel</v>
      </c>
      <c r="J691" t="str">
        <f>[5]trip_summary_region!J691</f>
        <v>2027/28</v>
      </c>
    </row>
    <row r="692" spans="1:10" x14ac:dyDescent="0.2">
      <c r="A692" t="str">
        <f>[5]trip_summary_region!A692</f>
        <v>09 WELLINGTON</v>
      </c>
      <c r="B692">
        <f>[5]trip_summary_region!B692</f>
        <v>9</v>
      </c>
      <c r="C692">
        <f>[5]trip_summary_region!C692</f>
        <v>2033</v>
      </c>
      <c r="D692">
        <f>[5]trip_summary_region!D692</f>
        <v>7</v>
      </c>
      <c r="E692">
        <f>[5]trip_summary_region!E692</f>
        <v>10</v>
      </c>
      <c r="F692">
        <f>[5]trip_summary_region!F692</f>
        <v>0.34639727580000002</v>
      </c>
      <c r="G692">
        <f>[5]trip_summary_region!G692</f>
        <v>0</v>
      </c>
      <c r="H692">
        <f>[5]trip_summary_region!H692</f>
        <v>0.44816190700000003</v>
      </c>
      <c r="I692" t="str">
        <f>[5]trip_summary_region!I692</f>
        <v>Other Household Travel</v>
      </c>
      <c r="J692" t="str">
        <f>[5]trip_summary_region!J692</f>
        <v>2032/33</v>
      </c>
    </row>
    <row r="693" spans="1:10" x14ac:dyDescent="0.2">
      <c r="A693" t="str">
        <f>[5]trip_summary_region!A693</f>
        <v>09 WELLINGTON</v>
      </c>
      <c r="B693">
        <f>[5]trip_summary_region!B693</f>
        <v>9</v>
      </c>
      <c r="C693">
        <f>[5]trip_summary_region!C693</f>
        <v>2038</v>
      </c>
      <c r="D693">
        <f>[5]trip_summary_region!D693</f>
        <v>7</v>
      </c>
      <c r="E693">
        <f>[5]trip_summary_region!E693</f>
        <v>10</v>
      </c>
      <c r="F693">
        <f>[5]trip_summary_region!F693</f>
        <v>0.34124100730000001</v>
      </c>
      <c r="G693">
        <f>[5]trip_summary_region!G693</f>
        <v>0</v>
      </c>
      <c r="H693">
        <f>[5]trip_summary_region!H693</f>
        <v>0.44614213380000001</v>
      </c>
      <c r="I693" t="str">
        <f>[5]trip_summary_region!I693</f>
        <v>Other Household Travel</v>
      </c>
      <c r="J693" t="str">
        <f>[5]trip_summary_region!J693</f>
        <v>2037/38</v>
      </c>
    </row>
    <row r="694" spans="1:10" x14ac:dyDescent="0.2">
      <c r="A694" t="str">
        <f>[5]trip_summary_region!A694</f>
        <v>09 WELLINGTON</v>
      </c>
      <c r="B694">
        <f>[5]trip_summary_region!B694</f>
        <v>9</v>
      </c>
      <c r="C694">
        <f>[5]trip_summary_region!C694</f>
        <v>2043</v>
      </c>
      <c r="D694">
        <f>[5]trip_summary_region!D694</f>
        <v>7</v>
      </c>
      <c r="E694">
        <f>[5]trip_summary_region!E694</f>
        <v>10</v>
      </c>
      <c r="F694">
        <f>[5]trip_summary_region!F694</f>
        <v>0.332944721</v>
      </c>
      <c r="G694">
        <f>[5]trip_summary_region!G694</f>
        <v>0</v>
      </c>
      <c r="H694">
        <f>[5]trip_summary_region!H694</f>
        <v>0.43989059530000002</v>
      </c>
      <c r="I694" t="str">
        <f>[5]trip_summary_region!I694</f>
        <v>Other Household Travel</v>
      </c>
      <c r="J694" t="str">
        <f>[5]trip_summary_region!J694</f>
        <v>2042/43</v>
      </c>
    </row>
    <row r="695" spans="1:10" x14ac:dyDescent="0.2">
      <c r="A695" t="str">
        <f>[5]trip_summary_region!A695</f>
        <v>09 WELLINGTON</v>
      </c>
      <c r="B695">
        <f>[5]trip_summary_region!B695</f>
        <v>10</v>
      </c>
      <c r="C695">
        <f>[5]trip_summary_region!C695</f>
        <v>2013</v>
      </c>
      <c r="D695">
        <f>[5]trip_summary_region!D695</f>
        <v>44</v>
      </c>
      <c r="E695">
        <f>[5]trip_summary_region!E695</f>
        <v>59</v>
      </c>
      <c r="F695">
        <f>[5]trip_summary_region!F695</f>
        <v>2.6590020702000001</v>
      </c>
      <c r="G695">
        <f>[5]trip_summary_region!G695</f>
        <v>67.715118274999995</v>
      </c>
      <c r="H695">
        <f>[5]trip_summary_region!H695</f>
        <v>5.4178011538000002</v>
      </c>
      <c r="I695" t="str">
        <f>[5]trip_summary_region!I695</f>
        <v>Air/Non-Local PT</v>
      </c>
      <c r="J695" t="str">
        <f>[5]trip_summary_region!J695</f>
        <v>2012/13</v>
      </c>
    </row>
    <row r="696" spans="1:10" x14ac:dyDescent="0.2">
      <c r="A696" t="str">
        <f>[5]trip_summary_region!A696</f>
        <v>09 WELLINGTON</v>
      </c>
      <c r="B696">
        <f>[5]trip_summary_region!B696</f>
        <v>10</v>
      </c>
      <c r="C696">
        <f>[5]trip_summary_region!C696</f>
        <v>2018</v>
      </c>
      <c r="D696">
        <f>[5]trip_summary_region!D696</f>
        <v>44</v>
      </c>
      <c r="E696">
        <f>[5]trip_summary_region!E696</f>
        <v>59</v>
      </c>
      <c r="F696">
        <f>[5]trip_summary_region!F696</f>
        <v>2.9542157586000002</v>
      </c>
      <c r="G696">
        <f>[5]trip_summary_region!G696</f>
        <v>81.012447488999996</v>
      </c>
      <c r="H696">
        <f>[5]trip_summary_region!H696</f>
        <v>6.1094846866000001</v>
      </c>
      <c r="I696" t="str">
        <f>[5]trip_summary_region!I696</f>
        <v>Air/Non-Local PT</v>
      </c>
      <c r="J696" t="str">
        <f>[5]trip_summary_region!J696</f>
        <v>2017/18</v>
      </c>
    </row>
    <row r="697" spans="1:10" x14ac:dyDescent="0.2">
      <c r="A697" t="str">
        <f>[5]trip_summary_region!A697</f>
        <v>09 WELLINGTON</v>
      </c>
      <c r="B697">
        <f>[5]trip_summary_region!B697</f>
        <v>10</v>
      </c>
      <c r="C697">
        <f>[5]trip_summary_region!C697</f>
        <v>2023</v>
      </c>
      <c r="D697">
        <f>[5]trip_summary_region!D697</f>
        <v>44</v>
      </c>
      <c r="E697">
        <f>[5]trip_summary_region!E697</f>
        <v>59</v>
      </c>
      <c r="F697">
        <f>[5]trip_summary_region!F697</f>
        <v>3.2336290061000001</v>
      </c>
      <c r="G697">
        <f>[5]trip_summary_region!G697</f>
        <v>91.400967867000006</v>
      </c>
      <c r="H697">
        <f>[5]trip_summary_region!H697</f>
        <v>6.8239659501999999</v>
      </c>
      <c r="I697" t="str">
        <f>[5]trip_summary_region!I697</f>
        <v>Air/Non-Local PT</v>
      </c>
      <c r="J697" t="str">
        <f>[5]trip_summary_region!J697</f>
        <v>2022/23</v>
      </c>
    </row>
    <row r="698" spans="1:10" x14ac:dyDescent="0.2">
      <c r="A698" t="str">
        <f>[5]trip_summary_region!A698</f>
        <v>09 WELLINGTON</v>
      </c>
      <c r="B698">
        <f>[5]trip_summary_region!B698</f>
        <v>10</v>
      </c>
      <c r="C698">
        <f>[5]trip_summary_region!C698</f>
        <v>2028</v>
      </c>
      <c r="D698">
        <f>[5]trip_summary_region!D698</f>
        <v>44</v>
      </c>
      <c r="E698">
        <f>[5]trip_summary_region!E698</f>
        <v>59</v>
      </c>
      <c r="F698">
        <f>[5]trip_summary_region!F698</f>
        <v>3.5417901458999999</v>
      </c>
      <c r="G698">
        <f>[5]trip_summary_region!G698</f>
        <v>95.239913705999996</v>
      </c>
      <c r="H698">
        <f>[5]trip_summary_region!H698</f>
        <v>7.6393548725000002</v>
      </c>
      <c r="I698" t="str">
        <f>[5]trip_summary_region!I698</f>
        <v>Air/Non-Local PT</v>
      </c>
      <c r="J698" t="str">
        <f>[5]trip_summary_region!J698</f>
        <v>2027/28</v>
      </c>
    </row>
    <row r="699" spans="1:10" x14ac:dyDescent="0.2">
      <c r="A699" t="str">
        <f>[5]trip_summary_region!A699</f>
        <v>09 WELLINGTON</v>
      </c>
      <c r="B699">
        <f>[5]trip_summary_region!B699</f>
        <v>10</v>
      </c>
      <c r="C699">
        <f>[5]trip_summary_region!C699</f>
        <v>2033</v>
      </c>
      <c r="D699">
        <f>[5]trip_summary_region!D699</f>
        <v>44</v>
      </c>
      <c r="E699">
        <f>[5]trip_summary_region!E699</f>
        <v>59</v>
      </c>
      <c r="F699">
        <f>[5]trip_summary_region!F699</f>
        <v>3.7873565135999998</v>
      </c>
      <c r="G699">
        <f>[5]trip_summary_region!G699</f>
        <v>96.132400657000005</v>
      </c>
      <c r="H699">
        <f>[5]trip_summary_region!H699</f>
        <v>8.2685617483999998</v>
      </c>
      <c r="I699" t="str">
        <f>[5]trip_summary_region!I699</f>
        <v>Air/Non-Local PT</v>
      </c>
      <c r="J699" t="str">
        <f>[5]trip_summary_region!J699</f>
        <v>2032/33</v>
      </c>
    </row>
    <row r="700" spans="1:10" x14ac:dyDescent="0.2">
      <c r="A700" t="str">
        <f>[5]trip_summary_region!A700</f>
        <v>09 WELLINGTON</v>
      </c>
      <c r="B700">
        <f>[5]trip_summary_region!B700</f>
        <v>10</v>
      </c>
      <c r="C700">
        <f>[5]trip_summary_region!C700</f>
        <v>2038</v>
      </c>
      <c r="D700">
        <f>[5]trip_summary_region!D700</f>
        <v>44</v>
      </c>
      <c r="E700">
        <f>[5]trip_summary_region!E700</f>
        <v>59</v>
      </c>
      <c r="F700">
        <f>[5]trip_summary_region!F700</f>
        <v>3.9519749783</v>
      </c>
      <c r="G700">
        <f>[5]trip_summary_region!G700</f>
        <v>94.800884729000003</v>
      </c>
      <c r="H700">
        <f>[5]trip_summary_region!H700</f>
        <v>8.6195131686999993</v>
      </c>
      <c r="I700" t="str">
        <f>[5]trip_summary_region!I700</f>
        <v>Air/Non-Local PT</v>
      </c>
      <c r="J700" t="str">
        <f>[5]trip_summary_region!J700</f>
        <v>2037/38</v>
      </c>
    </row>
    <row r="701" spans="1:10" x14ac:dyDescent="0.2">
      <c r="A701" t="str">
        <f>[5]trip_summary_region!A701</f>
        <v>09 WELLINGTON</v>
      </c>
      <c r="B701">
        <f>[5]trip_summary_region!B701</f>
        <v>10</v>
      </c>
      <c r="C701">
        <f>[5]trip_summary_region!C701</f>
        <v>2043</v>
      </c>
      <c r="D701">
        <f>[5]trip_summary_region!D701</f>
        <v>44</v>
      </c>
      <c r="E701">
        <f>[5]trip_summary_region!E701</f>
        <v>59</v>
      </c>
      <c r="F701">
        <f>[5]trip_summary_region!F701</f>
        <v>4.0992399405000004</v>
      </c>
      <c r="G701">
        <f>[5]trip_summary_region!G701</f>
        <v>92.569401909000007</v>
      </c>
      <c r="H701">
        <f>[5]trip_summary_region!H701</f>
        <v>8.9167716327999997</v>
      </c>
      <c r="I701" t="str">
        <f>[5]trip_summary_region!I701</f>
        <v>Air/Non-Local PT</v>
      </c>
      <c r="J701" t="str">
        <f>[5]trip_summary_region!J701</f>
        <v>2042/43</v>
      </c>
    </row>
    <row r="702" spans="1:10" x14ac:dyDescent="0.2">
      <c r="A702" t="str">
        <f>[5]trip_summary_region!A702</f>
        <v>09 WELLINGTON</v>
      </c>
      <c r="B702">
        <f>[5]trip_summary_region!B702</f>
        <v>11</v>
      </c>
      <c r="C702">
        <f>[5]trip_summary_region!C702</f>
        <v>2013</v>
      </c>
      <c r="D702">
        <f>[5]trip_summary_region!D702</f>
        <v>22</v>
      </c>
      <c r="E702">
        <f>[5]trip_summary_region!E702</f>
        <v>115</v>
      </c>
      <c r="F702">
        <f>[5]trip_summary_region!F702</f>
        <v>5.4599503292999998</v>
      </c>
      <c r="G702">
        <f>[5]trip_summary_region!G702</f>
        <v>100.96436647</v>
      </c>
      <c r="H702">
        <f>[5]trip_summary_region!H702</f>
        <v>1.9758448391000001</v>
      </c>
      <c r="I702" t="str">
        <f>[5]trip_summary_region!I702</f>
        <v>Non-Household Travel</v>
      </c>
      <c r="J702" t="str">
        <f>[5]trip_summary_region!J702</f>
        <v>2012/13</v>
      </c>
    </row>
    <row r="703" spans="1:10" x14ac:dyDescent="0.2">
      <c r="A703" t="str">
        <f>[5]trip_summary_region!A703</f>
        <v>09 WELLINGTON</v>
      </c>
      <c r="B703">
        <f>[5]trip_summary_region!B703</f>
        <v>11</v>
      </c>
      <c r="C703">
        <f>[5]trip_summary_region!C703</f>
        <v>2018</v>
      </c>
      <c r="D703">
        <f>[5]trip_summary_region!D703</f>
        <v>22</v>
      </c>
      <c r="E703">
        <f>[5]trip_summary_region!E703</f>
        <v>115</v>
      </c>
      <c r="F703">
        <f>[5]trip_summary_region!F703</f>
        <v>5.7671372533999996</v>
      </c>
      <c r="G703">
        <f>[5]trip_summary_region!G703</f>
        <v>116.78935635000001</v>
      </c>
      <c r="H703">
        <f>[5]trip_summary_region!H703</f>
        <v>2.2332196406999998</v>
      </c>
      <c r="I703" t="str">
        <f>[5]trip_summary_region!I703</f>
        <v>Non-Household Travel</v>
      </c>
      <c r="J703" t="str">
        <f>[5]trip_summary_region!J703</f>
        <v>2017/18</v>
      </c>
    </row>
    <row r="704" spans="1:10" x14ac:dyDescent="0.2">
      <c r="A704" t="str">
        <f>[5]trip_summary_region!A704</f>
        <v>09 WELLINGTON</v>
      </c>
      <c r="B704">
        <f>[5]trip_summary_region!B704</f>
        <v>11</v>
      </c>
      <c r="C704">
        <f>[5]trip_summary_region!C704</f>
        <v>2023</v>
      </c>
      <c r="D704">
        <f>[5]trip_summary_region!D704</f>
        <v>22</v>
      </c>
      <c r="E704">
        <f>[5]trip_summary_region!E704</f>
        <v>115</v>
      </c>
      <c r="F704">
        <f>[5]trip_summary_region!F704</f>
        <v>5.8879472259999996</v>
      </c>
      <c r="G704">
        <f>[5]trip_summary_region!G704</f>
        <v>125.38822621</v>
      </c>
      <c r="H704">
        <f>[5]trip_summary_region!H704</f>
        <v>2.3677402706000001</v>
      </c>
      <c r="I704" t="str">
        <f>[5]trip_summary_region!I704</f>
        <v>Non-Household Travel</v>
      </c>
      <c r="J704" t="str">
        <f>[5]trip_summary_region!J704</f>
        <v>2022/23</v>
      </c>
    </row>
    <row r="705" spans="1:10" x14ac:dyDescent="0.2">
      <c r="A705" t="str">
        <f>[5]trip_summary_region!A705</f>
        <v>09 WELLINGTON</v>
      </c>
      <c r="B705">
        <f>[5]trip_summary_region!B705</f>
        <v>11</v>
      </c>
      <c r="C705">
        <f>[5]trip_summary_region!C705</f>
        <v>2028</v>
      </c>
      <c r="D705">
        <f>[5]trip_summary_region!D705</f>
        <v>22</v>
      </c>
      <c r="E705">
        <f>[5]trip_summary_region!E705</f>
        <v>115</v>
      </c>
      <c r="F705">
        <f>[5]trip_summary_region!F705</f>
        <v>6.0516291280000001</v>
      </c>
      <c r="G705">
        <f>[5]trip_summary_region!G705</f>
        <v>128.13189874</v>
      </c>
      <c r="H705">
        <f>[5]trip_summary_region!H705</f>
        <v>2.4166587253</v>
      </c>
      <c r="I705" t="str">
        <f>[5]trip_summary_region!I705</f>
        <v>Non-Household Travel</v>
      </c>
      <c r="J705" t="str">
        <f>[5]trip_summary_region!J705</f>
        <v>2027/28</v>
      </c>
    </row>
    <row r="706" spans="1:10" x14ac:dyDescent="0.2">
      <c r="A706" t="str">
        <f>[5]trip_summary_region!A706</f>
        <v>09 WELLINGTON</v>
      </c>
      <c r="B706">
        <f>[5]trip_summary_region!B706</f>
        <v>11</v>
      </c>
      <c r="C706">
        <f>[5]trip_summary_region!C706</f>
        <v>2033</v>
      </c>
      <c r="D706">
        <f>[5]trip_summary_region!D706</f>
        <v>22</v>
      </c>
      <c r="E706">
        <f>[5]trip_summary_region!E706</f>
        <v>115</v>
      </c>
      <c r="F706">
        <f>[5]trip_summary_region!F706</f>
        <v>6.3326004248999999</v>
      </c>
      <c r="G706">
        <f>[5]trip_summary_region!G706</f>
        <v>129.75856182000001</v>
      </c>
      <c r="H706">
        <f>[5]trip_summary_region!H706</f>
        <v>2.4766415582999999</v>
      </c>
      <c r="I706" t="str">
        <f>[5]trip_summary_region!I706</f>
        <v>Non-Household Travel</v>
      </c>
      <c r="J706" t="str">
        <f>[5]trip_summary_region!J706</f>
        <v>2032/33</v>
      </c>
    </row>
    <row r="707" spans="1:10" x14ac:dyDescent="0.2">
      <c r="A707" t="str">
        <f>[5]trip_summary_region!A707</f>
        <v>09 WELLINGTON</v>
      </c>
      <c r="B707">
        <f>[5]trip_summary_region!B707</f>
        <v>11</v>
      </c>
      <c r="C707">
        <f>[5]trip_summary_region!C707</f>
        <v>2038</v>
      </c>
      <c r="D707">
        <f>[5]trip_summary_region!D707</f>
        <v>22</v>
      </c>
      <c r="E707">
        <f>[5]trip_summary_region!E707</f>
        <v>115</v>
      </c>
      <c r="F707">
        <f>[5]trip_summary_region!F707</f>
        <v>6.7120895195000001</v>
      </c>
      <c r="G707">
        <f>[5]trip_summary_region!G707</f>
        <v>133.43484276999999</v>
      </c>
      <c r="H707">
        <f>[5]trip_summary_region!H707</f>
        <v>2.5925862259999999</v>
      </c>
      <c r="I707" t="str">
        <f>[5]trip_summary_region!I707</f>
        <v>Non-Household Travel</v>
      </c>
      <c r="J707" t="str">
        <f>[5]trip_summary_region!J707</f>
        <v>2037/38</v>
      </c>
    </row>
    <row r="708" spans="1:10" x14ac:dyDescent="0.2">
      <c r="A708" t="str">
        <f>[5]trip_summary_region!A708</f>
        <v>09 WELLINGTON</v>
      </c>
      <c r="B708">
        <f>[5]trip_summary_region!B708</f>
        <v>11</v>
      </c>
      <c r="C708">
        <f>[5]trip_summary_region!C708</f>
        <v>2043</v>
      </c>
      <c r="D708">
        <f>[5]trip_summary_region!D708</f>
        <v>22</v>
      </c>
      <c r="E708">
        <f>[5]trip_summary_region!E708</f>
        <v>115</v>
      </c>
      <c r="F708">
        <f>[5]trip_summary_region!F708</f>
        <v>7.1170027859999996</v>
      </c>
      <c r="G708">
        <f>[5]trip_summary_region!G708</f>
        <v>137.11260496</v>
      </c>
      <c r="H708">
        <f>[5]trip_summary_region!H708</f>
        <v>2.7128830374000001</v>
      </c>
      <c r="I708" t="str">
        <f>[5]trip_summary_region!I708</f>
        <v>Non-Household Travel</v>
      </c>
      <c r="J708" t="str">
        <f>[5]trip_summary_region!J708</f>
        <v>2042/43</v>
      </c>
    </row>
    <row r="709" spans="1:10" x14ac:dyDescent="0.2">
      <c r="A709" t="str">
        <f>[5]trip_summary_region!A709</f>
        <v>10 NELS-MARLB-TAS</v>
      </c>
      <c r="B709">
        <f>[5]trip_summary_region!B709</f>
        <v>0</v>
      </c>
      <c r="C709">
        <f>[5]trip_summary_region!C709</f>
        <v>2013</v>
      </c>
      <c r="D709">
        <f>[5]trip_summary_region!D709</f>
        <v>333</v>
      </c>
      <c r="E709">
        <f>[5]trip_summary_region!E709</f>
        <v>1184</v>
      </c>
      <c r="F709">
        <f>[5]trip_summary_region!F709</f>
        <v>34.609993433</v>
      </c>
      <c r="G709">
        <f>[5]trip_summary_region!G709</f>
        <v>28.582749250999999</v>
      </c>
      <c r="H709">
        <f>[5]trip_summary_region!H709</f>
        <v>7.2640217022</v>
      </c>
      <c r="I709" t="str">
        <f>[5]trip_summary_region!I709</f>
        <v>Pedestrian</v>
      </c>
      <c r="J709" t="str">
        <f>[5]trip_summary_region!J709</f>
        <v>2012/13</v>
      </c>
    </row>
    <row r="710" spans="1:10" x14ac:dyDescent="0.2">
      <c r="A710" t="str">
        <f>[5]trip_summary_region!A710</f>
        <v>10 NELS-MARLB-TAS</v>
      </c>
      <c r="B710">
        <f>[5]trip_summary_region!B710</f>
        <v>0</v>
      </c>
      <c r="C710">
        <f>[5]trip_summary_region!C710</f>
        <v>2018</v>
      </c>
      <c r="D710">
        <f>[5]trip_summary_region!D710</f>
        <v>333</v>
      </c>
      <c r="E710">
        <f>[5]trip_summary_region!E710</f>
        <v>1184</v>
      </c>
      <c r="F710">
        <f>[5]trip_summary_region!F710</f>
        <v>35.417205852000002</v>
      </c>
      <c r="G710">
        <f>[5]trip_summary_region!G710</f>
        <v>29.223003223999999</v>
      </c>
      <c r="H710">
        <f>[5]trip_summary_region!H710</f>
        <v>7.4203677990000001</v>
      </c>
      <c r="I710" t="str">
        <f>[5]trip_summary_region!I710</f>
        <v>Pedestrian</v>
      </c>
      <c r="J710" t="str">
        <f>[5]trip_summary_region!J710</f>
        <v>2017/18</v>
      </c>
    </row>
    <row r="711" spans="1:10" x14ac:dyDescent="0.2">
      <c r="A711" t="str">
        <f>[5]trip_summary_region!A711</f>
        <v>10 NELS-MARLB-TAS</v>
      </c>
      <c r="B711">
        <f>[5]trip_summary_region!B711</f>
        <v>0</v>
      </c>
      <c r="C711">
        <f>[5]trip_summary_region!C711</f>
        <v>2023</v>
      </c>
      <c r="D711">
        <f>[5]trip_summary_region!D711</f>
        <v>333</v>
      </c>
      <c r="E711">
        <f>[5]trip_summary_region!E711</f>
        <v>1184</v>
      </c>
      <c r="F711">
        <f>[5]trip_summary_region!F711</f>
        <v>36.125477848999999</v>
      </c>
      <c r="G711">
        <f>[5]trip_summary_region!G711</f>
        <v>29.909322236000001</v>
      </c>
      <c r="H711">
        <f>[5]trip_summary_region!H711</f>
        <v>7.5911260631999999</v>
      </c>
      <c r="I711" t="str">
        <f>[5]trip_summary_region!I711</f>
        <v>Pedestrian</v>
      </c>
      <c r="J711" t="str">
        <f>[5]trip_summary_region!J711</f>
        <v>2022/23</v>
      </c>
    </row>
    <row r="712" spans="1:10" x14ac:dyDescent="0.2">
      <c r="A712" t="str">
        <f>[5]trip_summary_region!A712</f>
        <v>10 NELS-MARLB-TAS</v>
      </c>
      <c r="B712">
        <f>[5]trip_summary_region!B712</f>
        <v>0</v>
      </c>
      <c r="C712">
        <f>[5]trip_summary_region!C712</f>
        <v>2028</v>
      </c>
      <c r="D712">
        <f>[5]trip_summary_region!D712</f>
        <v>333</v>
      </c>
      <c r="E712">
        <f>[5]trip_summary_region!E712</f>
        <v>1184</v>
      </c>
      <c r="F712">
        <f>[5]trip_summary_region!F712</f>
        <v>36.938436973000002</v>
      </c>
      <c r="G712">
        <f>[5]trip_summary_region!G712</f>
        <v>30.705946702999999</v>
      </c>
      <c r="H712">
        <f>[5]trip_summary_region!H712</f>
        <v>7.8309812380999997</v>
      </c>
      <c r="I712" t="str">
        <f>[5]trip_summary_region!I712</f>
        <v>Pedestrian</v>
      </c>
      <c r="J712" t="str">
        <f>[5]trip_summary_region!J712</f>
        <v>2027/28</v>
      </c>
    </row>
    <row r="713" spans="1:10" x14ac:dyDescent="0.2">
      <c r="A713" t="str">
        <f>[5]trip_summary_region!A713</f>
        <v>10 NELS-MARLB-TAS</v>
      </c>
      <c r="B713">
        <f>[5]trip_summary_region!B713</f>
        <v>0</v>
      </c>
      <c r="C713">
        <f>[5]trip_summary_region!C713</f>
        <v>2033</v>
      </c>
      <c r="D713">
        <f>[5]trip_summary_region!D713</f>
        <v>333</v>
      </c>
      <c r="E713">
        <f>[5]trip_summary_region!E713</f>
        <v>1184</v>
      </c>
      <c r="F713">
        <f>[5]trip_summary_region!F713</f>
        <v>36.855874675999999</v>
      </c>
      <c r="G713">
        <f>[5]trip_summary_region!G713</f>
        <v>30.792554568</v>
      </c>
      <c r="H713">
        <f>[5]trip_summary_region!H713</f>
        <v>7.8841497803999996</v>
      </c>
      <c r="I713" t="str">
        <f>[5]trip_summary_region!I713</f>
        <v>Pedestrian</v>
      </c>
      <c r="J713" t="str">
        <f>[5]trip_summary_region!J713</f>
        <v>2032/33</v>
      </c>
    </row>
    <row r="714" spans="1:10" x14ac:dyDescent="0.2">
      <c r="A714" t="str">
        <f>[5]trip_summary_region!A714</f>
        <v>10 NELS-MARLB-TAS</v>
      </c>
      <c r="B714">
        <f>[5]trip_summary_region!B714</f>
        <v>0</v>
      </c>
      <c r="C714">
        <f>[5]trip_summary_region!C714</f>
        <v>2038</v>
      </c>
      <c r="D714">
        <f>[5]trip_summary_region!D714</f>
        <v>333</v>
      </c>
      <c r="E714">
        <f>[5]trip_summary_region!E714</f>
        <v>1184</v>
      </c>
      <c r="F714">
        <f>[5]trip_summary_region!F714</f>
        <v>36.301007390999999</v>
      </c>
      <c r="G714">
        <f>[5]trip_summary_region!G714</f>
        <v>30.26086823</v>
      </c>
      <c r="H714">
        <f>[5]trip_summary_region!H714</f>
        <v>7.7824751199</v>
      </c>
      <c r="I714" t="str">
        <f>[5]trip_summary_region!I714</f>
        <v>Pedestrian</v>
      </c>
      <c r="J714" t="str">
        <f>[5]trip_summary_region!J714</f>
        <v>2037/38</v>
      </c>
    </row>
    <row r="715" spans="1:10" x14ac:dyDescent="0.2">
      <c r="A715" t="str">
        <f>[5]trip_summary_region!A715</f>
        <v>10 NELS-MARLB-TAS</v>
      </c>
      <c r="B715">
        <f>[5]trip_summary_region!B715</f>
        <v>0</v>
      </c>
      <c r="C715">
        <f>[5]trip_summary_region!C715</f>
        <v>2043</v>
      </c>
      <c r="D715">
        <f>[5]trip_summary_region!D715</f>
        <v>333</v>
      </c>
      <c r="E715">
        <f>[5]trip_summary_region!E715</f>
        <v>1184</v>
      </c>
      <c r="F715">
        <f>[5]trip_summary_region!F715</f>
        <v>35.566414233000003</v>
      </c>
      <c r="G715">
        <f>[5]trip_summary_region!G715</f>
        <v>29.572586281</v>
      </c>
      <c r="H715">
        <f>[5]trip_summary_region!H715</f>
        <v>7.6337694247999996</v>
      </c>
      <c r="I715" t="str">
        <f>[5]trip_summary_region!I715</f>
        <v>Pedestrian</v>
      </c>
      <c r="J715" t="str">
        <f>[5]trip_summary_region!J715</f>
        <v>2042/43</v>
      </c>
    </row>
    <row r="716" spans="1:10" x14ac:dyDescent="0.2">
      <c r="A716" t="str">
        <f>[5]trip_summary_region!A716</f>
        <v>10 NELS-MARLB-TAS</v>
      </c>
      <c r="B716">
        <f>[5]trip_summary_region!B716</f>
        <v>1</v>
      </c>
      <c r="C716">
        <f>[5]trip_summary_region!C716</f>
        <v>2013</v>
      </c>
      <c r="D716">
        <f>[5]trip_summary_region!D716</f>
        <v>42</v>
      </c>
      <c r="E716">
        <f>[5]trip_summary_region!E716</f>
        <v>121</v>
      </c>
      <c r="F716">
        <f>[5]trip_summary_region!F716</f>
        <v>2.9519642961999999</v>
      </c>
      <c r="G716">
        <f>[5]trip_summary_region!G716</f>
        <v>10.809874027999999</v>
      </c>
      <c r="H716">
        <f>[5]trip_summary_region!H716</f>
        <v>1.0417220854</v>
      </c>
      <c r="I716" t="str">
        <f>[5]trip_summary_region!I716</f>
        <v>Cyclist</v>
      </c>
      <c r="J716" t="str">
        <f>[5]trip_summary_region!J716</f>
        <v>2012/13</v>
      </c>
    </row>
    <row r="717" spans="1:10" x14ac:dyDescent="0.2">
      <c r="A717" t="str">
        <f>[5]trip_summary_region!A717</f>
        <v>10 NELS-MARLB-TAS</v>
      </c>
      <c r="B717">
        <f>[5]trip_summary_region!B717</f>
        <v>1</v>
      </c>
      <c r="C717">
        <f>[5]trip_summary_region!C717</f>
        <v>2018</v>
      </c>
      <c r="D717">
        <f>[5]trip_summary_region!D717</f>
        <v>42</v>
      </c>
      <c r="E717">
        <f>[5]trip_summary_region!E717</f>
        <v>121</v>
      </c>
      <c r="F717">
        <f>[5]trip_summary_region!F717</f>
        <v>2.899887842</v>
      </c>
      <c r="G717">
        <f>[5]trip_summary_region!G717</f>
        <v>10.927844695999999</v>
      </c>
      <c r="H717">
        <f>[5]trip_summary_region!H717</f>
        <v>1.0422374471</v>
      </c>
      <c r="I717" t="str">
        <f>[5]trip_summary_region!I717</f>
        <v>Cyclist</v>
      </c>
      <c r="J717" t="str">
        <f>[5]trip_summary_region!J717</f>
        <v>2017/18</v>
      </c>
    </row>
    <row r="718" spans="1:10" x14ac:dyDescent="0.2">
      <c r="A718" t="str">
        <f>[5]trip_summary_region!A718</f>
        <v>10 NELS-MARLB-TAS</v>
      </c>
      <c r="B718">
        <f>[5]trip_summary_region!B718</f>
        <v>1</v>
      </c>
      <c r="C718">
        <f>[5]trip_summary_region!C718</f>
        <v>2023</v>
      </c>
      <c r="D718">
        <f>[5]trip_summary_region!D718</f>
        <v>42</v>
      </c>
      <c r="E718">
        <f>[5]trip_summary_region!E718</f>
        <v>121</v>
      </c>
      <c r="F718">
        <f>[5]trip_summary_region!F718</f>
        <v>2.9017100856</v>
      </c>
      <c r="G718">
        <f>[5]trip_summary_region!G718</f>
        <v>11.048346832</v>
      </c>
      <c r="H718">
        <f>[5]trip_summary_region!H718</f>
        <v>1.0625443929</v>
      </c>
      <c r="I718" t="str">
        <f>[5]trip_summary_region!I718</f>
        <v>Cyclist</v>
      </c>
      <c r="J718" t="str">
        <f>[5]trip_summary_region!J718</f>
        <v>2022/23</v>
      </c>
    </row>
    <row r="719" spans="1:10" x14ac:dyDescent="0.2">
      <c r="A719" t="str">
        <f>[5]trip_summary_region!A719</f>
        <v>10 NELS-MARLB-TAS</v>
      </c>
      <c r="B719">
        <f>[5]trip_summary_region!B719</f>
        <v>1</v>
      </c>
      <c r="C719">
        <f>[5]trip_summary_region!C719</f>
        <v>2028</v>
      </c>
      <c r="D719">
        <f>[5]trip_summary_region!D719</f>
        <v>42</v>
      </c>
      <c r="E719">
        <f>[5]trip_summary_region!E719</f>
        <v>121</v>
      </c>
      <c r="F719">
        <f>[5]trip_summary_region!F719</f>
        <v>2.9721542998000001</v>
      </c>
      <c r="G719">
        <f>[5]trip_summary_region!G719</f>
        <v>11.202897709</v>
      </c>
      <c r="H719">
        <f>[5]trip_summary_region!H719</f>
        <v>1.1027322356</v>
      </c>
      <c r="I719" t="str">
        <f>[5]trip_summary_region!I719</f>
        <v>Cyclist</v>
      </c>
      <c r="J719" t="str">
        <f>[5]trip_summary_region!J719</f>
        <v>2027/28</v>
      </c>
    </row>
    <row r="720" spans="1:10" x14ac:dyDescent="0.2">
      <c r="A720" t="str">
        <f>[5]trip_summary_region!A720</f>
        <v>10 NELS-MARLB-TAS</v>
      </c>
      <c r="B720">
        <f>[5]trip_summary_region!B720</f>
        <v>1</v>
      </c>
      <c r="C720">
        <f>[5]trip_summary_region!C720</f>
        <v>2033</v>
      </c>
      <c r="D720">
        <f>[5]trip_summary_region!D720</f>
        <v>42</v>
      </c>
      <c r="E720">
        <f>[5]trip_summary_region!E720</f>
        <v>121</v>
      </c>
      <c r="F720">
        <f>[5]trip_summary_region!F720</f>
        <v>3.0230506895999998</v>
      </c>
      <c r="G720">
        <f>[5]trip_summary_region!G720</f>
        <v>11.484674853</v>
      </c>
      <c r="H720">
        <f>[5]trip_summary_region!H720</f>
        <v>1.1354628261999999</v>
      </c>
      <c r="I720" t="str">
        <f>[5]trip_summary_region!I720</f>
        <v>Cyclist</v>
      </c>
      <c r="J720" t="str">
        <f>[5]trip_summary_region!J720</f>
        <v>2032/33</v>
      </c>
    </row>
    <row r="721" spans="1:10" x14ac:dyDescent="0.2">
      <c r="A721" t="str">
        <f>[5]trip_summary_region!A721</f>
        <v>10 NELS-MARLB-TAS</v>
      </c>
      <c r="B721">
        <f>[5]trip_summary_region!B721</f>
        <v>1</v>
      </c>
      <c r="C721">
        <f>[5]trip_summary_region!C721</f>
        <v>2038</v>
      </c>
      <c r="D721">
        <f>[5]trip_summary_region!D721</f>
        <v>42</v>
      </c>
      <c r="E721">
        <f>[5]trip_summary_region!E721</f>
        <v>121</v>
      </c>
      <c r="F721">
        <f>[5]trip_summary_region!F721</f>
        <v>3.0543656516</v>
      </c>
      <c r="G721">
        <f>[5]trip_summary_region!G721</f>
        <v>11.990854323000001</v>
      </c>
      <c r="H721">
        <f>[5]trip_summary_region!H721</f>
        <v>1.1735142264</v>
      </c>
      <c r="I721" t="str">
        <f>[5]trip_summary_region!I721</f>
        <v>Cyclist</v>
      </c>
      <c r="J721" t="str">
        <f>[5]trip_summary_region!J721</f>
        <v>2037/38</v>
      </c>
    </row>
    <row r="722" spans="1:10" x14ac:dyDescent="0.2">
      <c r="A722" t="str">
        <f>[5]trip_summary_region!A722</f>
        <v>10 NELS-MARLB-TAS</v>
      </c>
      <c r="B722">
        <f>[5]trip_summary_region!B722</f>
        <v>1</v>
      </c>
      <c r="C722">
        <f>[5]trip_summary_region!C722</f>
        <v>2043</v>
      </c>
      <c r="D722">
        <f>[5]trip_summary_region!D722</f>
        <v>42</v>
      </c>
      <c r="E722">
        <f>[5]trip_summary_region!E722</f>
        <v>121</v>
      </c>
      <c r="F722">
        <f>[5]trip_summary_region!F722</f>
        <v>3.0687337319000001</v>
      </c>
      <c r="G722">
        <f>[5]trip_summary_region!G722</f>
        <v>12.537835664999999</v>
      </c>
      <c r="H722">
        <f>[5]trip_summary_region!H722</f>
        <v>1.2113408269999999</v>
      </c>
      <c r="I722" t="str">
        <f>[5]trip_summary_region!I722</f>
        <v>Cyclist</v>
      </c>
      <c r="J722" t="str">
        <f>[5]trip_summary_region!J722</f>
        <v>2042/43</v>
      </c>
    </row>
    <row r="723" spans="1:10" x14ac:dyDescent="0.2">
      <c r="A723" t="str">
        <f>[5]trip_summary_region!A723</f>
        <v>10 NELS-MARLB-TAS</v>
      </c>
      <c r="B723">
        <f>[5]trip_summary_region!B723</f>
        <v>2</v>
      </c>
      <c r="C723">
        <f>[5]trip_summary_region!C723</f>
        <v>2013</v>
      </c>
      <c r="D723">
        <f>[5]trip_summary_region!D723</f>
        <v>480</v>
      </c>
      <c r="E723">
        <f>[5]trip_summary_region!E723</f>
        <v>3377</v>
      </c>
      <c r="F723">
        <f>[5]trip_summary_region!F723</f>
        <v>98.206986838999995</v>
      </c>
      <c r="G723">
        <f>[5]trip_summary_region!G723</f>
        <v>1012.1329009999999</v>
      </c>
      <c r="H723">
        <f>[5]trip_summary_region!H723</f>
        <v>23.635435057999999</v>
      </c>
      <c r="I723" t="str">
        <f>[5]trip_summary_region!I723</f>
        <v>Light Vehicle Driver</v>
      </c>
      <c r="J723" t="str">
        <f>[5]trip_summary_region!J723</f>
        <v>2012/13</v>
      </c>
    </row>
    <row r="724" spans="1:10" x14ac:dyDescent="0.2">
      <c r="A724" t="str">
        <f>[5]trip_summary_region!A724</f>
        <v>10 NELS-MARLB-TAS</v>
      </c>
      <c r="B724">
        <f>[5]trip_summary_region!B724</f>
        <v>2</v>
      </c>
      <c r="C724">
        <f>[5]trip_summary_region!C724</f>
        <v>2018</v>
      </c>
      <c r="D724">
        <f>[5]trip_summary_region!D724</f>
        <v>480</v>
      </c>
      <c r="E724">
        <f>[5]trip_summary_region!E724</f>
        <v>3377</v>
      </c>
      <c r="F724">
        <f>[5]trip_summary_region!F724</f>
        <v>100.85199734</v>
      </c>
      <c r="G724">
        <f>[5]trip_summary_region!G724</f>
        <v>1028.5948108</v>
      </c>
      <c r="H724">
        <f>[5]trip_summary_region!H724</f>
        <v>24.185570049999999</v>
      </c>
      <c r="I724" t="str">
        <f>[5]trip_summary_region!I724</f>
        <v>Light Vehicle Driver</v>
      </c>
      <c r="J724" t="str">
        <f>[5]trip_summary_region!J724</f>
        <v>2017/18</v>
      </c>
    </row>
    <row r="725" spans="1:10" x14ac:dyDescent="0.2">
      <c r="A725" t="str">
        <f>[5]trip_summary_region!A725</f>
        <v>10 NELS-MARLB-TAS</v>
      </c>
      <c r="B725">
        <f>[5]trip_summary_region!B725</f>
        <v>2</v>
      </c>
      <c r="C725">
        <f>[5]trip_summary_region!C725</f>
        <v>2023</v>
      </c>
      <c r="D725">
        <f>[5]trip_summary_region!D725</f>
        <v>480</v>
      </c>
      <c r="E725">
        <f>[5]trip_summary_region!E725</f>
        <v>3377</v>
      </c>
      <c r="F725">
        <f>[5]trip_summary_region!F725</f>
        <v>101.80137316</v>
      </c>
      <c r="G725">
        <f>[5]trip_summary_region!G725</f>
        <v>1024.2315793</v>
      </c>
      <c r="H725">
        <f>[5]trip_summary_region!H725</f>
        <v>24.275456824999999</v>
      </c>
      <c r="I725" t="str">
        <f>[5]trip_summary_region!I725</f>
        <v>Light Vehicle Driver</v>
      </c>
      <c r="J725" t="str">
        <f>[5]trip_summary_region!J725</f>
        <v>2022/23</v>
      </c>
    </row>
    <row r="726" spans="1:10" x14ac:dyDescent="0.2">
      <c r="A726" t="str">
        <f>[5]trip_summary_region!A726</f>
        <v>10 NELS-MARLB-TAS</v>
      </c>
      <c r="B726">
        <f>[5]trip_summary_region!B726</f>
        <v>2</v>
      </c>
      <c r="C726">
        <f>[5]trip_summary_region!C726</f>
        <v>2028</v>
      </c>
      <c r="D726">
        <f>[5]trip_summary_region!D726</f>
        <v>480</v>
      </c>
      <c r="E726">
        <f>[5]trip_summary_region!E726</f>
        <v>3377</v>
      </c>
      <c r="F726">
        <f>[5]trip_summary_region!F726</f>
        <v>103.15834776</v>
      </c>
      <c r="G726">
        <f>[5]trip_summary_region!G726</f>
        <v>1019.5234944</v>
      </c>
      <c r="H726">
        <f>[5]trip_summary_region!H726</f>
        <v>24.398394851999999</v>
      </c>
      <c r="I726" t="str">
        <f>[5]trip_summary_region!I726</f>
        <v>Light Vehicle Driver</v>
      </c>
      <c r="J726" t="str">
        <f>[5]trip_summary_region!J726</f>
        <v>2027/28</v>
      </c>
    </row>
    <row r="727" spans="1:10" x14ac:dyDescent="0.2">
      <c r="A727" t="str">
        <f>[5]trip_summary_region!A727</f>
        <v>10 NELS-MARLB-TAS</v>
      </c>
      <c r="B727">
        <f>[5]trip_summary_region!B727</f>
        <v>2</v>
      </c>
      <c r="C727">
        <f>[5]trip_summary_region!C727</f>
        <v>2033</v>
      </c>
      <c r="D727">
        <f>[5]trip_summary_region!D727</f>
        <v>480</v>
      </c>
      <c r="E727">
        <f>[5]trip_summary_region!E727</f>
        <v>3377</v>
      </c>
      <c r="F727">
        <f>[5]trip_summary_region!F727</f>
        <v>104.20023347</v>
      </c>
      <c r="G727">
        <f>[5]trip_summary_region!G727</f>
        <v>1012.1796174999999</v>
      </c>
      <c r="H727">
        <f>[5]trip_summary_region!H727</f>
        <v>24.418411513999999</v>
      </c>
      <c r="I727" t="str">
        <f>[5]trip_summary_region!I727</f>
        <v>Light Vehicle Driver</v>
      </c>
      <c r="J727" t="str">
        <f>[5]trip_summary_region!J727</f>
        <v>2032/33</v>
      </c>
    </row>
    <row r="728" spans="1:10" x14ac:dyDescent="0.2">
      <c r="A728" t="str">
        <f>[5]trip_summary_region!A728</f>
        <v>10 NELS-MARLB-TAS</v>
      </c>
      <c r="B728">
        <f>[5]trip_summary_region!B728</f>
        <v>2</v>
      </c>
      <c r="C728">
        <f>[5]trip_summary_region!C728</f>
        <v>2038</v>
      </c>
      <c r="D728">
        <f>[5]trip_summary_region!D728</f>
        <v>480</v>
      </c>
      <c r="E728">
        <f>[5]trip_summary_region!E728</f>
        <v>3377</v>
      </c>
      <c r="F728">
        <f>[5]trip_summary_region!F728</f>
        <v>104.06778276999999</v>
      </c>
      <c r="G728">
        <f>[5]trip_summary_region!G728</f>
        <v>995.71386820999999</v>
      </c>
      <c r="H728">
        <f>[5]trip_summary_region!H728</f>
        <v>24.205204542000001</v>
      </c>
      <c r="I728" t="str">
        <f>[5]trip_summary_region!I728</f>
        <v>Light Vehicle Driver</v>
      </c>
      <c r="J728" t="str">
        <f>[5]trip_summary_region!J728</f>
        <v>2037/38</v>
      </c>
    </row>
    <row r="729" spans="1:10" x14ac:dyDescent="0.2">
      <c r="A729" t="str">
        <f>[5]trip_summary_region!A729</f>
        <v>10 NELS-MARLB-TAS</v>
      </c>
      <c r="B729">
        <f>[5]trip_summary_region!B729</f>
        <v>2</v>
      </c>
      <c r="C729">
        <f>[5]trip_summary_region!C729</f>
        <v>2043</v>
      </c>
      <c r="D729">
        <f>[5]trip_summary_region!D729</f>
        <v>480</v>
      </c>
      <c r="E729">
        <f>[5]trip_summary_region!E729</f>
        <v>3377</v>
      </c>
      <c r="F729">
        <f>[5]trip_summary_region!F729</f>
        <v>103.56117506</v>
      </c>
      <c r="G729">
        <f>[5]trip_summary_region!G729</f>
        <v>976.86665338</v>
      </c>
      <c r="H729">
        <f>[5]trip_summary_region!H729</f>
        <v>23.914254222</v>
      </c>
      <c r="I729" t="str">
        <f>[5]trip_summary_region!I729</f>
        <v>Light Vehicle Driver</v>
      </c>
      <c r="J729" t="str">
        <f>[5]trip_summary_region!J729</f>
        <v>2042/43</v>
      </c>
    </row>
    <row r="730" spans="1:10" x14ac:dyDescent="0.2">
      <c r="A730" t="str">
        <f>[5]trip_summary_region!A730</f>
        <v>10 NELS-MARLB-TAS</v>
      </c>
      <c r="B730">
        <f>[5]trip_summary_region!B730</f>
        <v>3</v>
      </c>
      <c r="C730">
        <f>[5]trip_summary_region!C730</f>
        <v>2013</v>
      </c>
      <c r="D730">
        <f>[5]trip_summary_region!D730</f>
        <v>346</v>
      </c>
      <c r="E730">
        <f>[5]trip_summary_region!E730</f>
        <v>1569</v>
      </c>
      <c r="F730">
        <f>[5]trip_summary_region!F730</f>
        <v>45.895773310999999</v>
      </c>
      <c r="G730">
        <f>[5]trip_summary_region!G730</f>
        <v>528.66856442999995</v>
      </c>
      <c r="H730">
        <f>[5]trip_summary_region!H730</f>
        <v>11.910351560000001</v>
      </c>
      <c r="I730" t="str">
        <f>[5]trip_summary_region!I730</f>
        <v>Light Vehicle Passenger</v>
      </c>
      <c r="J730" t="str">
        <f>[5]trip_summary_region!J730</f>
        <v>2012/13</v>
      </c>
    </row>
    <row r="731" spans="1:10" x14ac:dyDescent="0.2">
      <c r="A731" t="str">
        <f>[5]trip_summary_region!A731</f>
        <v>10 NELS-MARLB-TAS</v>
      </c>
      <c r="B731">
        <f>[5]trip_summary_region!B731</f>
        <v>3</v>
      </c>
      <c r="C731">
        <f>[5]trip_summary_region!C731</f>
        <v>2018</v>
      </c>
      <c r="D731">
        <f>[5]trip_summary_region!D731</f>
        <v>346</v>
      </c>
      <c r="E731">
        <f>[5]trip_summary_region!E731</f>
        <v>1569</v>
      </c>
      <c r="F731">
        <f>[5]trip_summary_region!F731</f>
        <v>44.975609468999998</v>
      </c>
      <c r="G731">
        <f>[5]trip_summary_region!G731</f>
        <v>518.69765365000001</v>
      </c>
      <c r="H731">
        <f>[5]trip_summary_region!H731</f>
        <v>11.755151273999999</v>
      </c>
      <c r="I731" t="str">
        <f>[5]trip_summary_region!I731</f>
        <v>Light Vehicle Passenger</v>
      </c>
      <c r="J731" t="str">
        <f>[5]trip_summary_region!J731</f>
        <v>2017/18</v>
      </c>
    </row>
    <row r="732" spans="1:10" x14ac:dyDescent="0.2">
      <c r="A732" t="str">
        <f>[5]trip_summary_region!A732</f>
        <v>10 NELS-MARLB-TAS</v>
      </c>
      <c r="B732">
        <f>[5]trip_summary_region!B732</f>
        <v>3</v>
      </c>
      <c r="C732">
        <f>[5]trip_summary_region!C732</f>
        <v>2023</v>
      </c>
      <c r="D732">
        <f>[5]trip_summary_region!D732</f>
        <v>346</v>
      </c>
      <c r="E732">
        <f>[5]trip_summary_region!E732</f>
        <v>1569</v>
      </c>
      <c r="F732">
        <f>[5]trip_summary_region!F732</f>
        <v>43.924492178000001</v>
      </c>
      <c r="G732">
        <f>[5]trip_summary_region!G732</f>
        <v>505.09320416000003</v>
      </c>
      <c r="H732">
        <f>[5]trip_summary_region!H732</f>
        <v>11.54083144</v>
      </c>
      <c r="I732" t="str">
        <f>[5]trip_summary_region!I732</f>
        <v>Light Vehicle Passenger</v>
      </c>
      <c r="J732" t="str">
        <f>[5]trip_summary_region!J732</f>
        <v>2022/23</v>
      </c>
    </row>
    <row r="733" spans="1:10" x14ac:dyDescent="0.2">
      <c r="A733" t="str">
        <f>[5]trip_summary_region!A733</f>
        <v>10 NELS-MARLB-TAS</v>
      </c>
      <c r="B733">
        <f>[5]trip_summary_region!B733</f>
        <v>3</v>
      </c>
      <c r="C733">
        <f>[5]trip_summary_region!C733</f>
        <v>2028</v>
      </c>
      <c r="D733">
        <f>[5]trip_summary_region!D733</f>
        <v>346</v>
      </c>
      <c r="E733">
        <f>[5]trip_summary_region!E733</f>
        <v>1569</v>
      </c>
      <c r="F733">
        <f>[5]trip_summary_region!F733</f>
        <v>43.217137411000003</v>
      </c>
      <c r="G733">
        <f>[5]trip_summary_region!G733</f>
        <v>496.04773997000001</v>
      </c>
      <c r="H733">
        <f>[5]trip_summary_region!H733</f>
        <v>11.405155666000001</v>
      </c>
      <c r="I733" t="str">
        <f>[5]trip_summary_region!I733</f>
        <v>Light Vehicle Passenger</v>
      </c>
      <c r="J733" t="str">
        <f>[5]trip_summary_region!J733</f>
        <v>2027/28</v>
      </c>
    </row>
    <row r="734" spans="1:10" x14ac:dyDescent="0.2">
      <c r="A734" t="str">
        <f>[5]trip_summary_region!A734</f>
        <v>10 NELS-MARLB-TAS</v>
      </c>
      <c r="B734">
        <f>[5]trip_summary_region!B734</f>
        <v>3</v>
      </c>
      <c r="C734">
        <f>[5]trip_summary_region!C734</f>
        <v>2033</v>
      </c>
      <c r="D734">
        <f>[5]trip_summary_region!D734</f>
        <v>346</v>
      </c>
      <c r="E734">
        <f>[5]trip_summary_region!E734</f>
        <v>1569</v>
      </c>
      <c r="F734">
        <f>[5]trip_summary_region!F734</f>
        <v>41.986550393000002</v>
      </c>
      <c r="G734">
        <f>[5]trip_summary_region!G734</f>
        <v>482.45954670999998</v>
      </c>
      <c r="H734">
        <f>[5]trip_summary_region!H734</f>
        <v>11.111590585</v>
      </c>
      <c r="I734" t="str">
        <f>[5]trip_summary_region!I734</f>
        <v>Light Vehicle Passenger</v>
      </c>
      <c r="J734" t="str">
        <f>[5]trip_summary_region!J734</f>
        <v>2032/33</v>
      </c>
    </row>
    <row r="735" spans="1:10" x14ac:dyDescent="0.2">
      <c r="A735" t="str">
        <f>[5]trip_summary_region!A735</f>
        <v>10 NELS-MARLB-TAS</v>
      </c>
      <c r="B735">
        <f>[5]trip_summary_region!B735</f>
        <v>3</v>
      </c>
      <c r="C735">
        <f>[5]trip_summary_region!C735</f>
        <v>2038</v>
      </c>
      <c r="D735">
        <f>[5]trip_summary_region!D735</f>
        <v>346</v>
      </c>
      <c r="E735">
        <f>[5]trip_summary_region!E735</f>
        <v>1569</v>
      </c>
      <c r="F735">
        <f>[5]trip_summary_region!F735</f>
        <v>40.622687116000002</v>
      </c>
      <c r="G735">
        <f>[5]trip_summary_region!G735</f>
        <v>462.00135805999997</v>
      </c>
      <c r="H735">
        <f>[5]trip_summary_region!H735</f>
        <v>10.704591055</v>
      </c>
      <c r="I735" t="str">
        <f>[5]trip_summary_region!I735</f>
        <v>Light Vehicle Passenger</v>
      </c>
      <c r="J735" t="str">
        <f>[5]trip_summary_region!J735</f>
        <v>2037/38</v>
      </c>
    </row>
    <row r="736" spans="1:10" x14ac:dyDescent="0.2">
      <c r="A736" t="str">
        <f>[5]trip_summary_region!A736</f>
        <v>10 NELS-MARLB-TAS</v>
      </c>
      <c r="B736">
        <f>[5]trip_summary_region!B736</f>
        <v>3</v>
      </c>
      <c r="C736">
        <f>[5]trip_summary_region!C736</f>
        <v>2043</v>
      </c>
      <c r="D736">
        <f>[5]trip_summary_region!D736</f>
        <v>346</v>
      </c>
      <c r="E736">
        <f>[5]trip_summary_region!E736</f>
        <v>1569</v>
      </c>
      <c r="F736">
        <f>[5]trip_summary_region!F736</f>
        <v>39.164240757000002</v>
      </c>
      <c r="G736">
        <f>[5]trip_summary_region!G736</f>
        <v>441.12408691000002</v>
      </c>
      <c r="H736">
        <f>[5]trip_summary_region!H736</f>
        <v>10.280822411999999</v>
      </c>
      <c r="I736" t="str">
        <f>[5]trip_summary_region!I736</f>
        <v>Light Vehicle Passenger</v>
      </c>
      <c r="J736" t="str">
        <f>[5]trip_summary_region!J736</f>
        <v>2042/43</v>
      </c>
    </row>
    <row r="737" spans="1:10" x14ac:dyDescent="0.2">
      <c r="A737" t="str">
        <f>[5]trip_summary_region!A737</f>
        <v>10 NELS-MARLB-TAS</v>
      </c>
      <c r="B737">
        <f>[5]trip_summary_region!B737</f>
        <v>4</v>
      </c>
      <c r="C737">
        <f>[5]trip_summary_region!C737</f>
        <v>2013</v>
      </c>
      <c r="D737">
        <f>[5]trip_summary_region!D737</f>
        <v>9</v>
      </c>
      <c r="E737">
        <f>[5]trip_summary_region!E737</f>
        <v>16</v>
      </c>
      <c r="F737">
        <f>[5]trip_summary_region!F737</f>
        <v>0.40359339709999997</v>
      </c>
      <c r="G737">
        <f>[5]trip_summary_region!G737</f>
        <v>2.5483198348</v>
      </c>
      <c r="H737">
        <f>[5]trip_summary_region!H737</f>
        <v>8.1526233300000001E-2</v>
      </c>
      <c r="I737" t="s">
        <v>116</v>
      </c>
      <c r="J737" t="str">
        <f>[5]trip_summary_region!J737</f>
        <v>2012/13</v>
      </c>
    </row>
    <row r="738" spans="1:10" x14ac:dyDescent="0.2">
      <c r="A738" t="str">
        <f>[5]trip_summary_region!A738</f>
        <v>10 NELS-MARLB-TAS</v>
      </c>
      <c r="B738">
        <f>[5]trip_summary_region!B738</f>
        <v>4</v>
      </c>
      <c r="C738">
        <f>[5]trip_summary_region!C738</f>
        <v>2018</v>
      </c>
      <c r="D738">
        <f>[5]trip_summary_region!D738</f>
        <v>9</v>
      </c>
      <c r="E738">
        <f>[5]trip_summary_region!E738</f>
        <v>16</v>
      </c>
      <c r="F738">
        <f>[5]trip_summary_region!F738</f>
        <v>0.47948403890000002</v>
      </c>
      <c r="G738">
        <f>[5]trip_summary_region!G738</f>
        <v>2.8940678991</v>
      </c>
      <c r="H738">
        <f>[5]trip_summary_region!H738</f>
        <v>9.4966874699999995E-2</v>
      </c>
      <c r="I738" t="s">
        <v>116</v>
      </c>
      <c r="J738" t="str">
        <f>[5]trip_summary_region!J738</f>
        <v>2017/18</v>
      </c>
    </row>
    <row r="739" spans="1:10" x14ac:dyDescent="0.2">
      <c r="A739" t="str">
        <f>[5]trip_summary_region!A739</f>
        <v>10 NELS-MARLB-TAS</v>
      </c>
      <c r="B739">
        <f>[5]trip_summary_region!B739</f>
        <v>4</v>
      </c>
      <c r="C739">
        <f>[5]trip_summary_region!C739</f>
        <v>2023</v>
      </c>
      <c r="D739">
        <f>[5]trip_summary_region!D739</f>
        <v>9</v>
      </c>
      <c r="E739">
        <f>[5]trip_summary_region!E739</f>
        <v>16</v>
      </c>
      <c r="F739">
        <f>[5]trip_summary_region!F739</f>
        <v>0.55006913390000001</v>
      </c>
      <c r="G739">
        <f>[5]trip_summary_region!G739</f>
        <v>3.1140356643999998</v>
      </c>
      <c r="H739">
        <f>[5]trip_summary_region!H739</f>
        <v>0.10677678559999999</v>
      </c>
      <c r="I739" t="s">
        <v>116</v>
      </c>
      <c r="J739" t="str">
        <f>[5]trip_summary_region!J739</f>
        <v>2022/23</v>
      </c>
    </row>
    <row r="740" spans="1:10" x14ac:dyDescent="0.2">
      <c r="A740" t="str">
        <f>[5]trip_summary_region!A740</f>
        <v>10 NELS-MARLB-TAS</v>
      </c>
      <c r="B740">
        <f>[5]trip_summary_region!B740</f>
        <v>4</v>
      </c>
      <c r="C740">
        <f>[5]trip_summary_region!C740</f>
        <v>2028</v>
      </c>
      <c r="D740">
        <f>[5]trip_summary_region!D740</f>
        <v>9</v>
      </c>
      <c r="E740">
        <f>[5]trip_summary_region!E740</f>
        <v>16</v>
      </c>
      <c r="F740">
        <f>[5]trip_summary_region!F740</f>
        <v>0.58926759319999999</v>
      </c>
      <c r="G740">
        <f>[5]trip_summary_region!G740</f>
        <v>3.2140099964000002</v>
      </c>
      <c r="H740">
        <f>[5]trip_summary_region!H740</f>
        <v>0.11304045779999999</v>
      </c>
      <c r="I740" t="s">
        <v>116</v>
      </c>
      <c r="J740" t="str">
        <f>[5]trip_summary_region!J740</f>
        <v>2027/28</v>
      </c>
    </row>
    <row r="741" spans="1:10" x14ac:dyDescent="0.2">
      <c r="A741" t="str">
        <f>[5]trip_summary_region!A741</f>
        <v>10 NELS-MARLB-TAS</v>
      </c>
      <c r="B741">
        <f>[5]trip_summary_region!B741</f>
        <v>4</v>
      </c>
      <c r="C741">
        <f>[5]trip_summary_region!C741</f>
        <v>2033</v>
      </c>
      <c r="D741">
        <f>[5]trip_summary_region!D741</f>
        <v>9</v>
      </c>
      <c r="E741">
        <f>[5]trip_summary_region!E741</f>
        <v>16</v>
      </c>
      <c r="F741">
        <f>[5]trip_summary_region!F741</f>
        <v>0.60919546950000003</v>
      </c>
      <c r="G741">
        <f>[5]trip_summary_region!G741</f>
        <v>3.2916756289000002</v>
      </c>
      <c r="H741">
        <f>[5]trip_summary_region!H741</f>
        <v>0.1164694267</v>
      </c>
      <c r="I741" t="s">
        <v>116</v>
      </c>
      <c r="J741" t="str">
        <f>[5]trip_summary_region!J741</f>
        <v>2032/33</v>
      </c>
    </row>
    <row r="742" spans="1:10" x14ac:dyDescent="0.2">
      <c r="A742" t="str">
        <f>[5]trip_summary_region!A742</f>
        <v>10 NELS-MARLB-TAS</v>
      </c>
      <c r="B742">
        <f>[5]trip_summary_region!B742</f>
        <v>4</v>
      </c>
      <c r="C742">
        <f>[5]trip_summary_region!C742</f>
        <v>2038</v>
      </c>
      <c r="D742">
        <f>[5]trip_summary_region!D742</f>
        <v>9</v>
      </c>
      <c r="E742">
        <f>[5]trip_summary_region!E742</f>
        <v>16</v>
      </c>
      <c r="F742">
        <f>[5]trip_summary_region!F742</f>
        <v>0.60860721439999999</v>
      </c>
      <c r="G742">
        <f>[5]trip_summary_region!G742</f>
        <v>3.2651894737</v>
      </c>
      <c r="H742">
        <f>[5]trip_summary_region!H742</f>
        <v>0.1157701194</v>
      </c>
      <c r="I742" t="s">
        <v>116</v>
      </c>
      <c r="J742" t="str">
        <f>[5]trip_summary_region!J742</f>
        <v>2037/38</v>
      </c>
    </row>
    <row r="743" spans="1:10" x14ac:dyDescent="0.2">
      <c r="A743" t="str">
        <f>[5]trip_summary_region!A743</f>
        <v>10 NELS-MARLB-TAS</v>
      </c>
      <c r="B743">
        <f>[5]trip_summary_region!B743</f>
        <v>4</v>
      </c>
      <c r="C743">
        <f>[5]trip_summary_region!C743</f>
        <v>2043</v>
      </c>
      <c r="D743">
        <f>[5]trip_summary_region!D743</f>
        <v>9</v>
      </c>
      <c r="E743">
        <f>[5]trip_summary_region!E743</f>
        <v>16</v>
      </c>
      <c r="F743">
        <f>[5]trip_summary_region!F743</f>
        <v>0.60587248680000005</v>
      </c>
      <c r="G743">
        <f>[5]trip_summary_region!G743</f>
        <v>3.2335409019000001</v>
      </c>
      <c r="H743">
        <f>[5]trip_summary_region!H743</f>
        <v>0.1146960569</v>
      </c>
      <c r="I743" t="s">
        <v>116</v>
      </c>
      <c r="J743" t="str">
        <f>[5]trip_summary_region!J743</f>
        <v>2042/43</v>
      </c>
    </row>
    <row r="744" spans="1:10" x14ac:dyDescent="0.2">
      <c r="A744" t="str">
        <f>[5]trip_summary_region!A744</f>
        <v>10 NELS-MARLB-TAS</v>
      </c>
      <c r="B744">
        <f>[5]trip_summary_region!B744</f>
        <v>5</v>
      </c>
      <c r="C744">
        <f>[5]trip_summary_region!C744</f>
        <v>2013</v>
      </c>
      <c r="D744">
        <f>[5]trip_summary_region!D744</f>
        <v>14</v>
      </c>
      <c r="E744">
        <f>[5]trip_summary_region!E744</f>
        <v>52</v>
      </c>
      <c r="F744">
        <f>[5]trip_summary_region!F744</f>
        <v>1.5095151791999999</v>
      </c>
      <c r="G744">
        <f>[5]trip_summary_region!G744</f>
        <v>34.127286998000002</v>
      </c>
      <c r="H744">
        <f>[5]trip_summary_region!H744</f>
        <v>0.60769230029999999</v>
      </c>
      <c r="I744" t="str">
        <f>[5]trip_summary_region!I744</f>
        <v>Motorcyclist</v>
      </c>
      <c r="J744" t="str">
        <f>[5]trip_summary_region!J744</f>
        <v>2012/13</v>
      </c>
    </row>
    <row r="745" spans="1:10" x14ac:dyDescent="0.2">
      <c r="A745" t="str">
        <f>[5]trip_summary_region!A745</f>
        <v>10 NELS-MARLB-TAS</v>
      </c>
      <c r="B745">
        <f>[5]trip_summary_region!B745</f>
        <v>5</v>
      </c>
      <c r="C745">
        <f>[5]trip_summary_region!C745</f>
        <v>2018</v>
      </c>
      <c r="D745">
        <f>[5]trip_summary_region!D745</f>
        <v>14</v>
      </c>
      <c r="E745">
        <f>[5]trip_summary_region!E745</f>
        <v>52</v>
      </c>
      <c r="F745">
        <f>[5]trip_summary_region!F745</f>
        <v>1.5308880861</v>
      </c>
      <c r="G745">
        <f>[5]trip_summary_region!G745</f>
        <v>34.721545933000002</v>
      </c>
      <c r="H745">
        <f>[5]trip_summary_region!H745</f>
        <v>0.61390887589999998</v>
      </c>
      <c r="I745" t="str">
        <f>[5]trip_summary_region!I745</f>
        <v>Motorcyclist</v>
      </c>
      <c r="J745" t="str">
        <f>[5]trip_summary_region!J745</f>
        <v>2017/18</v>
      </c>
    </row>
    <row r="746" spans="1:10" x14ac:dyDescent="0.2">
      <c r="A746" t="str">
        <f>[5]trip_summary_region!A746</f>
        <v>10 NELS-MARLB-TAS</v>
      </c>
      <c r="B746">
        <f>[5]trip_summary_region!B746</f>
        <v>5</v>
      </c>
      <c r="C746">
        <f>[5]trip_summary_region!C746</f>
        <v>2023</v>
      </c>
      <c r="D746">
        <f>[5]trip_summary_region!D746</f>
        <v>14</v>
      </c>
      <c r="E746">
        <f>[5]trip_summary_region!E746</f>
        <v>52</v>
      </c>
      <c r="F746">
        <f>[5]trip_summary_region!F746</f>
        <v>1.5529730632000001</v>
      </c>
      <c r="G746">
        <f>[5]trip_summary_region!G746</f>
        <v>35.043246846999999</v>
      </c>
      <c r="H746">
        <f>[5]trip_summary_region!H746</f>
        <v>0.61683895769999997</v>
      </c>
      <c r="I746" t="str">
        <f>[5]trip_summary_region!I746</f>
        <v>Motorcyclist</v>
      </c>
      <c r="J746" t="str">
        <f>[5]trip_summary_region!J746</f>
        <v>2022/23</v>
      </c>
    </row>
    <row r="747" spans="1:10" x14ac:dyDescent="0.2">
      <c r="A747" t="str">
        <f>[5]trip_summary_region!A747</f>
        <v>10 NELS-MARLB-TAS</v>
      </c>
      <c r="B747">
        <f>[5]trip_summary_region!B747</f>
        <v>5</v>
      </c>
      <c r="C747">
        <f>[5]trip_summary_region!C747</f>
        <v>2028</v>
      </c>
      <c r="D747">
        <f>[5]trip_summary_region!D747</f>
        <v>14</v>
      </c>
      <c r="E747">
        <f>[5]trip_summary_region!E747</f>
        <v>52</v>
      </c>
      <c r="F747">
        <f>[5]trip_summary_region!F747</f>
        <v>1.5774128507</v>
      </c>
      <c r="G747">
        <f>[5]trip_summary_region!G747</f>
        <v>34.757693033999999</v>
      </c>
      <c r="H747">
        <f>[5]trip_summary_region!H747</f>
        <v>0.61154569329999997</v>
      </c>
      <c r="I747" t="str">
        <f>[5]trip_summary_region!I747</f>
        <v>Motorcyclist</v>
      </c>
      <c r="J747" t="str">
        <f>[5]trip_summary_region!J747</f>
        <v>2027/28</v>
      </c>
    </row>
    <row r="748" spans="1:10" x14ac:dyDescent="0.2">
      <c r="A748" t="str">
        <f>[5]trip_summary_region!A748</f>
        <v>10 NELS-MARLB-TAS</v>
      </c>
      <c r="B748">
        <f>[5]trip_summary_region!B748</f>
        <v>5</v>
      </c>
      <c r="C748">
        <f>[5]trip_summary_region!C748</f>
        <v>2033</v>
      </c>
      <c r="D748">
        <f>[5]trip_summary_region!D748</f>
        <v>14</v>
      </c>
      <c r="E748">
        <f>[5]trip_summary_region!E748</f>
        <v>52</v>
      </c>
      <c r="F748">
        <f>[5]trip_summary_region!F748</f>
        <v>1.5802688671</v>
      </c>
      <c r="G748">
        <f>[5]trip_summary_region!G748</f>
        <v>34.948549298000003</v>
      </c>
      <c r="H748">
        <f>[5]trip_summary_region!H748</f>
        <v>0.61341930300000003</v>
      </c>
      <c r="I748" t="str">
        <f>[5]trip_summary_region!I748</f>
        <v>Motorcyclist</v>
      </c>
      <c r="J748" t="str">
        <f>[5]trip_summary_region!J748</f>
        <v>2032/33</v>
      </c>
    </row>
    <row r="749" spans="1:10" x14ac:dyDescent="0.2">
      <c r="A749" t="str">
        <f>[5]trip_summary_region!A749</f>
        <v>10 NELS-MARLB-TAS</v>
      </c>
      <c r="B749">
        <f>[5]trip_summary_region!B749</f>
        <v>5</v>
      </c>
      <c r="C749">
        <f>[5]trip_summary_region!C749</f>
        <v>2038</v>
      </c>
      <c r="D749">
        <f>[5]trip_summary_region!D749</f>
        <v>14</v>
      </c>
      <c r="E749">
        <f>[5]trip_summary_region!E749</f>
        <v>52</v>
      </c>
      <c r="F749">
        <f>[5]trip_summary_region!F749</f>
        <v>1.5438310108</v>
      </c>
      <c r="G749">
        <f>[5]trip_summary_region!G749</f>
        <v>34.895553888999999</v>
      </c>
      <c r="H749">
        <f>[5]trip_summary_region!H749</f>
        <v>0.61090498000000004</v>
      </c>
      <c r="I749" t="str">
        <f>[5]trip_summary_region!I749</f>
        <v>Motorcyclist</v>
      </c>
      <c r="J749" t="str">
        <f>[5]trip_summary_region!J749</f>
        <v>2037/38</v>
      </c>
    </row>
    <row r="750" spans="1:10" x14ac:dyDescent="0.2">
      <c r="A750" t="str">
        <f>[5]trip_summary_region!A750</f>
        <v>10 NELS-MARLB-TAS</v>
      </c>
      <c r="B750">
        <f>[5]trip_summary_region!B750</f>
        <v>5</v>
      </c>
      <c r="C750">
        <f>[5]trip_summary_region!C750</f>
        <v>2043</v>
      </c>
      <c r="D750">
        <f>[5]trip_summary_region!D750</f>
        <v>14</v>
      </c>
      <c r="E750">
        <f>[5]trip_summary_region!E750</f>
        <v>52</v>
      </c>
      <c r="F750">
        <f>[5]trip_summary_region!F750</f>
        <v>1.5019508497</v>
      </c>
      <c r="G750">
        <f>[5]trip_summary_region!G750</f>
        <v>34.684591892</v>
      </c>
      <c r="H750">
        <f>[5]trip_summary_region!H750</f>
        <v>0.60564025020000001</v>
      </c>
      <c r="I750" t="str">
        <f>[5]trip_summary_region!I750</f>
        <v>Motorcyclist</v>
      </c>
      <c r="J750" t="str">
        <f>[5]trip_summary_region!J750</f>
        <v>2042/43</v>
      </c>
    </row>
    <row r="751" spans="1:10" x14ac:dyDescent="0.2">
      <c r="A751" t="str">
        <f>[5]trip_summary_region!A751</f>
        <v>10 NELS-MARLB-TAS</v>
      </c>
      <c r="B751">
        <f>[5]trip_summary_region!B751</f>
        <v>6</v>
      </c>
      <c r="C751">
        <f>[5]trip_summary_region!C751</f>
        <v>2013</v>
      </c>
      <c r="D751">
        <f>[5]trip_summary_region!D751</f>
        <v>1</v>
      </c>
      <c r="E751">
        <f>[5]trip_summary_region!E751</f>
        <v>4</v>
      </c>
      <c r="F751">
        <f>[5]trip_summary_region!F751</f>
        <v>0.1284956481</v>
      </c>
      <c r="G751">
        <f>[5]trip_summary_region!G751</f>
        <v>5.3733082988999996</v>
      </c>
      <c r="H751">
        <f>[5]trip_summary_region!H751</f>
        <v>9.9048728700000005E-2</v>
      </c>
      <c r="I751" t="str">
        <f>[5]trip_summary_region!I751</f>
        <v>Local Train</v>
      </c>
      <c r="J751" t="str">
        <f>[5]trip_summary_region!J751</f>
        <v>2012/13</v>
      </c>
    </row>
    <row r="752" spans="1:10" x14ac:dyDescent="0.2">
      <c r="A752" t="str">
        <f>[5]trip_summary_region!A752</f>
        <v>10 NELS-MARLB-TAS</v>
      </c>
      <c r="B752">
        <f>[5]trip_summary_region!B752</f>
        <v>6</v>
      </c>
      <c r="C752">
        <f>[5]trip_summary_region!C752</f>
        <v>2018</v>
      </c>
      <c r="D752">
        <f>[5]trip_summary_region!D752</f>
        <v>1</v>
      </c>
      <c r="E752">
        <f>[5]trip_summary_region!E752</f>
        <v>4</v>
      </c>
      <c r="F752">
        <f>[5]trip_summary_region!F752</f>
        <v>0.1133521098</v>
      </c>
      <c r="G752">
        <f>[5]trip_summary_region!G752</f>
        <v>4.7452869850999999</v>
      </c>
      <c r="H752">
        <f>[5]trip_summary_region!H752</f>
        <v>8.7472436099999995E-2</v>
      </c>
      <c r="I752" t="str">
        <f>[5]trip_summary_region!I752</f>
        <v>Local Train</v>
      </c>
      <c r="J752" t="str">
        <f>[5]trip_summary_region!J752</f>
        <v>2017/18</v>
      </c>
    </row>
    <row r="753" spans="1:10" x14ac:dyDescent="0.2">
      <c r="A753" t="str">
        <f>[5]trip_summary_region!A753</f>
        <v>10 NELS-MARLB-TAS</v>
      </c>
      <c r="B753">
        <f>[5]trip_summary_region!B753</f>
        <v>6</v>
      </c>
      <c r="C753">
        <f>[5]trip_summary_region!C753</f>
        <v>2023</v>
      </c>
      <c r="D753">
        <f>[5]trip_summary_region!D753</f>
        <v>1</v>
      </c>
      <c r="E753">
        <f>[5]trip_summary_region!E753</f>
        <v>4</v>
      </c>
      <c r="F753">
        <f>[5]trip_summary_region!F753</f>
        <v>9.4041816E-2</v>
      </c>
      <c r="G753">
        <f>[5]trip_summary_region!G753</f>
        <v>3.9403736078999998</v>
      </c>
      <c r="H753">
        <f>[5]trip_summary_region!H753</f>
        <v>7.2635246200000003E-2</v>
      </c>
      <c r="I753" t="str">
        <f>[5]trip_summary_region!I753</f>
        <v>Local Train</v>
      </c>
      <c r="J753" t="str">
        <f>[5]trip_summary_region!J753</f>
        <v>2022/23</v>
      </c>
    </row>
    <row r="754" spans="1:10" x14ac:dyDescent="0.2">
      <c r="A754" t="str">
        <f>[5]trip_summary_region!A754</f>
        <v>10 NELS-MARLB-TAS</v>
      </c>
      <c r="B754">
        <f>[5]trip_summary_region!B754</f>
        <v>6</v>
      </c>
      <c r="C754">
        <f>[5]trip_summary_region!C754</f>
        <v>2028</v>
      </c>
      <c r="D754">
        <f>[5]trip_summary_region!D754</f>
        <v>1</v>
      </c>
      <c r="E754">
        <f>[5]trip_summary_region!E754</f>
        <v>4</v>
      </c>
      <c r="F754">
        <f>[5]trip_summary_region!F754</f>
        <v>7.0618227500000005E-2</v>
      </c>
      <c r="G754">
        <f>[5]trip_summary_region!G754</f>
        <v>2.9623433819999998</v>
      </c>
      <c r="H754">
        <f>[5]trip_summary_region!H754</f>
        <v>5.4606843699999998E-2</v>
      </c>
      <c r="I754" t="str">
        <f>[5]trip_summary_region!I754</f>
        <v>Local Train</v>
      </c>
      <c r="J754" t="str">
        <f>[5]trip_summary_region!J754</f>
        <v>2027/28</v>
      </c>
    </row>
    <row r="755" spans="1:10" x14ac:dyDescent="0.2">
      <c r="A755" t="str">
        <f>[5]trip_summary_region!A755</f>
        <v>10 NELS-MARLB-TAS</v>
      </c>
      <c r="B755">
        <f>[5]trip_summary_region!B755</f>
        <v>6</v>
      </c>
      <c r="C755">
        <f>[5]trip_summary_region!C755</f>
        <v>2033</v>
      </c>
      <c r="D755">
        <f>[5]trip_summary_region!D755</f>
        <v>1</v>
      </c>
      <c r="E755">
        <f>[5]trip_summary_region!E755</f>
        <v>4</v>
      </c>
      <c r="F755">
        <f>[5]trip_summary_region!F755</f>
        <v>5.7641887699999998E-2</v>
      </c>
      <c r="G755">
        <f>[5]trip_summary_region!G755</f>
        <v>2.4208706455</v>
      </c>
      <c r="H755">
        <f>[5]trip_summary_region!H755</f>
        <v>4.4625692100000003E-2</v>
      </c>
      <c r="I755" t="str">
        <f>[5]trip_summary_region!I755</f>
        <v>Local Train</v>
      </c>
      <c r="J755" t="str">
        <f>[5]trip_summary_region!J755</f>
        <v>2032/33</v>
      </c>
    </row>
    <row r="756" spans="1:10" x14ac:dyDescent="0.2">
      <c r="A756" t="str">
        <f>[5]trip_summary_region!A756</f>
        <v>10 NELS-MARLB-TAS</v>
      </c>
      <c r="B756">
        <f>[5]trip_summary_region!B756</f>
        <v>6</v>
      </c>
      <c r="C756">
        <f>[5]trip_summary_region!C756</f>
        <v>2038</v>
      </c>
      <c r="D756">
        <f>[5]trip_summary_region!D756</f>
        <v>1</v>
      </c>
      <c r="E756">
        <f>[5]trip_summary_region!E756</f>
        <v>4</v>
      </c>
      <c r="F756">
        <f>[5]trip_summary_region!F756</f>
        <v>5.1077075100000001E-2</v>
      </c>
      <c r="G756">
        <f>[5]trip_summary_region!G756</f>
        <v>2.1472153604000002</v>
      </c>
      <c r="H756">
        <f>[5]trip_summary_region!H756</f>
        <v>3.95813281E-2</v>
      </c>
      <c r="I756" t="str">
        <f>[5]trip_summary_region!I756</f>
        <v>Local Train</v>
      </c>
      <c r="J756" t="str">
        <f>[5]trip_summary_region!J756</f>
        <v>2037/38</v>
      </c>
    </row>
    <row r="757" spans="1:10" x14ac:dyDescent="0.2">
      <c r="A757" t="str">
        <f>[5]trip_summary_region!A757</f>
        <v>10 NELS-MARLB-TAS</v>
      </c>
      <c r="B757">
        <f>[5]trip_summary_region!B757</f>
        <v>6</v>
      </c>
      <c r="C757">
        <f>[5]trip_summary_region!C757</f>
        <v>2043</v>
      </c>
      <c r="D757">
        <f>[5]trip_summary_region!D757</f>
        <v>1</v>
      </c>
      <c r="E757">
        <f>[5]trip_summary_region!E757</f>
        <v>4</v>
      </c>
      <c r="F757">
        <f>[5]trip_summary_region!F757</f>
        <v>4.2661587799999998E-2</v>
      </c>
      <c r="G757">
        <f>[5]trip_summary_region!G757</f>
        <v>1.7956708403999999</v>
      </c>
      <c r="H757">
        <f>[5]trip_summary_region!H757</f>
        <v>3.3101164400000001E-2</v>
      </c>
      <c r="I757" t="str">
        <f>[5]trip_summary_region!I757</f>
        <v>Local Train</v>
      </c>
      <c r="J757" t="str">
        <f>[5]trip_summary_region!J757</f>
        <v>2042/43</v>
      </c>
    </row>
    <row r="758" spans="1:10" x14ac:dyDescent="0.2">
      <c r="A758" t="str">
        <f>[5]trip_summary_region!A758</f>
        <v>10 NELS-MARLB-TAS</v>
      </c>
      <c r="B758">
        <f>[5]trip_summary_region!B758</f>
        <v>7</v>
      </c>
      <c r="C758">
        <f>[5]trip_summary_region!C758</f>
        <v>2013</v>
      </c>
      <c r="D758">
        <f>[5]trip_summary_region!D758</f>
        <v>38</v>
      </c>
      <c r="E758">
        <f>[5]trip_summary_region!E758</f>
        <v>79</v>
      </c>
      <c r="F758">
        <f>[5]trip_summary_region!F758</f>
        <v>2.0764681202999999</v>
      </c>
      <c r="G758">
        <f>[5]trip_summary_region!G758</f>
        <v>19.807462209000001</v>
      </c>
      <c r="H758">
        <f>[5]trip_summary_region!H758</f>
        <v>0.94491203199999996</v>
      </c>
      <c r="I758" t="str">
        <f>[5]trip_summary_region!I758</f>
        <v>Local Bus</v>
      </c>
      <c r="J758" t="str">
        <f>[5]trip_summary_region!J758</f>
        <v>2012/13</v>
      </c>
    </row>
    <row r="759" spans="1:10" x14ac:dyDescent="0.2">
      <c r="A759" t="str">
        <f>[5]trip_summary_region!A759</f>
        <v>10 NELS-MARLB-TAS</v>
      </c>
      <c r="B759">
        <f>[5]trip_summary_region!B759</f>
        <v>7</v>
      </c>
      <c r="C759">
        <f>[5]trip_summary_region!C759</f>
        <v>2018</v>
      </c>
      <c r="D759">
        <f>[5]trip_summary_region!D759</f>
        <v>38</v>
      </c>
      <c r="E759">
        <f>[5]trip_summary_region!E759</f>
        <v>79</v>
      </c>
      <c r="F759">
        <f>[5]trip_summary_region!F759</f>
        <v>1.9491512949000001</v>
      </c>
      <c r="G759">
        <f>[5]trip_summary_region!G759</f>
        <v>17.975237409999998</v>
      </c>
      <c r="H759">
        <f>[5]trip_summary_region!H759</f>
        <v>0.85855094480000005</v>
      </c>
      <c r="I759" t="str">
        <f>[5]trip_summary_region!I759</f>
        <v>Local Bus</v>
      </c>
      <c r="J759" t="str">
        <f>[5]trip_summary_region!J759</f>
        <v>2017/18</v>
      </c>
    </row>
    <row r="760" spans="1:10" x14ac:dyDescent="0.2">
      <c r="A760" t="str">
        <f>[5]trip_summary_region!A760</f>
        <v>10 NELS-MARLB-TAS</v>
      </c>
      <c r="B760">
        <f>[5]trip_summary_region!B760</f>
        <v>7</v>
      </c>
      <c r="C760">
        <f>[5]trip_summary_region!C760</f>
        <v>2023</v>
      </c>
      <c r="D760">
        <f>[5]trip_summary_region!D760</f>
        <v>38</v>
      </c>
      <c r="E760">
        <f>[5]trip_summary_region!E760</f>
        <v>79</v>
      </c>
      <c r="F760">
        <f>[5]trip_summary_region!F760</f>
        <v>1.8651711896000001</v>
      </c>
      <c r="G760">
        <f>[5]trip_summary_region!G760</f>
        <v>16.629701012000002</v>
      </c>
      <c r="H760">
        <f>[5]trip_summary_region!H760</f>
        <v>0.79654666959999998</v>
      </c>
      <c r="I760" t="str">
        <f>[5]trip_summary_region!I760</f>
        <v>Local Bus</v>
      </c>
      <c r="J760" t="str">
        <f>[5]trip_summary_region!J760</f>
        <v>2022/23</v>
      </c>
    </row>
    <row r="761" spans="1:10" x14ac:dyDescent="0.2">
      <c r="A761" t="str">
        <f>[5]trip_summary_region!A761</f>
        <v>10 NELS-MARLB-TAS</v>
      </c>
      <c r="B761">
        <f>[5]trip_summary_region!B761</f>
        <v>7</v>
      </c>
      <c r="C761">
        <f>[5]trip_summary_region!C761</f>
        <v>2028</v>
      </c>
      <c r="D761">
        <f>[5]trip_summary_region!D761</f>
        <v>38</v>
      </c>
      <c r="E761">
        <f>[5]trip_summary_region!E761</f>
        <v>79</v>
      </c>
      <c r="F761">
        <f>[5]trip_summary_region!F761</f>
        <v>1.8692177774000001</v>
      </c>
      <c r="G761">
        <f>[5]trip_summary_region!G761</f>
        <v>16.103004420000001</v>
      </c>
      <c r="H761">
        <f>[5]trip_summary_region!H761</f>
        <v>0.77429403799999996</v>
      </c>
      <c r="I761" t="str">
        <f>[5]trip_summary_region!I761</f>
        <v>Local Bus</v>
      </c>
      <c r="J761" t="str">
        <f>[5]trip_summary_region!J761</f>
        <v>2027/28</v>
      </c>
    </row>
    <row r="762" spans="1:10" x14ac:dyDescent="0.2">
      <c r="A762" t="str">
        <f>[5]trip_summary_region!A762</f>
        <v>10 NELS-MARLB-TAS</v>
      </c>
      <c r="B762">
        <f>[5]trip_summary_region!B762</f>
        <v>7</v>
      </c>
      <c r="C762">
        <f>[5]trip_summary_region!C762</f>
        <v>2033</v>
      </c>
      <c r="D762">
        <f>[5]trip_summary_region!D762</f>
        <v>38</v>
      </c>
      <c r="E762">
        <f>[5]trip_summary_region!E762</f>
        <v>79</v>
      </c>
      <c r="F762">
        <f>[5]trip_summary_region!F762</f>
        <v>1.7683856563</v>
      </c>
      <c r="G762">
        <f>[5]trip_summary_region!G762</f>
        <v>14.933646592000001</v>
      </c>
      <c r="H762">
        <f>[5]trip_summary_region!H762</f>
        <v>0.72124026679999997</v>
      </c>
      <c r="I762" t="str">
        <f>[5]trip_summary_region!I762</f>
        <v>Local Bus</v>
      </c>
      <c r="J762" t="str">
        <f>[5]trip_summary_region!J762</f>
        <v>2032/33</v>
      </c>
    </row>
    <row r="763" spans="1:10" x14ac:dyDescent="0.2">
      <c r="A763" t="str">
        <f>[5]trip_summary_region!A763</f>
        <v>10 NELS-MARLB-TAS</v>
      </c>
      <c r="B763">
        <f>[5]trip_summary_region!B763</f>
        <v>7</v>
      </c>
      <c r="C763">
        <f>[5]trip_summary_region!C763</f>
        <v>2038</v>
      </c>
      <c r="D763">
        <f>[5]trip_summary_region!D763</f>
        <v>38</v>
      </c>
      <c r="E763">
        <f>[5]trip_summary_region!E763</f>
        <v>79</v>
      </c>
      <c r="F763">
        <f>[5]trip_summary_region!F763</f>
        <v>1.7784687819</v>
      </c>
      <c r="G763">
        <f>[5]trip_summary_region!G763</f>
        <v>14.647993722000001</v>
      </c>
      <c r="H763">
        <f>[5]trip_summary_region!H763</f>
        <v>0.70792295329999999</v>
      </c>
      <c r="I763" t="str">
        <f>[5]trip_summary_region!I763</f>
        <v>Local Bus</v>
      </c>
      <c r="J763" t="str">
        <f>[5]trip_summary_region!J763</f>
        <v>2037/38</v>
      </c>
    </row>
    <row r="764" spans="1:10" x14ac:dyDescent="0.2">
      <c r="A764" t="str">
        <f>[5]trip_summary_region!A764</f>
        <v>10 NELS-MARLB-TAS</v>
      </c>
      <c r="B764">
        <f>[5]trip_summary_region!B764</f>
        <v>7</v>
      </c>
      <c r="C764">
        <f>[5]trip_summary_region!C764</f>
        <v>2043</v>
      </c>
      <c r="D764">
        <f>[5]trip_summary_region!D764</f>
        <v>38</v>
      </c>
      <c r="E764">
        <f>[5]trip_summary_region!E764</f>
        <v>79</v>
      </c>
      <c r="F764">
        <f>[5]trip_summary_region!F764</f>
        <v>1.7853130344000001</v>
      </c>
      <c r="G764">
        <f>[5]trip_summary_region!G764</f>
        <v>14.391691438000001</v>
      </c>
      <c r="H764">
        <f>[5]trip_summary_region!H764</f>
        <v>0.69595938960000003</v>
      </c>
      <c r="I764" t="str">
        <f>[5]trip_summary_region!I764</f>
        <v>Local Bus</v>
      </c>
      <c r="J764" t="str">
        <f>[5]trip_summary_region!J764</f>
        <v>2042/43</v>
      </c>
    </row>
    <row r="765" spans="1:10" x14ac:dyDescent="0.2">
      <c r="A765" t="str">
        <f>[5]trip_summary_region!A765</f>
        <v>10 NELS-MARLB-TAS</v>
      </c>
      <c r="B765">
        <f>[5]trip_summary_region!B765</f>
        <v>9</v>
      </c>
      <c r="C765">
        <f>[5]trip_summary_region!C765</f>
        <v>2013</v>
      </c>
      <c r="D765">
        <f>[5]trip_summary_region!D765</f>
        <v>24</v>
      </c>
      <c r="E765">
        <f>[5]trip_summary_region!E765</f>
        <v>56</v>
      </c>
      <c r="F765">
        <f>[5]trip_summary_region!F765</f>
        <v>1.495105957</v>
      </c>
      <c r="G765">
        <f>[5]trip_summary_region!G765</f>
        <v>0</v>
      </c>
      <c r="H765">
        <f>[5]trip_summary_region!H765</f>
        <v>0.51346004550000002</v>
      </c>
      <c r="I765" t="str">
        <f>[5]trip_summary_region!I765</f>
        <v>Other Household Travel</v>
      </c>
      <c r="J765" t="str">
        <f>[5]trip_summary_region!J765</f>
        <v>2012/13</v>
      </c>
    </row>
    <row r="766" spans="1:10" x14ac:dyDescent="0.2">
      <c r="A766" t="str">
        <f>[5]trip_summary_region!A766</f>
        <v>10 NELS-MARLB-TAS</v>
      </c>
      <c r="B766">
        <f>[5]trip_summary_region!B766</f>
        <v>9</v>
      </c>
      <c r="C766">
        <f>[5]trip_summary_region!C766</f>
        <v>2018</v>
      </c>
      <c r="D766">
        <f>[5]trip_summary_region!D766</f>
        <v>24</v>
      </c>
      <c r="E766">
        <f>[5]trip_summary_region!E766</f>
        <v>56</v>
      </c>
      <c r="F766">
        <f>[5]trip_summary_region!F766</f>
        <v>1.4836446249999999</v>
      </c>
      <c r="G766">
        <f>[5]trip_summary_region!G766</f>
        <v>0</v>
      </c>
      <c r="H766">
        <f>[5]trip_summary_region!H766</f>
        <v>0.50518299099999997</v>
      </c>
      <c r="I766" t="str">
        <f>[5]trip_summary_region!I766</f>
        <v>Other Household Travel</v>
      </c>
      <c r="J766" t="str">
        <f>[5]trip_summary_region!J766</f>
        <v>2017/18</v>
      </c>
    </row>
    <row r="767" spans="1:10" x14ac:dyDescent="0.2">
      <c r="A767" t="str">
        <f>[5]trip_summary_region!A767</f>
        <v>10 NELS-MARLB-TAS</v>
      </c>
      <c r="B767">
        <f>[5]trip_summary_region!B767</f>
        <v>9</v>
      </c>
      <c r="C767">
        <f>[5]trip_summary_region!C767</f>
        <v>2023</v>
      </c>
      <c r="D767">
        <f>[5]trip_summary_region!D767</f>
        <v>24</v>
      </c>
      <c r="E767">
        <f>[5]trip_summary_region!E767</f>
        <v>56</v>
      </c>
      <c r="F767">
        <f>[5]trip_summary_region!F767</f>
        <v>1.4762339579999999</v>
      </c>
      <c r="G767">
        <f>[5]trip_summary_region!G767</f>
        <v>0</v>
      </c>
      <c r="H767">
        <f>[5]trip_summary_region!H767</f>
        <v>0.50159192180000001</v>
      </c>
      <c r="I767" t="str">
        <f>[5]trip_summary_region!I767</f>
        <v>Other Household Travel</v>
      </c>
      <c r="J767" t="str">
        <f>[5]trip_summary_region!J767</f>
        <v>2022/23</v>
      </c>
    </row>
    <row r="768" spans="1:10" x14ac:dyDescent="0.2">
      <c r="A768" t="str">
        <f>[5]trip_summary_region!A768</f>
        <v>10 NELS-MARLB-TAS</v>
      </c>
      <c r="B768">
        <f>[5]trip_summary_region!B768</f>
        <v>9</v>
      </c>
      <c r="C768">
        <f>[5]trip_summary_region!C768</f>
        <v>2028</v>
      </c>
      <c r="D768">
        <f>[5]trip_summary_region!D768</f>
        <v>24</v>
      </c>
      <c r="E768">
        <f>[5]trip_summary_region!E768</f>
        <v>56</v>
      </c>
      <c r="F768">
        <f>[5]trip_summary_region!F768</f>
        <v>1.5116137337</v>
      </c>
      <c r="G768">
        <f>[5]trip_summary_region!G768</f>
        <v>0</v>
      </c>
      <c r="H768">
        <f>[5]trip_summary_region!H768</f>
        <v>0.51554068799999997</v>
      </c>
      <c r="I768" t="str">
        <f>[5]trip_summary_region!I768</f>
        <v>Other Household Travel</v>
      </c>
      <c r="J768" t="str">
        <f>[5]trip_summary_region!J768</f>
        <v>2027/28</v>
      </c>
    </row>
    <row r="769" spans="1:10" x14ac:dyDescent="0.2">
      <c r="A769" t="str">
        <f>[5]trip_summary_region!A769</f>
        <v>10 NELS-MARLB-TAS</v>
      </c>
      <c r="B769">
        <f>[5]trip_summary_region!B769</f>
        <v>9</v>
      </c>
      <c r="C769">
        <f>[5]trip_summary_region!C769</f>
        <v>2033</v>
      </c>
      <c r="D769">
        <f>[5]trip_summary_region!D769</f>
        <v>24</v>
      </c>
      <c r="E769">
        <f>[5]trip_summary_region!E769</f>
        <v>56</v>
      </c>
      <c r="F769">
        <f>[5]trip_summary_region!F769</f>
        <v>1.5292284249999999</v>
      </c>
      <c r="G769">
        <f>[5]trip_summary_region!G769</f>
        <v>0</v>
      </c>
      <c r="H769">
        <f>[5]trip_summary_region!H769</f>
        <v>0.51946512869999995</v>
      </c>
      <c r="I769" t="str">
        <f>[5]trip_summary_region!I769</f>
        <v>Other Household Travel</v>
      </c>
      <c r="J769" t="str">
        <f>[5]trip_summary_region!J769</f>
        <v>2032/33</v>
      </c>
    </row>
    <row r="770" spans="1:10" x14ac:dyDescent="0.2">
      <c r="A770" t="str">
        <f>[5]trip_summary_region!A770</f>
        <v>10 NELS-MARLB-TAS</v>
      </c>
      <c r="B770">
        <f>[5]trip_summary_region!B770</f>
        <v>9</v>
      </c>
      <c r="C770">
        <f>[5]trip_summary_region!C770</f>
        <v>2038</v>
      </c>
      <c r="D770">
        <f>[5]trip_summary_region!D770</f>
        <v>24</v>
      </c>
      <c r="E770">
        <f>[5]trip_summary_region!E770</f>
        <v>56</v>
      </c>
      <c r="F770">
        <f>[5]trip_summary_region!F770</f>
        <v>1.5746490319999999</v>
      </c>
      <c r="G770">
        <f>[5]trip_summary_region!G770</f>
        <v>0</v>
      </c>
      <c r="H770">
        <f>[5]trip_summary_region!H770</f>
        <v>0.53577025359999997</v>
      </c>
      <c r="I770" t="str">
        <f>[5]trip_summary_region!I770</f>
        <v>Other Household Travel</v>
      </c>
      <c r="J770" t="str">
        <f>[5]trip_summary_region!J770</f>
        <v>2037/38</v>
      </c>
    </row>
    <row r="771" spans="1:10" x14ac:dyDescent="0.2">
      <c r="A771" t="str">
        <f>[5]trip_summary_region!A771</f>
        <v>10 NELS-MARLB-TAS</v>
      </c>
      <c r="B771">
        <f>[5]trip_summary_region!B771</f>
        <v>9</v>
      </c>
      <c r="C771">
        <f>[5]trip_summary_region!C771</f>
        <v>2043</v>
      </c>
      <c r="D771">
        <f>[5]trip_summary_region!D771</f>
        <v>24</v>
      </c>
      <c r="E771">
        <f>[5]trip_summary_region!E771</f>
        <v>56</v>
      </c>
      <c r="F771">
        <f>[5]trip_summary_region!F771</f>
        <v>1.6025694894</v>
      </c>
      <c r="G771">
        <f>[5]trip_summary_region!G771</f>
        <v>0</v>
      </c>
      <c r="H771">
        <f>[5]trip_summary_region!H771</f>
        <v>0.54667661580000004</v>
      </c>
      <c r="I771" t="str">
        <f>[5]trip_summary_region!I771</f>
        <v>Other Household Travel</v>
      </c>
      <c r="J771" t="str">
        <f>[5]trip_summary_region!J771</f>
        <v>2042/43</v>
      </c>
    </row>
    <row r="772" spans="1:10" x14ac:dyDescent="0.2">
      <c r="A772" t="str">
        <f>[5]trip_summary_region!A772</f>
        <v>10 NELS-MARLB-TAS</v>
      </c>
      <c r="B772">
        <f>[5]trip_summary_region!B772</f>
        <v>10</v>
      </c>
      <c r="C772">
        <f>[5]trip_summary_region!C772</f>
        <v>2013</v>
      </c>
      <c r="D772">
        <f>[5]trip_summary_region!D772</f>
        <v>11</v>
      </c>
      <c r="E772">
        <f>[5]trip_summary_region!E772</f>
        <v>13</v>
      </c>
      <c r="F772">
        <f>[5]trip_summary_region!F772</f>
        <v>0.38277994659999998</v>
      </c>
      <c r="G772">
        <f>[5]trip_summary_region!G772</f>
        <v>0</v>
      </c>
      <c r="H772">
        <f>[5]trip_summary_region!H772</f>
        <v>0.45211944030000001</v>
      </c>
      <c r="I772" t="str">
        <f>[5]trip_summary_region!I772</f>
        <v>Air/Non-Local PT</v>
      </c>
      <c r="J772" t="str">
        <f>[5]trip_summary_region!J772</f>
        <v>2012/13</v>
      </c>
    </row>
    <row r="773" spans="1:10" x14ac:dyDescent="0.2">
      <c r="A773" t="str">
        <f>[5]trip_summary_region!A773</f>
        <v>10 NELS-MARLB-TAS</v>
      </c>
      <c r="B773">
        <f>[5]trip_summary_region!B773</f>
        <v>10</v>
      </c>
      <c r="C773">
        <f>[5]trip_summary_region!C773</f>
        <v>2018</v>
      </c>
      <c r="D773">
        <f>[5]trip_summary_region!D773</f>
        <v>11</v>
      </c>
      <c r="E773">
        <f>[5]trip_summary_region!E773</f>
        <v>13</v>
      </c>
      <c r="F773">
        <f>[5]trip_summary_region!F773</f>
        <v>0.40267428820000001</v>
      </c>
      <c r="G773">
        <f>[5]trip_summary_region!G773</f>
        <v>0</v>
      </c>
      <c r="H773">
        <f>[5]trip_summary_region!H773</f>
        <v>0.46606347139999998</v>
      </c>
      <c r="I773" t="str">
        <f>[5]trip_summary_region!I773</f>
        <v>Air/Non-Local PT</v>
      </c>
      <c r="J773" t="str">
        <f>[5]trip_summary_region!J773</f>
        <v>2017/18</v>
      </c>
    </row>
    <row r="774" spans="1:10" x14ac:dyDescent="0.2">
      <c r="A774" t="str">
        <f>[5]trip_summary_region!A774</f>
        <v>10 NELS-MARLB-TAS</v>
      </c>
      <c r="B774">
        <f>[5]trip_summary_region!B774</f>
        <v>10</v>
      </c>
      <c r="C774">
        <f>[5]trip_summary_region!C774</f>
        <v>2023</v>
      </c>
      <c r="D774">
        <f>[5]trip_summary_region!D774</f>
        <v>11</v>
      </c>
      <c r="E774">
        <f>[5]trip_summary_region!E774</f>
        <v>13</v>
      </c>
      <c r="F774">
        <f>[5]trip_summary_region!F774</f>
        <v>0.41191487389999998</v>
      </c>
      <c r="G774">
        <f>[5]trip_summary_region!G774</f>
        <v>0</v>
      </c>
      <c r="H774">
        <f>[5]trip_summary_region!H774</f>
        <v>0.47214288110000002</v>
      </c>
      <c r="I774" t="str">
        <f>[5]trip_summary_region!I774</f>
        <v>Air/Non-Local PT</v>
      </c>
      <c r="J774" t="str">
        <f>[5]trip_summary_region!J774</f>
        <v>2022/23</v>
      </c>
    </row>
    <row r="775" spans="1:10" x14ac:dyDescent="0.2">
      <c r="A775" t="str">
        <f>[5]trip_summary_region!A775</f>
        <v>10 NELS-MARLB-TAS</v>
      </c>
      <c r="B775">
        <f>[5]trip_summary_region!B775</f>
        <v>10</v>
      </c>
      <c r="C775">
        <f>[5]trip_summary_region!C775</f>
        <v>2028</v>
      </c>
      <c r="D775">
        <f>[5]trip_summary_region!D775</f>
        <v>11</v>
      </c>
      <c r="E775">
        <f>[5]trip_summary_region!E775</f>
        <v>13</v>
      </c>
      <c r="F775">
        <f>[5]trip_summary_region!F775</f>
        <v>0.42000629049999999</v>
      </c>
      <c r="G775">
        <f>[5]trip_summary_region!G775</f>
        <v>0</v>
      </c>
      <c r="H775">
        <f>[5]trip_summary_region!H775</f>
        <v>0.46921731919999998</v>
      </c>
      <c r="I775" t="str">
        <f>[5]trip_summary_region!I775</f>
        <v>Air/Non-Local PT</v>
      </c>
      <c r="J775" t="str">
        <f>[5]trip_summary_region!J775</f>
        <v>2027/28</v>
      </c>
    </row>
    <row r="776" spans="1:10" x14ac:dyDescent="0.2">
      <c r="A776" t="str">
        <f>[5]trip_summary_region!A776</f>
        <v>10 NELS-MARLB-TAS</v>
      </c>
      <c r="B776">
        <f>[5]trip_summary_region!B776</f>
        <v>10</v>
      </c>
      <c r="C776">
        <f>[5]trip_summary_region!C776</f>
        <v>2033</v>
      </c>
      <c r="D776">
        <f>[5]trip_summary_region!D776</f>
        <v>11</v>
      </c>
      <c r="E776">
        <f>[5]trip_summary_region!E776</f>
        <v>13</v>
      </c>
      <c r="F776">
        <f>[5]trip_summary_region!F776</f>
        <v>0.42649973889999998</v>
      </c>
      <c r="G776">
        <f>[5]trip_summary_region!G776</f>
        <v>0</v>
      </c>
      <c r="H776">
        <f>[5]trip_summary_region!H776</f>
        <v>0.44792385359999998</v>
      </c>
      <c r="I776" t="str">
        <f>[5]trip_summary_region!I776</f>
        <v>Air/Non-Local PT</v>
      </c>
      <c r="J776" t="str">
        <f>[5]trip_summary_region!J776</f>
        <v>2032/33</v>
      </c>
    </row>
    <row r="777" spans="1:10" x14ac:dyDescent="0.2">
      <c r="A777" t="str">
        <f>[5]trip_summary_region!A777</f>
        <v>10 NELS-MARLB-TAS</v>
      </c>
      <c r="B777">
        <f>[5]trip_summary_region!B777</f>
        <v>10</v>
      </c>
      <c r="C777">
        <f>[5]trip_summary_region!C777</f>
        <v>2038</v>
      </c>
      <c r="D777">
        <f>[5]trip_summary_region!D777</f>
        <v>11</v>
      </c>
      <c r="E777">
        <f>[5]trip_summary_region!E777</f>
        <v>13</v>
      </c>
      <c r="F777">
        <f>[5]trip_summary_region!F777</f>
        <v>0.42664747409999998</v>
      </c>
      <c r="G777">
        <f>[5]trip_summary_region!G777</f>
        <v>0</v>
      </c>
      <c r="H777">
        <f>[5]trip_summary_region!H777</f>
        <v>0.41280261460000001</v>
      </c>
      <c r="I777" t="str">
        <f>[5]trip_summary_region!I777</f>
        <v>Air/Non-Local PT</v>
      </c>
      <c r="J777" t="str">
        <f>[5]trip_summary_region!J777</f>
        <v>2037/38</v>
      </c>
    </row>
    <row r="778" spans="1:10" x14ac:dyDescent="0.2">
      <c r="A778" t="str">
        <f>[5]trip_summary_region!A778</f>
        <v>10 NELS-MARLB-TAS</v>
      </c>
      <c r="B778">
        <f>[5]trip_summary_region!B778</f>
        <v>10</v>
      </c>
      <c r="C778">
        <f>[5]trip_summary_region!C778</f>
        <v>2043</v>
      </c>
      <c r="D778">
        <f>[5]trip_summary_region!D778</f>
        <v>11</v>
      </c>
      <c r="E778">
        <f>[5]trip_summary_region!E778</f>
        <v>13</v>
      </c>
      <c r="F778">
        <f>[5]trip_summary_region!F778</f>
        <v>0.42567269860000001</v>
      </c>
      <c r="G778">
        <f>[5]trip_summary_region!G778</f>
        <v>0</v>
      </c>
      <c r="H778">
        <f>[5]trip_summary_region!H778</f>
        <v>0.38088453620000001</v>
      </c>
      <c r="I778" t="str">
        <f>[5]trip_summary_region!I778</f>
        <v>Air/Non-Local PT</v>
      </c>
      <c r="J778" t="str">
        <f>[5]trip_summary_region!J778</f>
        <v>2042/43</v>
      </c>
    </row>
    <row r="779" spans="1:10" x14ac:dyDescent="0.2">
      <c r="A779" t="str">
        <f>[5]trip_summary_region!A779</f>
        <v>10 NELS-MARLB-TAS</v>
      </c>
      <c r="B779">
        <f>[5]trip_summary_region!B779</f>
        <v>11</v>
      </c>
      <c r="C779">
        <f>[5]trip_summary_region!C779</f>
        <v>2013</v>
      </c>
      <c r="D779">
        <f>[5]trip_summary_region!D779</f>
        <v>10</v>
      </c>
      <c r="E779">
        <f>[5]trip_summary_region!E779</f>
        <v>59</v>
      </c>
      <c r="F779">
        <f>[5]trip_summary_region!F779</f>
        <v>1.9294573958000001</v>
      </c>
      <c r="G779">
        <f>[5]trip_summary_region!G779</f>
        <v>30.128221894999999</v>
      </c>
      <c r="H779">
        <f>[5]trip_summary_region!H779</f>
        <v>0.79809006319999998</v>
      </c>
      <c r="I779" t="str">
        <f>[5]trip_summary_region!I779</f>
        <v>Non-Household Travel</v>
      </c>
      <c r="J779" t="str">
        <f>[5]trip_summary_region!J779</f>
        <v>2012/13</v>
      </c>
    </row>
    <row r="780" spans="1:10" x14ac:dyDescent="0.2">
      <c r="A780" t="str">
        <f>[5]trip_summary_region!A780</f>
        <v>10 NELS-MARLB-TAS</v>
      </c>
      <c r="B780">
        <f>[5]trip_summary_region!B780</f>
        <v>11</v>
      </c>
      <c r="C780">
        <f>[5]trip_summary_region!C780</f>
        <v>2018</v>
      </c>
      <c r="D780">
        <f>[5]trip_summary_region!D780</f>
        <v>10</v>
      </c>
      <c r="E780">
        <f>[5]trip_summary_region!E780</f>
        <v>59</v>
      </c>
      <c r="F780">
        <f>[5]trip_summary_region!F780</f>
        <v>1.7937393205000001</v>
      </c>
      <c r="G780">
        <f>[5]trip_summary_region!G780</f>
        <v>30.78516655</v>
      </c>
      <c r="H780">
        <f>[5]trip_summary_region!H780</f>
        <v>0.80569768630000005</v>
      </c>
      <c r="I780" t="str">
        <f>[5]trip_summary_region!I780</f>
        <v>Non-Household Travel</v>
      </c>
      <c r="J780" t="str">
        <f>[5]trip_summary_region!J780</f>
        <v>2017/18</v>
      </c>
    </row>
    <row r="781" spans="1:10" x14ac:dyDescent="0.2">
      <c r="A781" t="str">
        <f>[5]trip_summary_region!A781</f>
        <v>10 NELS-MARLB-TAS</v>
      </c>
      <c r="B781">
        <f>[5]trip_summary_region!B781</f>
        <v>11</v>
      </c>
      <c r="C781">
        <f>[5]trip_summary_region!C781</f>
        <v>2023</v>
      </c>
      <c r="D781">
        <f>[5]trip_summary_region!D781</f>
        <v>10</v>
      </c>
      <c r="E781">
        <f>[5]trip_summary_region!E781</f>
        <v>59</v>
      </c>
      <c r="F781">
        <f>[5]trip_summary_region!F781</f>
        <v>1.6243691592</v>
      </c>
      <c r="G781">
        <f>[5]trip_summary_region!G781</f>
        <v>30.207176677</v>
      </c>
      <c r="H781">
        <f>[5]trip_summary_region!H781</f>
        <v>0.77748711059999998</v>
      </c>
      <c r="I781" t="str">
        <f>[5]trip_summary_region!I781</f>
        <v>Non-Household Travel</v>
      </c>
      <c r="J781" t="str">
        <f>[5]trip_summary_region!J781</f>
        <v>2022/23</v>
      </c>
    </row>
    <row r="782" spans="1:10" x14ac:dyDescent="0.2">
      <c r="A782" t="str">
        <f>[5]trip_summary_region!A782</f>
        <v>10 NELS-MARLB-TAS</v>
      </c>
      <c r="B782">
        <f>[5]trip_summary_region!B782</f>
        <v>11</v>
      </c>
      <c r="C782">
        <f>[5]trip_summary_region!C782</f>
        <v>2028</v>
      </c>
      <c r="D782">
        <f>[5]trip_summary_region!D782</f>
        <v>10</v>
      </c>
      <c r="E782">
        <f>[5]trip_summary_region!E782</f>
        <v>59</v>
      </c>
      <c r="F782">
        <f>[5]trip_summary_region!F782</f>
        <v>1.5100580486999999</v>
      </c>
      <c r="G782">
        <f>[5]trip_summary_region!G782</f>
        <v>28.424166261</v>
      </c>
      <c r="H782">
        <f>[5]trip_summary_region!H782</f>
        <v>0.72630142310000001</v>
      </c>
      <c r="I782" t="str">
        <f>[5]trip_summary_region!I782</f>
        <v>Non-Household Travel</v>
      </c>
      <c r="J782" t="str">
        <f>[5]trip_summary_region!J782</f>
        <v>2027/28</v>
      </c>
    </row>
    <row r="783" spans="1:10" x14ac:dyDescent="0.2">
      <c r="A783" t="str">
        <f>[5]trip_summary_region!A783</f>
        <v>10 NELS-MARLB-TAS</v>
      </c>
      <c r="B783">
        <f>[5]trip_summary_region!B783</f>
        <v>11</v>
      </c>
      <c r="C783">
        <f>[5]trip_summary_region!C783</f>
        <v>2033</v>
      </c>
      <c r="D783">
        <f>[5]trip_summary_region!D783</f>
        <v>10</v>
      </c>
      <c r="E783">
        <f>[5]trip_summary_region!E783</f>
        <v>59</v>
      </c>
      <c r="F783">
        <f>[5]trip_summary_region!F783</f>
        <v>1.4700325165999999</v>
      </c>
      <c r="G783">
        <f>[5]trip_summary_region!G783</f>
        <v>26.124422117999998</v>
      </c>
      <c r="H783">
        <f>[5]trip_summary_region!H783</f>
        <v>0.6727983702</v>
      </c>
      <c r="I783" t="str">
        <f>[5]trip_summary_region!I783</f>
        <v>Non-Household Travel</v>
      </c>
      <c r="J783" t="str">
        <f>[5]trip_summary_region!J783</f>
        <v>2032/33</v>
      </c>
    </row>
    <row r="784" spans="1:10" x14ac:dyDescent="0.2">
      <c r="A784" t="str">
        <f>[5]trip_summary_region!A784</f>
        <v>10 NELS-MARLB-TAS</v>
      </c>
      <c r="B784">
        <f>[5]trip_summary_region!B784</f>
        <v>11</v>
      </c>
      <c r="C784">
        <f>[5]trip_summary_region!C784</f>
        <v>2038</v>
      </c>
      <c r="D784">
        <f>[5]trip_summary_region!D784</f>
        <v>10</v>
      </c>
      <c r="E784">
        <f>[5]trip_summary_region!E784</f>
        <v>59</v>
      </c>
      <c r="F784">
        <f>[5]trip_summary_region!F784</f>
        <v>1.5190953300000001</v>
      </c>
      <c r="G784">
        <f>[5]trip_summary_region!G784</f>
        <v>23.802217628000001</v>
      </c>
      <c r="H784">
        <f>[5]trip_summary_region!H784</f>
        <v>0.62748714370000003</v>
      </c>
      <c r="I784" t="str">
        <f>[5]trip_summary_region!I784</f>
        <v>Non-Household Travel</v>
      </c>
      <c r="J784" t="str">
        <f>[5]trip_summary_region!J784</f>
        <v>2037/38</v>
      </c>
    </row>
    <row r="785" spans="1:10" x14ac:dyDescent="0.2">
      <c r="A785" t="str">
        <f>[5]trip_summary_region!A785</f>
        <v>10 NELS-MARLB-TAS</v>
      </c>
      <c r="B785">
        <f>[5]trip_summary_region!B785</f>
        <v>11</v>
      </c>
      <c r="C785">
        <f>[5]trip_summary_region!C785</f>
        <v>2043</v>
      </c>
      <c r="D785">
        <f>[5]trip_summary_region!D785</f>
        <v>10</v>
      </c>
      <c r="E785">
        <f>[5]trip_summary_region!E785</f>
        <v>59</v>
      </c>
      <c r="F785">
        <f>[5]trip_summary_region!F785</f>
        <v>1.5469687185000001</v>
      </c>
      <c r="G785">
        <f>[5]trip_summary_region!G785</f>
        <v>21.552747553</v>
      </c>
      <c r="H785">
        <f>[5]trip_summary_region!H785</f>
        <v>0.58119890529999996</v>
      </c>
      <c r="I785" t="str">
        <f>[5]trip_summary_region!I785</f>
        <v>Non-Household Travel</v>
      </c>
      <c r="J785" t="str">
        <f>[5]trip_summary_region!J785</f>
        <v>2042/43</v>
      </c>
    </row>
    <row r="786" spans="1:10" x14ac:dyDescent="0.2">
      <c r="A786" t="str">
        <f>[5]trip_summary_region!A786</f>
        <v>12 WEST COAST</v>
      </c>
      <c r="B786">
        <f>[5]trip_summary_region!B786</f>
        <v>0</v>
      </c>
      <c r="C786">
        <f>[5]trip_summary_region!C786</f>
        <v>2013</v>
      </c>
      <c r="D786">
        <f>[5]trip_summary_region!D786</f>
        <v>145</v>
      </c>
      <c r="E786">
        <f>[5]trip_summary_region!E786</f>
        <v>451</v>
      </c>
      <c r="F786">
        <f>[5]trip_summary_region!F786</f>
        <v>5.2699511529</v>
      </c>
      <c r="G786">
        <f>[5]trip_summary_region!G786</f>
        <v>4.6474841125999999</v>
      </c>
      <c r="H786">
        <f>[5]trip_summary_region!H786</f>
        <v>1.1518220776999999</v>
      </c>
      <c r="I786" t="str">
        <f>[5]trip_summary_region!I786</f>
        <v>Pedestrian</v>
      </c>
      <c r="J786" t="str">
        <f>[5]trip_summary_region!J786</f>
        <v>2012/13</v>
      </c>
    </row>
    <row r="787" spans="1:10" x14ac:dyDescent="0.2">
      <c r="A787" t="str">
        <f>[5]trip_summary_region!A787</f>
        <v>12 WEST COAST</v>
      </c>
      <c r="B787">
        <f>[5]trip_summary_region!B787</f>
        <v>0</v>
      </c>
      <c r="C787">
        <f>[5]trip_summary_region!C787</f>
        <v>2018</v>
      </c>
      <c r="D787">
        <f>[5]trip_summary_region!D787</f>
        <v>145</v>
      </c>
      <c r="E787">
        <f>[5]trip_summary_region!E787</f>
        <v>451</v>
      </c>
      <c r="F787">
        <f>[5]trip_summary_region!F787</f>
        <v>4.8943282333000004</v>
      </c>
      <c r="G787">
        <f>[5]trip_summary_region!G787</f>
        <v>4.4011420036000004</v>
      </c>
      <c r="H787">
        <f>[5]trip_summary_region!H787</f>
        <v>1.1039570892999999</v>
      </c>
      <c r="I787" t="str">
        <f>[5]trip_summary_region!I787</f>
        <v>Pedestrian</v>
      </c>
      <c r="J787" t="str">
        <f>[5]trip_summary_region!J787</f>
        <v>2017/18</v>
      </c>
    </row>
    <row r="788" spans="1:10" x14ac:dyDescent="0.2">
      <c r="A788" t="str">
        <f>[5]trip_summary_region!A788</f>
        <v>12 WEST COAST</v>
      </c>
      <c r="B788">
        <f>[5]trip_summary_region!B788</f>
        <v>0</v>
      </c>
      <c r="C788">
        <f>[5]trip_summary_region!C788</f>
        <v>2023</v>
      </c>
      <c r="D788">
        <f>[5]trip_summary_region!D788</f>
        <v>145</v>
      </c>
      <c r="E788">
        <f>[5]trip_summary_region!E788</f>
        <v>451</v>
      </c>
      <c r="F788">
        <f>[5]trip_summary_region!F788</f>
        <v>4.4216647938999998</v>
      </c>
      <c r="G788">
        <f>[5]trip_summary_region!G788</f>
        <v>4.0093442920999998</v>
      </c>
      <c r="H788">
        <f>[5]trip_summary_region!H788</f>
        <v>1.0201521409000001</v>
      </c>
      <c r="I788" t="str">
        <f>[5]trip_summary_region!I788</f>
        <v>Pedestrian</v>
      </c>
      <c r="J788" t="str">
        <f>[5]trip_summary_region!J788</f>
        <v>2022/23</v>
      </c>
    </row>
    <row r="789" spans="1:10" x14ac:dyDescent="0.2">
      <c r="A789" t="str">
        <f>[5]trip_summary_region!A789</f>
        <v>12 WEST COAST</v>
      </c>
      <c r="B789">
        <f>[5]trip_summary_region!B789</f>
        <v>0</v>
      </c>
      <c r="C789">
        <f>[5]trip_summary_region!C789</f>
        <v>2028</v>
      </c>
      <c r="D789">
        <f>[5]trip_summary_region!D789</f>
        <v>145</v>
      </c>
      <c r="E789">
        <f>[5]trip_summary_region!E789</f>
        <v>451</v>
      </c>
      <c r="F789">
        <f>[5]trip_summary_region!F789</f>
        <v>4.0859453572</v>
      </c>
      <c r="G789">
        <f>[5]trip_summary_region!G789</f>
        <v>3.7960263176</v>
      </c>
      <c r="H789">
        <f>[5]trip_summary_region!H789</f>
        <v>0.9720715902</v>
      </c>
      <c r="I789" t="str">
        <f>[5]trip_summary_region!I789</f>
        <v>Pedestrian</v>
      </c>
      <c r="J789" t="str">
        <f>[5]trip_summary_region!J789</f>
        <v>2027/28</v>
      </c>
    </row>
    <row r="790" spans="1:10" x14ac:dyDescent="0.2">
      <c r="A790" t="str">
        <f>[5]trip_summary_region!A790</f>
        <v>12 WEST COAST</v>
      </c>
      <c r="B790">
        <f>[5]trip_summary_region!B790</f>
        <v>0</v>
      </c>
      <c r="C790">
        <f>[5]trip_summary_region!C790</f>
        <v>2033</v>
      </c>
      <c r="D790">
        <f>[5]trip_summary_region!D790</f>
        <v>145</v>
      </c>
      <c r="E790">
        <f>[5]trip_summary_region!E790</f>
        <v>451</v>
      </c>
      <c r="F790">
        <f>[5]trip_summary_region!F790</f>
        <v>3.7473082486</v>
      </c>
      <c r="G790">
        <f>[5]trip_summary_region!G790</f>
        <v>3.5662759305999998</v>
      </c>
      <c r="H790">
        <f>[5]trip_summary_region!H790</f>
        <v>0.91541507089999996</v>
      </c>
      <c r="I790" t="str">
        <f>[5]trip_summary_region!I790</f>
        <v>Pedestrian</v>
      </c>
      <c r="J790" t="str">
        <f>[5]trip_summary_region!J790</f>
        <v>2032/33</v>
      </c>
    </row>
    <row r="791" spans="1:10" x14ac:dyDescent="0.2">
      <c r="A791" t="str">
        <f>[5]trip_summary_region!A791</f>
        <v>12 WEST COAST</v>
      </c>
      <c r="B791">
        <f>[5]trip_summary_region!B791</f>
        <v>0</v>
      </c>
      <c r="C791">
        <f>[5]trip_summary_region!C791</f>
        <v>2038</v>
      </c>
      <c r="D791">
        <f>[5]trip_summary_region!D791</f>
        <v>145</v>
      </c>
      <c r="E791">
        <f>[5]trip_summary_region!E791</f>
        <v>451</v>
      </c>
      <c r="F791">
        <f>[5]trip_summary_region!F791</f>
        <v>3.4235998214999999</v>
      </c>
      <c r="G791">
        <f>[5]trip_summary_region!G791</f>
        <v>3.3439557676999998</v>
      </c>
      <c r="H791">
        <f>[5]trip_summary_region!H791</f>
        <v>0.85874898850000003</v>
      </c>
      <c r="I791" t="str">
        <f>[5]trip_summary_region!I791</f>
        <v>Pedestrian</v>
      </c>
      <c r="J791" t="str">
        <f>[5]trip_summary_region!J791</f>
        <v>2037/38</v>
      </c>
    </row>
    <row r="792" spans="1:10" x14ac:dyDescent="0.2">
      <c r="A792" t="str">
        <f>[5]trip_summary_region!A792</f>
        <v>12 WEST COAST</v>
      </c>
      <c r="B792">
        <f>[5]trip_summary_region!B792</f>
        <v>0</v>
      </c>
      <c r="C792">
        <f>[5]trip_summary_region!C792</f>
        <v>2043</v>
      </c>
      <c r="D792">
        <f>[5]trip_summary_region!D792</f>
        <v>145</v>
      </c>
      <c r="E792">
        <f>[5]trip_summary_region!E792</f>
        <v>451</v>
      </c>
      <c r="F792">
        <f>[5]trip_summary_region!F792</f>
        <v>3.1523518716000001</v>
      </c>
      <c r="G792">
        <f>[5]trip_summary_region!G792</f>
        <v>3.1616946862000002</v>
      </c>
      <c r="H792">
        <f>[5]trip_summary_region!H792</f>
        <v>0.81023995469999999</v>
      </c>
      <c r="I792" t="str">
        <f>[5]trip_summary_region!I792</f>
        <v>Pedestrian</v>
      </c>
      <c r="J792" t="str">
        <f>[5]trip_summary_region!J792</f>
        <v>2042/43</v>
      </c>
    </row>
    <row r="793" spans="1:10" x14ac:dyDescent="0.2">
      <c r="A793" t="str">
        <f>[5]trip_summary_region!A793</f>
        <v>12 WEST COAST</v>
      </c>
      <c r="B793">
        <f>[5]trip_summary_region!B793</f>
        <v>1</v>
      </c>
      <c r="C793">
        <f>[5]trip_summary_region!C793</f>
        <v>2013</v>
      </c>
      <c r="D793">
        <f>[5]trip_summary_region!D793</f>
        <v>23</v>
      </c>
      <c r="E793">
        <f>[5]trip_summary_region!E793</f>
        <v>75</v>
      </c>
      <c r="F793">
        <f>[5]trip_summary_region!F793</f>
        <v>0.73381292249999996</v>
      </c>
      <c r="G793">
        <f>[5]trip_summary_region!G793</f>
        <v>1.9571055828999999</v>
      </c>
      <c r="H793">
        <f>[5]trip_summary_region!H793</f>
        <v>0.17528853950000001</v>
      </c>
      <c r="I793" t="str">
        <f>[5]trip_summary_region!I793</f>
        <v>Cyclist</v>
      </c>
      <c r="J793" t="str">
        <f>[5]trip_summary_region!J793</f>
        <v>2012/13</v>
      </c>
    </row>
    <row r="794" spans="1:10" x14ac:dyDescent="0.2">
      <c r="A794" t="str">
        <f>[5]trip_summary_region!A794</f>
        <v>12 WEST COAST</v>
      </c>
      <c r="B794">
        <f>[5]trip_summary_region!B794</f>
        <v>1</v>
      </c>
      <c r="C794">
        <f>[5]trip_summary_region!C794</f>
        <v>2018</v>
      </c>
      <c r="D794">
        <f>[5]trip_summary_region!D794</f>
        <v>23</v>
      </c>
      <c r="E794">
        <f>[5]trip_summary_region!E794</f>
        <v>75</v>
      </c>
      <c r="F794">
        <f>[5]trip_summary_region!F794</f>
        <v>0.70428411810000002</v>
      </c>
      <c r="G794">
        <f>[5]trip_summary_region!G794</f>
        <v>1.9612478901999999</v>
      </c>
      <c r="H794">
        <f>[5]trip_summary_region!H794</f>
        <v>0.16907279280000001</v>
      </c>
      <c r="I794" t="str">
        <f>[5]trip_summary_region!I794</f>
        <v>Cyclist</v>
      </c>
      <c r="J794" t="str">
        <f>[5]trip_summary_region!J794</f>
        <v>2017/18</v>
      </c>
    </row>
    <row r="795" spans="1:10" x14ac:dyDescent="0.2">
      <c r="A795" t="str">
        <f>[5]trip_summary_region!A795</f>
        <v>12 WEST COAST</v>
      </c>
      <c r="B795">
        <f>[5]trip_summary_region!B795</f>
        <v>1</v>
      </c>
      <c r="C795">
        <f>[5]trip_summary_region!C795</f>
        <v>2023</v>
      </c>
      <c r="D795">
        <f>[5]trip_summary_region!D795</f>
        <v>23</v>
      </c>
      <c r="E795">
        <f>[5]trip_summary_region!E795</f>
        <v>75</v>
      </c>
      <c r="F795">
        <f>[5]trip_summary_region!F795</f>
        <v>0.65566444040000005</v>
      </c>
      <c r="G795">
        <f>[5]trip_summary_region!G795</f>
        <v>1.8979731067000001</v>
      </c>
      <c r="H795">
        <f>[5]trip_summary_region!H795</f>
        <v>0.15867816030000001</v>
      </c>
      <c r="I795" t="str">
        <f>[5]trip_summary_region!I795</f>
        <v>Cyclist</v>
      </c>
      <c r="J795" t="str">
        <f>[5]trip_summary_region!J795</f>
        <v>2022/23</v>
      </c>
    </row>
    <row r="796" spans="1:10" x14ac:dyDescent="0.2">
      <c r="A796" t="str">
        <f>[5]trip_summary_region!A796</f>
        <v>12 WEST COAST</v>
      </c>
      <c r="B796">
        <f>[5]trip_summary_region!B796</f>
        <v>1</v>
      </c>
      <c r="C796">
        <f>[5]trip_summary_region!C796</f>
        <v>2028</v>
      </c>
      <c r="D796">
        <f>[5]trip_summary_region!D796</f>
        <v>23</v>
      </c>
      <c r="E796">
        <f>[5]trip_summary_region!E796</f>
        <v>75</v>
      </c>
      <c r="F796">
        <f>[5]trip_summary_region!F796</f>
        <v>0.63023049590000002</v>
      </c>
      <c r="G796">
        <f>[5]trip_summary_region!G796</f>
        <v>1.8095446798999999</v>
      </c>
      <c r="H796">
        <f>[5]trip_summary_region!H796</f>
        <v>0.14987295019999999</v>
      </c>
      <c r="I796" t="str">
        <f>[5]trip_summary_region!I796</f>
        <v>Cyclist</v>
      </c>
      <c r="J796" t="str">
        <f>[5]trip_summary_region!J796</f>
        <v>2027/28</v>
      </c>
    </row>
    <row r="797" spans="1:10" x14ac:dyDescent="0.2">
      <c r="A797" t="str">
        <f>[5]trip_summary_region!A797</f>
        <v>12 WEST COAST</v>
      </c>
      <c r="B797">
        <f>[5]trip_summary_region!B797</f>
        <v>1</v>
      </c>
      <c r="C797">
        <f>[5]trip_summary_region!C797</f>
        <v>2033</v>
      </c>
      <c r="D797">
        <f>[5]trip_summary_region!D797</f>
        <v>23</v>
      </c>
      <c r="E797">
        <f>[5]trip_summary_region!E797</f>
        <v>75</v>
      </c>
      <c r="F797">
        <f>[5]trip_summary_region!F797</f>
        <v>0.58165887869999999</v>
      </c>
      <c r="G797">
        <f>[5]trip_summary_region!G797</f>
        <v>1.7306281213000001</v>
      </c>
      <c r="H797">
        <f>[5]trip_summary_region!H797</f>
        <v>0.13898351989999999</v>
      </c>
      <c r="I797" t="str">
        <f>[5]trip_summary_region!I797</f>
        <v>Cyclist</v>
      </c>
      <c r="J797" t="str">
        <f>[5]trip_summary_region!J797</f>
        <v>2032/33</v>
      </c>
    </row>
    <row r="798" spans="1:10" x14ac:dyDescent="0.2">
      <c r="A798" t="str">
        <f>[5]trip_summary_region!A798</f>
        <v>12 WEST COAST</v>
      </c>
      <c r="B798">
        <f>[5]trip_summary_region!B798</f>
        <v>1</v>
      </c>
      <c r="C798">
        <f>[5]trip_summary_region!C798</f>
        <v>2038</v>
      </c>
      <c r="D798">
        <f>[5]trip_summary_region!D798</f>
        <v>23</v>
      </c>
      <c r="E798">
        <f>[5]trip_summary_region!E798</f>
        <v>75</v>
      </c>
      <c r="F798">
        <f>[5]trip_summary_region!F798</f>
        <v>0.54209310730000004</v>
      </c>
      <c r="G798">
        <f>[5]trip_summary_region!G798</f>
        <v>1.7590798623999999</v>
      </c>
      <c r="H798">
        <f>[5]trip_summary_region!H798</f>
        <v>0.1324409091</v>
      </c>
      <c r="I798" t="str">
        <f>[5]trip_summary_region!I798</f>
        <v>Cyclist</v>
      </c>
      <c r="J798" t="str">
        <f>[5]trip_summary_region!J798</f>
        <v>2037/38</v>
      </c>
    </row>
    <row r="799" spans="1:10" x14ac:dyDescent="0.2">
      <c r="A799" t="str">
        <f>[5]trip_summary_region!A799</f>
        <v>12 WEST COAST</v>
      </c>
      <c r="B799">
        <f>[5]trip_summary_region!B799</f>
        <v>1</v>
      </c>
      <c r="C799">
        <f>[5]trip_summary_region!C799</f>
        <v>2043</v>
      </c>
      <c r="D799">
        <f>[5]trip_summary_region!D799</f>
        <v>23</v>
      </c>
      <c r="E799">
        <f>[5]trip_summary_region!E799</f>
        <v>75</v>
      </c>
      <c r="F799">
        <f>[5]trip_summary_region!F799</f>
        <v>0.50161144749999997</v>
      </c>
      <c r="G799">
        <f>[5]trip_summary_region!G799</f>
        <v>1.7746995055000001</v>
      </c>
      <c r="H799">
        <f>[5]trip_summary_region!H799</f>
        <v>0.12559657269999999</v>
      </c>
      <c r="I799" t="str">
        <f>[5]trip_summary_region!I799</f>
        <v>Cyclist</v>
      </c>
      <c r="J799" t="str">
        <f>[5]trip_summary_region!J799</f>
        <v>2042/43</v>
      </c>
    </row>
    <row r="800" spans="1:10" x14ac:dyDescent="0.2">
      <c r="A800" t="str">
        <f>[5]trip_summary_region!A800</f>
        <v>12 WEST COAST</v>
      </c>
      <c r="B800">
        <f>[5]trip_summary_region!B800</f>
        <v>2</v>
      </c>
      <c r="C800">
        <f>[5]trip_summary_region!C800</f>
        <v>2013</v>
      </c>
      <c r="D800">
        <f>[5]trip_summary_region!D800</f>
        <v>269</v>
      </c>
      <c r="E800">
        <f>[5]trip_summary_region!E800</f>
        <v>1828</v>
      </c>
      <c r="F800">
        <f>[5]trip_summary_region!F800</f>
        <v>21.329902885999999</v>
      </c>
      <c r="G800">
        <f>[5]trip_summary_region!G800</f>
        <v>226.22434741999999</v>
      </c>
      <c r="H800">
        <f>[5]trip_summary_region!H800</f>
        <v>5.0852916584000001</v>
      </c>
      <c r="I800" t="str">
        <f>[5]trip_summary_region!I800</f>
        <v>Light Vehicle Driver</v>
      </c>
      <c r="J800" t="str">
        <f>[5]trip_summary_region!J800</f>
        <v>2012/13</v>
      </c>
    </row>
    <row r="801" spans="1:10" x14ac:dyDescent="0.2">
      <c r="A801" t="str">
        <f>[5]trip_summary_region!A801</f>
        <v>12 WEST COAST</v>
      </c>
      <c r="B801">
        <f>[5]trip_summary_region!B801</f>
        <v>2</v>
      </c>
      <c r="C801">
        <f>[5]trip_summary_region!C801</f>
        <v>2018</v>
      </c>
      <c r="D801">
        <f>[5]trip_summary_region!D801</f>
        <v>269</v>
      </c>
      <c r="E801">
        <f>[5]trip_summary_region!E801</f>
        <v>1828</v>
      </c>
      <c r="F801">
        <f>[5]trip_summary_region!F801</f>
        <v>20.954539773</v>
      </c>
      <c r="G801">
        <f>[5]trip_summary_region!G801</f>
        <v>226.80550656</v>
      </c>
      <c r="H801">
        <f>[5]trip_summary_region!H801</f>
        <v>5.0612460423999996</v>
      </c>
      <c r="I801" t="str">
        <f>[5]trip_summary_region!I801</f>
        <v>Light Vehicle Driver</v>
      </c>
      <c r="J801" t="str">
        <f>[5]trip_summary_region!J801</f>
        <v>2017/18</v>
      </c>
    </row>
    <row r="802" spans="1:10" x14ac:dyDescent="0.2">
      <c r="A802" t="str">
        <f>[5]trip_summary_region!A802</f>
        <v>12 WEST COAST</v>
      </c>
      <c r="B802">
        <f>[5]trip_summary_region!B802</f>
        <v>2</v>
      </c>
      <c r="C802">
        <f>[5]trip_summary_region!C802</f>
        <v>2023</v>
      </c>
      <c r="D802">
        <f>[5]trip_summary_region!D802</f>
        <v>269</v>
      </c>
      <c r="E802">
        <f>[5]trip_summary_region!E802</f>
        <v>1828</v>
      </c>
      <c r="F802">
        <f>[5]trip_summary_region!F802</f>
        <v>19.753033838</v>
      </c>
      <c r="G802">
        <f>[5]trip_summary_region!G802</f>
        <v>218.44282138</v>
      </c>
      <c r="H802">
        <f>[5]trip_summary_region!H802</f>
        <v>4.8311436793000002</v>
      </c>
      <c r="I802" t="str">
        <f>[5]trip_summary_region!I802</f>
        <v>Light Vehicle Driver</v>
      </c>
      <c r="J802" t="str">
        <f>[5]trip_summary_region!J802</f>
        <v>2022/23</v>
      </c>
    </row>
    <row r="803" spans="1:10" x14ac:dyDescent="0.2">
      <c r="A803" t="str">
        <f>[5]trip_summary_region!A803</f>
        <v>12 WEST COAST</v>
      </c>
      <c r="B803">
        <f>[5]trip_summary_region!B803</f>
        <v>2</v>
      </c>
      <c r="C803">
        <f>[5]trip_summary_region!C803</f>
        <v>2028</v>
      </c>
      <c r="D803">
        <f>[5]trip_summary_region!D803</f>
        <v>269</v>
      </c>
      <c r="E803">
        <f>[5]trip_summary_region!E803</f>
        <v>1828</v>
      </c>
      <c r="F803">
        <f>[5]trip_summary_region!F803</f>
        <v>19.188888132999999</v>
      </c>
      <c r="G803">
        <f>[5]trip_summary_region!G803</f>
        <v>214.78774594000001</v>
      </c>
      <c r="H803">
        <f>[5]trip_summary_region!H803</f>
        <v>4.7287739841</v>
      </c>
      <c r="I803" t="str">
        <f>[5]trip_summary_region!I803</f>
        <v>Light Vehicle Driver</v>
      </c>
      <c r="J803" t="str">
        <f>[5]trip_summary_region!J803</f>
        <v>2027/28</v>
      </c>
    </row>
    <row r="804" spans="1:10" x14ac:dyDescent="0.2">
      <c r="A804" t="str">
        <f>[5]trip_summary_region!A804</f>
        <v>12 WEST COAST</v>
      </c>
      <c r="B804">
        <f>[5]trip_summary_region!B804</f>
        <v>2</v>
      </c>
      <c r="C804">
        <f>[5]trip_summary_region!C804</f>
        <v>2033</v>
      </c>
      <c r="D804">
        <f>[5]trip_summary_region!D804</f>
        <v>269</v>
      </c>
      <c r="E804">
        <f>[5]trip_summary_region!E804</f>
        <v>1828</v>
      </c>
      <c r="F804">
        <f>[5]trip_summary_region!F804</f>
        <v>18.304312616000001</v>
      </c>
      <c r="G804">
        <f>[5]trip_summary_region!G804</f>
        <v>206.90828934000001</v>
      </c>
      <c r="H804">
        <f>[5]trip_summary_region!H804</f>
        <v>4.5357021113</v>
      </c>
      <c r="I804" t="str">
        <f>[5]trip_summary_region!I804</f>
        <v>Light Vehicle Driver</v>
      </c>
      <c r="J804" t="str">
        <f>[5]trip_summary_region!J804</f>
        <v>2032/33</v>
      </c>
    </row>
    <row r="805" spans="1:10" x14ac:dyDescent="0.2">
      <c r="A805" t="str">
        <f>[5]trip_summary_region!A805</f>
        <v>12 WEST COAST</v>
      </c>
      <c r="B805">
        <f>[5]trip_summary_region!B805</f>
        <v>2</v>
      </c>
      <c r="C805">
        <f>[5]trip_summary_region!C805</f>
        <v>2038</v>
      </c>
      <c r="D805">
        <f>[5]trip_summary_region!D805</f>
        <v>269</v>
      </c>
      <c r="E805">
        <f>[5]trip_summary_region!E805</f>
        <v>1828</v>
      </c>
      <c r="F805">
        <f>[5]trip_summary_region!F805</f>
        <v>17.691445587</v>
      </c>
      <c r="G805">
        <f>[5]trip_summary_region!G805</f>
        <v>202.88422671999999</v>
      </c>
      <c r="H805">
        <f>[5]trip_summary_region!H805</f>
        <v>4.4188655537999999</v>
      </c>
      <c r="I805" t="str">
        <f>[5]trip_summary_region!I805</f>
        <v>Light Vehicle Driver</v>
      </c>
      <c r="J805" t="str">
        <f>[5]trip_summary_region!J805</f>
        <v>2037/38</v>
      </c>
    </row>
    <row r="806" spans="1:10" x14ac:dyDescent="0.2">
      <c r="A806" t="str">
        <f>[5]trip_summary_region!A806</f>
        <v>12 WEST COAST</v>
      </c>
      <c r="B806">
        <f>[5]trip_summary_region!B806</f>
        <v>2</v>
      </c>
      <c r="C806">
        <f>[5]trip_summary_region!C806</f>
        <v>2043</v>
      </c>
      <c r="D806">
        <f>[5]trip_summary_region!D806</f>
        <v>269</v>
      </c>
      <c r="E806">
        <f>[5]trip_summary_region!E806</f>
        <v>1828</v>
      </c>
      <c r="F806">
        <f>[5]trip_summary_region!F806</f>
        <v>17.055347537999999</v>
      </c>
      <c r="G806">
        <f>[5]trip_summary_region!G806</f>
        <v>198.90086525999999</v>
      </c>
      <c r="H806">
        <f>[5]trip_summary_region!H806</f>
        <v>4.2981937872999998</v>
      </c>
      <c r="I806" t="str">
        <f>[5]trip_summary_region!I806</f>
        <v>Light Vehicle Driver</v>
      </c>
      <c r="J806" t="str">
        <f>[5]trip_summary_region!J806</f>
        <v>2042/43</v>
      </c>
    </row>
    <row r="807" spans="1:10" x14ac:dyDescent="0.2">
      <c r="A807" t="str">
        <f>[5]trip_summary_region!A807</f>
        <v>12 WEST COAST</v>
      </c>
      <c r="B807">
        <f>[5]trip_summary_region!B807</f>
        <v>3</v>
      </c>
      <c r="C807">
        <f>[5]trip_summary_region!C807</f>
        <v>2013</v>
      </c>
      <c r="D807">
        <f>[5]trip_summary_region!D807</f>
        <v>210</v>
      </c>
      <c r="E807">
        <f>[5]trip_summary_region!E807</f>
        <v>1017</v>
      </c>
      <c r="F807">
        <f>[5]trip_summary_region!F807</f>
        <v>11.090105214999999</v>
      </c>
      <c r="G807">
        <f>[5]trip_summary_region!G807</f>
        <v>160.37072223999999</v>
      </c>
      <c r="H807">
        <f>[5]trip_summary_region!H807</f>
        <v>3.4140139011000001</v>
      </c>
      <c r="I807" t="str">
        <f>[5]trip_summary_region!I807</f>
        <v>Light Vehicle Passenger</v>
      </c>
      <c r="J807" t="str">
        <f>[5]trip_summary_region!J807</f>
        <v>2012/13</v>
      </c>
    </row>
    <row r="808" spans="1:10" x14ac:dyDescent="0.2">
      <c r="A808" t="str">
        <f>[5]trip_summary_region!A808</f>
        <v>12 WEST COAST</v>
      </c>
      <c r="B808">
        <f>[5]trip_summary_region!B808</f>
        <v>3</v>
      </c>
      <c r="C808">
        <f>[5]trip_summary_region!C808</f>
        <v>2018</v>
      </c>
      <c r="D808">
        <f>[5]trip_summary_region!D808</f>
        <v>210</v>
      </c>
      <c r="E808">
        <f>[5]trip_summary_region!E808</f>
        <v>1017</v>
      </c>
      <c r="F808">
        <f>[5]trip_summary_region!F808</f>
        <v>10.30028517</v>
      </c>
      <c r="G808">
        <f>[5]trip_summary_region!G808</f>
        <v>157.27947259000001</v>
      </c>
      <c r="H808">
        <f>[5]trip_summary_region!H808</f>
        <v>3.3357592394000002</v>
      </c>
      <c r="I808" t="str">
        <f>[5]trip_summary_region!I808</f>
        <v>Light Vehicle Passenger</v>
      </c>
      <c r="J808" t="str">
        <f>[5]trip_summary_region!J808</f>
        <v>2017/18</v>
      </c>
    </row>
    <row r="809" spans="1:10" x14ac:dyDescent="0.2">
      <c r="A809" t="str">
        <f>[5]trip_summary_region!A809</f>
        <v>12 WEST COAST</v>
      </c>
      <c r="B809">
        <f>[5]trip_summary_region!B809</f>
        <v>3</v>
      </c>
      <c r="C809">
        <f>[5]trip_summary_region!C809</f>
        <v>2023</v>
      </c>
      <c r="D809">
        <f>[5]trip_summary_region!D809</f>
        <v>210</v>
      </c>
      <c r="E809">
        <f>[5]trip_summary_region!E809</f>
        <v>1017</v>
      </c>
      <c r="F809">
        <f>[5]trip_summary_region!F809</f>
        <v>9.3821023617999995</v>
      </c>
      <c r="G809">
        <f>[5]trip_summary_region!G809</f>
        <v>147.75142457999999</v>
      </c>
      <c r="H809">
        <f>[5]trip_summary_region!H809</f>
        <v>3.1402743810999998</v>
      </c>
      <c r="I809" t="str">
        <f>[5]trip_summary_region!I809</f>
        <v>Light Vehicle Passenger</v>
      </c>
      <c r="J809" t="str">
        <f>[5]trip_summary_region!J809</f>
        <v>2022/23</v>
      </c>
    </row>
    <row r="810" spans="1:10" x14ac:dyDescent="0.2">
      <c r="A810" t="str">
        <f>[5]trip_summary_region!A810</f>
        <v>12 WEST COAST</v>
      </c>
      <c r="B810">
        <f>[5]trip_summary_region!B810</f>
        <v>3</v>
      </c>
      <c r="C810">
        <f>[5]trip_summary_region!C810</f>
        <v>2028</v>
      </c>
      <c r="D810">
        <f>[5]trip_summary_region!D810</f>
        <v>210</v>
      </c>
      <c r="E810">
        <f>[5]trip_summary_region!E810</f>
        <v>1017</v>
      </c>
      <c r="F810">
        <f>[5]trip_summary_region!F810</f>
        <v>8.8940935052000007</v>
      </c>
      <c r="G810">
        <f>[5]trip_summary_region!G810</f>
        <v>144.16348667</v>
      </c>
      <c r="H810">
        <f>[5]trip_summary_region!H810</f>
        <v>3.0699292257000002</v>
      </c>
      <c r="I810" t="str">
        <f>[5]trip_summary_region!I810</f>
        <v>Light Vehicle Passenger</v>
      </c>
      <c r="J810" t="str">
        <f>[5]trip_summary_region!J810</f>
        <v>2027/28</v>
      </c>
    </row>
    <row r="811" spans="1:10" x14ac:dyDescent="0.2">
      <c r="A811" t="str">
        <f>[5]trip_summary_region!A811</f>
        <v>12 WEST COAST</v>
      </c>
      <c r="B811">
        <f>[5]trip_summary_region!B811</f>
        <v>3</v>
      </c>
      <c r="C811">
        <f>[5]trip_summary_region!C811</f>
        <v>2033</v>
      </c>
      <c r="D811">
        <f>[5]trip_summary_region!D811</f>
        <v>210</v>
      </c>
      <c r="E811">
        <f>[5]trip_summary_region!E811</f>
        <v>1017</v>
      </c>
      <c r="F811">
        <f>[5]trip_summary_region!F811</f>
        <v>8.2298862636999992</v>
      </c>
      <c r="G811">
        <f>[5]trip_summary_region!G811</f>
        <v>134.63932546999999</v>
      </c>
      <c r="H811">
        <f>[5]trip_summary_region!H811</f>
        <v>2.8924650328000001</v>
      </c>
      <c r="I811" t="str">
        <f>[5]trip_summary_region!I811</f>
        <v>Light Vehicle Passenger</v>
      </c>
      <c r="J811" t="str">
        <f>[5]trip_summary_region!J811</f>
        <v>2032/33</v>
      </c>
    </row>
    <row r="812" spans="1:10" x14ac:dyDescent="0.2">
      <c r="A812" t="str">
        <f>[5]trip_summary_region!A812</f>
        <v>12 WEST COAST</v>
      </c>
      <c r="B812">
        <f>[5]trip_summary_region!B812</f>
        <v>3</v>
      </c>
      <c r="C812">
        <f>[5]trip_summary_region!C812</f>
        <v>2038</v>
      </c>
      <c r="D812">
        <f>[5]trip_summary_region!D812</f>
        <v>210</v>
      </c>
      <c r="E812">
        <f>[5]trip_summary_region!E812</f>
        <v>1017</v>
      </c>
      <c r="F812">
        <f>[5]trip_summary_region!F812</f>
        <v>7.5298716420999998</v>
      </c>
      <c r="G812">
        <f>[5]trip_summary_region!G812</f>
        <v>125.26873831</v>
      </c>
      <c r="H812">
        <f>[5]trip_summary_region!H812</f>
        <v>2.6921252952999999</v>
      </c>
      <c r="I812" t="str">
        <f>[5]trip_summary_region!I812</f>
        <v>Light Vehicle Passenger</v>
      </c>
      <c r="J812" t="str">
        <f>[5]trip_summary_region!J812</f>
        <v>2037/38</v>
      </c>
    </row>
    <row r="813" spans="1:10" x14ac:dyDescent="0.2">
      <c r="A813" t="str">
        <f>[5]trip_summary_region!A813</f>
        <v>12 WEST COAST</v>
      </c>
      <c r="B813">
        <f>[5]trip_summary_region!B813</f>
        <v>3</v>
      </c>
      <c r="C813">
        <f>[5]trip_summary_region!C813</f>
        <v>2043</v>
      </c>
      <c r="D813">
        <f>[5]trip_summary_region!D813</f>
        <v>210</v>
      </c>
      <c r="E813">
        <f>[5]trip_summary_region!E813</f>
        <v>1017</v>
      </c>
      <c r="F813">
        <f>[5]trip_summary_region!F813</f>
        <v>6.8519483857000001</v>
      </c>
      <c r="G813">
        <f>[5]trip_summary_region!G813</f>
        <v>116.29315083</v>
      </c>
      <c r="H813">
        <f>[5]trip_summary_region!H813</f>
        <v>2.4941173132999999</v>
      </c>
      <c r="I813" t="str">
        <f>[5]trip_summary_region!I813</f>
        <v>Light Vehicle Passenger</v>
      </c>
      <c r="J813" t="str">
        <f>[5]trip_summary_region!J813</f>
        <v>2042/43</v>
      </c>
    </row>
    <row r="814" spans="1:10" x14ac:dyDescent="0.2">
      <c r="A814" t="str">
        <f>[5]trip_summary_region!A814</f>
        <v>12 WEST COAST</v>
      </c>
      <c r="B814">
        <f>[5]trip_summary_region!B814</f>
        <v>4</v>
      </c>
      <c r="C814">
        <f>[5]trip_summary_region!C814</f>
        <v>2013</v>
      </c>
      <c r="D814">
        <f>[5]trip_summary_region!D814</f>
        <v>12</v>
      </c>
      <c r="E814">
        <f>[5]trip_summary_region!E814</f>
        <v>23</v>
      </c>
      <c r="F814">
        <f>[5]trip_summary_region!F814</f>
        <v>0.29973375209999997</v>
      </c>
      <c r="G814">
        <f>[5]trip_summary_region!G814</f>
        <v>1.6916956777000001</v>
      </c>
      <c r="H814">
        <f>[5]trip_summary_region!H814</f>
        <v>6.5507808299999998E-2</v>
      </c>
      <c r="I814" t="s">
        <v>116</v>
      </c>
      <c r="J814" t="str">
        <f>[5]trip_summary_region!J814</f>
        <v>2012/13</v>
      </c>
    </row>
    <row r="815" spans="1:10" x14ac:dyDescent="0.2">
      <c r="A815" t="str">
        <f>[5]trip_summary_region!A815</f>
        <v>12 WEST COAST</v>
      </c>
      <c r="B815">
        <f>[5]trip_summary_region!B815</f>
        <v>4</v>
      </c>
      <c r="C815">
        <f>[5]trip_summary_region!C815</f>
        <v>2018</v>
      </c>
      <c r="D815">
        <f>[5]trip_summary_region!D815</f>
        <v>12</v>
      </c>
      <c r="E815">
        <f>[5]trip_summary_region!E815</f>
        <v>23</v>
      </c>
      <c r="F815">
        <f>[5]trip_summary_region!F815</f>
        <v>0.34711674619999999</v>
      </c>
      <c r="G815">
        <f>[5]trip_summary_region!G815</f>
        <v>1.9138726968999999</v>
      </c>
      <c r="H815">
        <f>[5]trip_summary_region!H815</f>
        <v>7.6339456700000002E-2</v>
      </c>
      <c r="I815" t="s">
        <v>116</v>
      </c>
      <c r="J815" t="str">
        <f>[5]trip_summary_region!J815</f>
        <v>2017/18</v>
      </c>
    </row>
    <row r="816" spans="1:10" x14ac:dyDescent="0.2">
      <c r="A816" t="str">
        <f>[5]trip_summary_region!A816</f>
        <v>12 WEST COAST</v>
      </c>
      <c r="B816">
        <f>[5]trip_summary_region!B816</f>
        <v>4</v>
      </c>
      <c r="C816">
        <f>[5]trip_summary_region!C816</f>
        <v>2023</v>
      </c>
      <c r="D816">
        <f>[5]trip_summary_region!D816</f>
        <v>12</v>
      </c>
      <c r="E816">
        <f>[5]trip_summary_region!E816</f>
        <v>23</v>
      </c>
      <c r="F816">
        <f>[5]trip_summary_region!F816</f>
        <v>0.37331669249999999</v>
      </c>
      <c r="G816">
        <f>[5]trip_summary_region!G816</f>
        <v>2.0093999887999998</v>
      </c>
      <c r="H816">
        <f>[5]trip_summary_region!H816</f>
        <v>8.2401686000000002E-2</v>
      </c>
      <c r="I816" t="s">
        <v>116</v>
      </c>
      <c r="J816" t="str">
        <f>[5]trip_summary_region!J816</f>
        <v>2022/23</v>
      </c>
    </row>
    <row r="817" spans="1:10" x14ac:dyDescent="0.2">
      <c r="A817" t="str">
        <f>[5]trip_summary_region!A817</f>
        <v>12 WEST COAST</v>
      </c>
      <c r="B817">
        <f>[5]trip_summary_region!B817</f>
        <v>4</v>
      </c>
      <c r="C817">
        <f>[5]trip_summary_region!C817</f>
        <v>2028</v>
      </c>
      <c r="D817">
        <f>[5]trip_summary_region!D817</f>
        <v>12</v>
      </c>
      <c r="E817">
        <f>[5]trip_summary_region!E817</f>
        <v>23</v>
      </c>
      <c r="F817">
        <f>[5]trip_summary_region!F817</f>
        <v>0.37153244060000001</v>
      </c>
      <c r="G817">
        <f>[5]trip_summary_region!G817</f>
        <v>2.1362118827000001</v>
      </c>
      <c r="H817">
        <f>[5]trip_summary_region!H817</f>
        <v>8.3915792200000006E-2</v>
      </c>
      <c r="I817" t="s">
        <v>116</v>
      </c>
      <c r="J817" t="str">
        <f>[5]trip_summary_region!J817</f>
        <v>2027/28</v>
      </c>
    </row>
    <row r="818" spans="1:10" x14ac:dyDescent="0.2">
      <c r="A818" t="str">
        <f>[5]trip_summary_region!A818</f>
        <v>12 WEST COAST</v>
      </c>
      <c r="B818">
        <f>[5]trip_summary_region!B818</f>
        <v>4</v>
      </c>
      <c r="C818">
        <f>[5]trip_summary_region!C818</f>
        <v>2033</v>
      </c>
      <c r="D818">
        <f>[5]trip_summary_region!D818</f>
        <v>12</v>
      </c>
      <c r="E818">
        <f>[5]trip_summary_region!E818</f>
        <v>23</v>
      </c>
      <c r="F818">
        <f>[5]trip_summary_region!F818</f>
        <v>0.35125138389999999</v>
      </c>
      <c r="G818">
        <f>[5]trip_summary_region!G818</f>
        <v>2.0418595145</v>
      </c>
      <c r="H818">
        <f>[5]trip_summary_region!H818</f>
        <v>7.9828835200000003E-2</v>
      </c>
      <c r="I818" t="s">
        <v>116</v>
      </c>
      <c r="J818" t="str">
        <f>[5]trip_summary_region!J818</f>
        <v>2032/33</v>
      </c>
    </row>
    <row r="819" spans="1:10" x14ac:dyDescent="0.2">
      <c r="A819" t="str">
        <f>[5]trip_summary_region!A819</f>
        <v>12 WEST COAST</v>
      </c>
      <c r="B819">
        <f>[5]trip_summary_region!B819</f>
        <v>4</v>
      </c>
      <c r="C819">
        <f>[5]trip_summary_region!C819</f>
        <v>2038</v>
      </c>
      <c r="D819">
        <f>[5]trip_summary_region!D819</f>
        <v>12</v>
      </c>
      <c r="E819">
        <f>[5]trip_summary_region!E819</f>
        <v>23</v>
      </c>
      <c r="F819">
        <f>[5]trip_summary_region!F819</f>
        <v>0.33502515919999998</v>
      </c>
      <c r="G819">
        <f>[5]trip_summary_region!G819</f>
        <v>1.9973186486000001</v>
      </c>
      <c r="H819">
        <f>[5]trip_summary_region!H819</f>
        <v>7.6983086399999998E-2</v>
      </c>
      <c r="I819" t="s">
        <v>116</v>
      </c>
      <c r="J819" t="str">
        <f>[5]trip_summary_region!J819</f>
        <v>2037/38</v>
      </c>
    </row>
    <row r="820" spans="1:10" x14ac:dyDescent="0.2">
      <c r="A820" t="str">
        <f>[5]trip_summary_region!A820</f>
        <v>12 WEST COAST</v>
      </c>
      <c r="B820">
        <f>[5]trip_summary_region!B820</f>
        <v>4</v>
      </c>
      <c r="C820">
        <f>[5]trip_summary_region!C820</f>
        <v>2043</v>
      </c>
      <c r="D820">
        <f>[5]trip_summary_region!D820</f>
        <v>12</v>
      </c>
      <c r="E820">
        <f>[5]trip_summary_region!E820</f>
        <v>23</v>
      </c>
      <c r="F820">
        <f>[5]trip_summary_region!F820</f>
        <v>0.31557281549999999</v>
      </c>
      <c r="G820">
        <f>[5]trip_summary_region!G820</f>
        <v>1.9177899965</v>
      </c>
      <c r="H820">
        <f>[5]trip_summary_region!H820</f>
        <v>7.3321582299999993E-2</v>
      </c>
      <c r="I820" t="s">
        <v>116</v>
      </c>
      <c r="J820" t="str">
        <f>[5]trip_summary_region!J820</f>
        <v>2042/43</v>
      </c>
    </row>
    <row r="821" spans="1:10" x14ac:dyDescent="0.2">
      <c r="A821" t="str">
        <f>[5]trip_summary_region!A821</f>
        <v>12 WEST COAST</v>
      </c>
      <c r="B821">
        <f>[5]trip_summary_region!B821</f>
        <v>5</v>
      </c>
      <c r="C821">
        <f>[5]trip_summary_region!C821</f>
        <v>2013</v>
      </c>
      <c r="D821">
        <f>[5]trip_summary_region!D821</f>
        <v>2</v>
      </c>
      <c r="E821">
        <f>[5]trip_summary_region!E821</f>
        <v>5</v>
      </c>
      <c r="F821">
        <f>[5]trip_summary_region!F821</f>
        <v>6.1723256599999998E-2</v>
      </c>
      <c r="G821">
        <f>[5]trip_summary_region!G821</f>
        <v>0.29466348679999999</v>
      </c>
      <c r="H821">
        <f>[5]trip_summary_region!H821</f>
        <v>9.7989774000000005E-3</v>
      </c>
      <c r="I821" t="str">
        <f>[5]trip_summary_region!I821</f>
        <v>Motorcyclist</v>
      </c>
      <c r="J821" t="str">
        <f>[5]trip_summary_region!J821</f>
        <v>2012/13</v>
      </c>
    </row>
    <row r="822" spans="1:10" x14ac:dyDescent="0.2">
      <c r="A822" t="str">
        <f>[5]trip_summary_region!A822</f>
        <v>12 WEST COAST</v>
      </c>
      <c r="B822">
        <f>[5]trip_summary_region!B822</f>
        <v>5</v>
      </c>
      <c r="C822">
        <f>[5]trip_summary_region!C822</f>
        <v>2018</v>
      </c>
      <c r="D822">
        <f>[5]trip_summary_region!D822</f>
        <v>2</v>
      </c>
      <c r="E822">
        <f>[5]trip_summary_region!E822</f>
        <v>5</v>
      </c>
      <c r="F822">
        <f>[5]trip_summary_region!F822</f>
        <v>6.9642489899999993E-2</v>
      </c>
      <c r="G822">
        <f>[5]trip_summary_region!G822</f>
        <v>0.33465396139999998</v>
      </c>
      <c r="H822">
        <f>[5]trip_summary_region!H822</f>
        <v>1.11115825E-2</v>
      </c>
      <c r="I822" t="str">
        <f>[5]trip_summary_region!I822</f>
        <v>Motorcyclist</v>
      </c>
      <c r="J822" t="str">
        <f>[5]trip_summary_region!J822</f>
        <v>2017/18</v>
      </c>
    </row>
    <row r="823" spans="1:10" x14ac:dyDescent="0.2">
      <c r="A823" t="str">
        <f>[5]trip_summary_region!A823</f>
        <v>12 WEST COAST</v>
      </c>
      <c r="B823">
        <f>[5]trip_summary_region!B823</f>
        <v>5</v>
      </c>
      <c r="C823">
        <f>[5]trip_summary_region!C823</f>
        <v>2023</v>
      </c>
      <c r="D823">
        <f>[5]trip_summary_region!D823</f>
        <v>2</v>
      </c>
      <c r="E823">
        <f>[5]trip_summary_region!E823</f>
        <v>5</v>
      </c>
      <c r="F823">
        <f>[5]trip_summary_region!F823</f>
        <v>7.3814775900000004E-2</v>
      </c>
      <c r="G823">
        <f>[5]trip_summary_region!G823</f>
        <v>0.33398905550000002</v>
      </c>
      <c r="H823">
        <f>[5]trip_summary_region!H823</f>
        <v>1.1252200400000001E-2</v>
      </c>
      <c r="I823" t="str">
        <f>[5]trip_summary_region!I823</f>
        <v>Motorcyclist</v>
      </c>
      <c r="J823" t="str">
        <f>[5]trip_summary_region!J823</f>
        <v>2022/23</v>
      </c>
    </row>
    <row r="824" spans="1:10" x14ac:dyDescent="0.2">
      <c r="A824" t="str">
        <f>[5]trip_summary_region!A824</f>
        <v>12 WEST COAST</v>
      </c>
      <c r="B824">
        <f>[5]trip_summary_region!B824</f>
        <v>5</v>
      </c>
      <c r="C824">
        <f>[5]trip_summary_region!C824</f>
        <v>2028</v>
      </c>
      <c r="D824">
        <f>[5]trip_summary_region!D824</f>
        <v>2</v>
      </c>
      <c r="E824">
        <f>[5]trip_summary_region!E824</f>
        <v>5</v>
      </c>
      <c r="F824">
        <f>[5]trip_summary_region!F824</f>
        <v>8.0300450699999998E-2</v>
      </c>
      <c r="G824">
        <f>[5]trip_summary_region!G824</f>
        <v>0.35008394459999997</v>
      </c>
      <c r="H824">
        <f>[5]trip_summary_region!H824</f>
        <v>1.19049733E-2</v>
      </c>
      <c r="I824" t="str">
        <f>[5]trip_summary_region!I824</f>
        <v>Motorcyclist</v>
      </c>
      <c r="J824" t="str">
        <f>[5]trip_summary_region!J824</f>
        <v>2027/28</v>
      </c>
    </row>
    <row r="825" spans="1:10" x14ac:dyDescent="0.2">
      <c r="A825" t="str">
        <f>[5]trip_summary_region!A825</f>
        <v>12 WEST COAST</v>
      </c>
      <c r="B825">
        <f>[5]trip_summary_region!B825</f>
        <v>5</v>
      </c>
      <c r="C825">
        <f>[5]trip_summary_region!C825</f>
        <v>2033</v>
      </c>
      <c r="D825">
        <f>[5]trip_summary_region!D825</f>
        <v>2</v>
      </c>
      <c r="E825">
        <f>[5]trip_summary_region!E825</f>
        <v>5</v>
      </c>
      <c r="F825">
        <f>[5]trip_summary_region!F825</f>
        <v>8.6940249499999997E-2</v>
      </c>
      <c r="G825">
        <f>[5]trip_summary_region!G825</f>
        <v>0.3796002819</v>
      </c>
      <c r="H825">
        <f>[5]trip_summary_region!H825</f>
        <v>1.29037818E-2</v>
      </c>
      <c r="I825" t="str">
        <f>[5]trip_summary_region!I825</f>
        <v>Motorcyclist</v>
      </c>
      <c r="J825" t="str">
        <f>[5]trip_summary_region!J825</f>
        <v>2032/33</v>
      </c>
    </row>
    <row r="826" spans="1:10" x14ac:dyDescent="0.2">
      <c r="A826" t="str">
        <f>[5]trip_summary_region!A826</f>
        <v>12 WEST COAST</v>
      </c>
      <c r="B826">
        <f>[5]trip_summary_region!B826</f>
        <v>5</v>
      </c>
      <c r="C826">
        <f>[5]trip_summary_region!C826</f>
        <v>2038</v>
      </c>
      <c r="D826">
        <f>[5]trip_summary_region!D826</f>
        <v>2</v>
      </c>
      <c r="E826">
        <f>[5]trip_summary_region!E826</f>
        <v>5</v>
      </c>
      <c r="F826">
        <f>[5]trip_summary_region!F826</f>
        <v>9.6622111799999993E-2</v>
      </c>
      <c r="G826">
        <f>[5]trip_summary_region!G826</f>
        <v>0.41878084110000002</v>
      </c>
      <c r="H826">
        <f>[5]trip_summary_region!H826</f>
        <v>1.42623825E-2</v>
      </c>
      <c r="I826" t="str">
        <f>[5]trip_summary_region!I826</f>
        <v>Motorcyclist</v>
      </c>
      <c r="J826" t="str">
        <f>[5]trip_summary_region!J826</f>
        <v>2037/38</v>
      </c>
    </row>
    <row r="827" spans="1:10" x14ac:dyDescent="0.2">
      <c r="A827" t="str">
        <f>[5]trip_summary_region!A827</f>
        <v>12 WEST COAST</v>
      </c>
      <c r="B827">
        <f>[5]trip_summary_region!B827</f>
        <v>5</v>
      </c>
      <c r="C827">
        <f>[5]trip_summary_region!C827</f>
        <v>2043</v>
      </c>
      <c r="D827">
        <f>[5]trip_summary_region!D827</f>
        <v>2</v>
      </c>
      <c r="E827">
        <f>[5]trip_summary_region!E827</f>
        <v>5</v>
      </c>
      <c r="F827">
        <f>[5]trip_summary_region!F827</f>
        <v>0.1033869503</v>
      </c>
      <c r="G827">
        <f>[5]trip_summary_region!G827</f>
        <v>0.44453855530000003</v>
      </c>
      <c r="H827">
        <f>[5]trip_summary_region!H827</f>
        <v>1.5170633399999999E-2</v>
      </c>
      <c r="I827" t="str">
        <f>[5]trip_summary_region!I827</f>
        <v>Motorcyclist</v>
      </c>
      <c r="J827" t="str">
        <f>[5]trip_summary_region!J827</f>
        <v>2042/43</v>
      </c>
    </row>
    <row r="828" spans="1:10" x14ac:dyDescent="0.2">
      <c r="A828" t="str">
        <f>[5]trip_summary_region!A828</f>
        <v>12 WEST COAST</v>
      </c>
      <c r="B828">
        <f>[5]trip_summary_region!B828</f>
        <v>7</v>
      </c>
      <c r="C828">
        <f>[5]trip_summary_region!C828</f>
        <v>2013</v>
      </c>
      <c r="D828">
        <f>[5]trip_summary_region!D828</f>
        <v>15</v>
      </c>
      <c r="E828">
        <f>[5]trip_summary_region!E828</f>
        <v>42</v>
      </c>
      <c r="F828">
        <f>[5]trip_summary_region!F828</f>
        <v>0.50805546800000001</v>
      </c>
      <c r="G828">
        <f>[5]trip_summary_region!G828</f>
        <v>6.0600083682000001</v>
      </c>
      <c r="H828">
        <f>[5]trip_summary_region!H828</f>
        <v>0.18249519829999999</v>
      </c>
      <c r="I828" t="str">
        <f>[5]trip_summary_region!I828</f>
        <v>Local Bus</v>
      </c>
      <c r="J828" t="str">
        <f>[5]trip_summary_region!J828</f>
        <v>2012/13</v>
      </c>
    </row>
    <row r="829" spans="1:10" x14ac:dyDescent="0.2">
      <c r="A829" t="str">
        <f>[5]trip_summary_region!A829</f>
        <v>12 WEST COAST</v>
      </c>
      <c r="B829">
        <f>[5]trip_summary_region!B829</f>
        <v>7</v>
      </c>
      <c r="C829">
        <f>[5]trip_summary_region!C829</f>
        <v>2018</v>
      </c>
      <c r="D829">
        <f>[5]trip_summary_region!D829</f>
        <v>15</v>
      </c>
      <c r="E829">
        <f>[5]trip_summary_region!E829</f>
        <v>42</v>
      </c>
      <c r="F829">
        <f>[5]trip_summary_region!F829</f>
        <v>0.47778818760000002</v>
      </c>
      <c r="G829">
        <f>[5]trip_summary_region!G829</f>
        <v>5.7047923351999996</v>
      </c>
      <c r="H829">
        <f>[5]trip_summary_region!H829</f>
        <v>0.17071645969999999</v>
      </c>
      <c r="I829" t="str">
        <f>[5]trip_summary_region!I829</f>
        <v>Local Bus</v>
      </c>
      <c r="J829" t="str">
        <f>[5]trip_summary_region!J829</f>
        <v>2017/18</v>
      </c>
    </row>
    <row r="830" spans="1:10" x14ac:dyDescent="0.2">
      <c r="A830" t="str">
        <f>[5]trip_summary_region!A830</f>
        <v>12 WEST COAST</v>
      </c>
      <c r="B830">
        <f>[5]trip_summary_region!B830</f>
        <v>7</v>
      </c>
      <c r="C830">
        <f>[5]trip_summary_region!C830</f>
        <v>2023</v>
      </c>
      <c r="D830">
        <f>[5]trip_summary_region!D830</f>
        <v>15</v>
      </c>
      <c r="E830">
        <f>[5]trip_summary_region!E830</f>
        <v>42</v>
      </c>
      <c r="F830">
        <f>[5]trip_summary_region!F830</f>
        <v>0.42989875929999999</v>
      </c>
      <c r="G830">
        <f>[5]trip_summary_region!G830</f>
        <v>5.1650288985000001</v>
      </c>
      <c r="H830">
        <f>[5]trip_summary_region!H830</f>
        <v>0.15335922020000001</v>
      </c>
      <c r="I830" t="str">
        <f>[5]trip_summary_region!I830</f>
        <v>Local Bus</v>
      </c>
      <c r="J830" t="str">
        <f>[5]trip_summary_region!J830</f>
        <v>2022/23</v>
      </c>
    </row>
    <row r="831" spans="1:10" x14ac:dyDescent="0.2">
      <c r="A831" t="str">
        <f>[5]trip_summary_region!A831</f>
        <v>12 WEST COAST</v>
      </c>
      <c r="B831">
        <f>[5]trip_summary_region!B831</f>
        <v>7</v>
      </c>
      <c r="C831">
        <f>[5]trip_summary_region!C831</f>
        <v>2028</v>
      </c>
      <c r="D831">
        <f>[5]trip_summary_region!D831</f>
        <v>15</v>
      </c>
      <c r="E831">
        <f>[5]trip_summary_region!E831</f>
        <v>42</v>
      </c>
      <c r="F831">
        <f>[5]trip_summary_region!F831</f>
        <v>0.40915025300000002</v>
      </c>
      <c r="G831">
        <f>[5]trip_summary_region!G831</f>
        <v>4.8200254951000003</v>
      </c>
      <c r="H831">
        <f>[5]trip_summary_region!H831</f>
        <v>0.1448215226</v>
      </c>
      <c r="I831" t="str">
        <f>[5]trip_summary_region!I831</f>
        <v>Local Bus</v>
      </c>
      <c r="J831" t="str">
        <f>[5]trip_summary_region!J831</f>
        <v>2027/28</v>
      </c>
    </row>
    <row r="832" spans="1:10" x14ac:dyDescent="0.2">
      <c r="A832" t="str">
        <f>[5]trip_summary_region!A832</f>
        <v>12 WEST COAST</v>
      </c>
      <c r="B832">
        <f>[5]trip_summary_region!B832</f>
        <v>7</v>
      </c>
      <c r="C832">
        <f>[5]trip_summary_region!C832</f>
        <v>2033</v>
      </c>
      <c r="D832">
        <f>[5]trip_summary_region!D832</f>
        <v>15</v>
      </c>
      <c r="E832">
        <f>[5]trip_summary_region!E832</f>
        <v>42</v>
      </c>
      <c r="F832">
        <f>[5]trip_summary_region!F832</f>
        <v>0.3786649554</v>
      </c>
      <c r="G832">
        <f>[5]trip_summary_region!G832</f>
        <v>4.4843690324000001</v>
      </c>
      <c r="H832">
        <f>[5]trip_summary_region!H832</f>
        <v>0.1344510008</v>
      </c>
      <c r="I832" t="str">
        <f>[5]trip_summary_region!I832</f>
        <v>Local Bus</v>
      </c>
      <c r="J832" t="str">
        <f>[5]trip_summary_region!J832</f>
        <v>2032/33</v>
      </c>
    </row>
    <row r="833" spans="1:10" x14ac:dyDescent="0.2">
      <c r="A833" t="str">
        <f>[5]trip_summary_region!A833</f>
        <v>12 WEST COAST</v>
      </c>
      <c r="B833">
        <f>[5]trip_summary_region!B833</f>
        <v>7</v>
      </c>
      <c r="C833">
        <f>[5]trip_summary_region!C833</f>
        <v>2038</v>
      </c>
      <c r="D833">
        <f>[5]trip_summary_region!D833</f>
        <v>15</v>
      </c>
      <c r="E833">
        <f>[5]trip_summary_region!E833</f>
        <v>42</v>
      </c>
      <c r="F833">
        <f>[5]trip_summary_region!F833</f>
        <v>0.34366325809999998</v>
      </c>
      <c r="G833">
        <f>[5]trip_summary_region!G833</f>
        <v>4.1869241964999997</v>
      </c>
      <c r="H833">
        <f>[5]trip_summary_region!H833</f>
        <v>0.1235322546</v>
      </c>
      <c r="I833" t="str">
        <f>[5]trip_summary_region!I833</f>
        <v>Local Bus</v>
      </c>
      <c r="J833" t="str">
        <f>[5]trip_summary_region!J833</f>
        <v>2037/38</v>
      </c>
    </row>
    <row r="834" spans="1:10" x14ac:dyDescent="0.2">
      <c r="A834" t="str">
        <f>[5]trip_summary_region!A834</f>
        <v>12 WEST COAST</v>
      </c>
      <c r="B834">
        <f>[5]trip_summary_region!B834</f>
        <v>7</v>
      </c>
      <c r="C834">
        <f>[5]trip_summary_region!C834</f>
        <v>2043</v>
      </c>
      <c r="D834">
        <f>[5]trip_summary_region!D834</f>
        <v>15</v>
      </c>
      <c r="E834">
        <f>[5]trip_summary_region!E834</f>
        <v>42</v>
      </c>
      <c r="F834">
        <f>[5]trip_summary_region!F834</f>
        <v>0.31009693379999997</v>
      </c>
      <c r="G834">
        <f>[5]trip_summary_region!G834</f>
        <v>3.9454781720000001</v>
      </c>
      <c r="H834">
        <f>[5]trip_summary_region!H834</f>
        <v>0.1136588312</v>
      </c>
      <c r="I834" t="str">
        <f>[5]trip_summary_region!I834</f>
        <v>Local Bus</v>
      </c>
      <c r="J834" t="str">
        <f>[5]trip_summary_region!J834</f>
        <v>2042/43</v>
      </c>
    </row>
    <row r="835" spans="1:10" x14ac:dyDescent="0.2">
      <c r="A835" t="str">
        <f>[5]trip_summary_region!A835</f>
        <v>12 WEST COAST</v>
      </c>
      <c r="B835">
        <f>[5]trip_summary_region!B835</f>
        <v>9</v>
      </c>
      <c r="C835">
        <f>[5]trip_summary_region!C835</f>
        <v>2013</v>
      </c>
      <c r="D835">
        <f>[5]trip_summary_region!D835</f>
        <v>3</v>
      </c>
      <c r="E835">
        <f>[5]trip_summary_region!E835</f>
        <v>3</v>
      </c>
      <c r="F835">
        <f>[5]trip_summary_region!F835</f>
        <v>2.77012627E-2</v>
      </c>
      <c r="G835">
        <f>[5]trip_summary_region!G835</f>
        <v>0</v>
      </c>
      <c r="H835">
        <f>[5]trip_summary_region!H835</f>
        <v>3.6766106000000001E-3</v>
      </c>
      <c r="I835" t="str">
        <f>[5]trip_summary_region!I835</f>
        <v>Other Household Travel</v>
      </c>
      <c r="J835" t="str">
        <f>[5]trip_summary_region!J835</f>
        <v>2012/13</v>
      </c>
    </row>
    <row r="836" spans="1:10" x14ac:dyDescent="0.2">
      <c r="A836" t="str">
        <f>[5]trip_summary_region!A836</f>
        <v>12 WEST COAST</v>
      </c>
      <c r="B836">
        <f>[5]trip_summary_region!B836</f>
        <v>9</v>
      </c>
      <c r="C836">
        <f>[5]trip_summary_region!C836</f>
        <v>2018</v>
      </c>
      <c r="D836">
        <f>[5]trip_summary_region!D836</f>
        <v>3</v>
      </c>
      <c r="E836">
        <f>[5]trip_summary_region!E836</f>
        <v>3</v>
      </c>
      <c r="F836">
        <f>[5]trip_summary_region!F836</f>
        <v>2.7018696500000002E-2</v>
      </c>
      <c r="G836">
        <f>[5]trip_summary_region!G836</f>
        <v>0</v>
      </c>
      <c r="H836">
        <f>[5]trip_summary_region!H836</f>
        <v>3.5146218000000002E-3</v>
      </c>
      <c r="I836" t="str">
        <f>[5]trip_summary_region!I836</f>
        <v>Other Household Travel</v>
      </c>
      <c r="J836" t="str">
        <f>[5]trip_summary_region!J836</f>
        <v>2017/18</v>
      </c>
    </row>
    <row r="837" spans="1:10" x14ac:dyDescent="0.2">
      <c r="A837" t="str">
        <f>[5]trip_summary_region!A837</f>
        <v>12 WEST COAST</v>
      </c>
      <c r="B837">
        <f>[5]trip_summary_region!B837</f>
        <v>9</v>
      </c>
      <c r="C837">
        <f>[5]trip_summary_region!C837</f>
        <v>2023</v>
      </c>
      <c r="D837">
        <f>[5]trip_summary_region!D837</f>
        <v>3</v>
      </c>
      <c r="E837">
        <f>[5]trip_summary_region!E837</f>
        <v>3</v>
      </c>
      <c r="F837">
        <f>[5]trip_summary_region!F837</f>
        <v>2.5029177400000002E-2</v>
      </c>
      <c r="G837">
        <f>[5]trip_summary_region!G837</f>
        <v>0</v>
      </c>
      <c r="H837">
        <f>[5]trip_summary_region!H837</f>
        <v>3.2063296000000002E-3</v>
      </c>
      <c r="I837" t="str">
        <f>[5]trip_summary_region!I837</f>
        <v>Other Household Travel</v>
      </c>
      <c r="J837" t="str">
        <f>[5]trip_summary_region!J837</f>
        <v>2022/23</v>
      </c>
    </row>
    <row r="838" spans="1:10" x14ac:dyDescent="0.2">
      <c r="A838" t="str">
        <f>[5]trip_summary_region!A838</f>
        <v>12 WEST COAST</v>
      </c>
      <c r="B838">
        <f>[5]trip_summary_region!B838</f>
        <v>9</v>
      </c>
      <c r="C838">
        <f>[5]trip_summary_region!C838</f>
        <v>2028</v>
      </c>
      <c r="D838">
        <f>[5]trip_summary_region!D838</f>
        <v>3</v>
      </c>
      <c r="E838">
        <f>[5]trip_summary_region!E838</f>
        <v>3</v>
      </c>
      <c r="F838">
        <f>[5]trip_summary_region!F838</f>
        <v>2.1817237E-2</v>
      </c>
      <c r="G838">
        <f>[5]trip_summary_region!G838</f>
        <v>0</v>
      </c>
      <c r="H838">
        <f>[5]trip_summary_region!H838</f>
        <v>2.7442665000000002E-3</v>
      </c>
      <c r="I838" t="str">
        <f>[5]trip_summary_region!I838</f>
        <v>Other Household Travel</v>
      </c>
      <c r="J838" t="str">
        <f>[5]trip_summary_region!J838</f>
        <v>2027/28</v>
      </c>
    </row>
    <row r="839" spans="1:10" x14ac:dyDescent="0.2">
      <c r="A839" t="str">
        <f>[5]trip_summary_region!A839</f>
        <v>12 WEST COAST</v>
      </c>
      <c r="B839">
        <f>[5]trip_summary_region!B839</f>
        <v>9</v>
      </c>
      <c r="C839">
        <f>[5]trip_summary_region!C839</f>
        <v>2033</v>
      </c>
      <c r="D839">
        <f>[5]trip_summary_region!D839</f>
        <v>3</v>
      </c>
      <c r="E839">
        <f>[5]trip_summary_region!E839</f>
        <v>3</v>
      </c>
      <c r="F839">
        <f>[5]trip_summary_region!F839</f>
        <v>1.96833896E-2</v>
      </c>
      <c r="G839">
        <f>[5]trip_summary_region!G839</f>
        <v>0</v>
      </c>
      <c r="H839">
        <f>[5]trip_summary_region!H839</f>
        <v>2.4943525000000002E-3</v>
      </c>
      <c r="I839" t="str">
        <f>[5]trip_summary_region!I839</f>
        <v>Other Household Travel</v>
      </c>
      <c r="J839" t="str">
        <f>[5]trip_summary_region!J839</f>
        <v>2032/33</v>
      </c>
    </row>
    <row r="840" spans="1:10" x14ac:dyDescent="0.2">
      <c r="A840" t="str">
        <f>[5]trip_summary_region!A840</f>
        <v>12 WEST COAST</v>
      </c>
      <c r="B840">
        <f>[5]trip_summary_region!B840</f>
        <v>9</v>
      </c>
      <c r="C840">
        <f>[5]trip_summary_region!C840</f>
        <v>2038</v>
      </c>
      <c r="D840">
        <f>[5]trip_summary_region!D840</f>
        <v>3</v>
      </c>
      <c r="E840">
        <f>[5]trip_summary_region!E840</f>
        <v>3</v>
      </c>
      <c r="F840">
        <f>[5]trip_summary_region!F840</f>
        <v>1.9401635300000001E-2</v>
      </c>
      <c r="G840">
        <f>[5]trip_summary_region!G840</f>
        <v>0</v>
      </c>
      <c r="H840">
        <f>[5]trip_summary_region!H840</f>
        <v>2.5173892000000002E-3</v>
      </c>
      <c r="I840" t="str">
        <f>[5]trip_summary_region!I840</f>
        <v>Other Household Travel</v>
      </c>
      <c r="J840" t="str">
        <f>[5]trip_summary_region!J840</f>
        <v>2037/38</v>
      </c>
    </row>
    <row r="841" spans="1:10" x14ac:dyDescent="0.2">
      <c r="A841" t="str">
        <f>[5]trip_summary_region!A841</f>
        <v>12 WEST COAST</v>
      </c>
      <c r="B841">
        <f>[5]trip_summary_region!B841</f>
        <v>9</v>
      </c>
      <c r="C841">
        <f>[5]trip_summary_region!C841</f>
        <v>2043</v>
      </c>
      <c r="D841">
        <f>[5]trip_summary_region!D841</f>
        <v>3</v>
      </c>
      <c r="E841">
        <f>[5]trip_summary_region!E841</f>
        <v>3</v>
      </c>
      <c r="F841">
        <f>[5]trip_summary_region!F841</f>
        <v>1.89575573E-2</v>
      </c>
      <c r="G841">
        <f>[5]trip_summary_region!G841</f>
        <v>0</v>
      </c>
      <c r="H841">
        <f>[5]trip_summary_region!H841</f>
        <v>2.5141513000000002E-3</v>
      </c>
      <c r="I841" t="str">
        <f>[5]trip_summary_region!I841</f>
        <v>Other Household Travel</v>
      </c>
      <c r="J841" t="str">
        <f>[5]trip_summary_region!J841</f>
        <v>2042/43</v>
      </c>
    </row>
    <row r="842" spans="1:10" x14ac:dyDescent="0.2">
      <c r="A842" t="str">
        <f>[5]trip_summary_region!A842</f>
        <v>12 WEST COAST</v>
      </c>
      <c r="B842">
        <f>[5]trip_summary_region!B842</f>
        <v>10</v>
      </c>
      <c r="C842">
        <f>[5]trip_summary_region!C842</f>
        <v>2013</v>
      </c>
      <c r="D842">
        <f>[5]trip_summary_region!D842</f>
        <v>4</v>
      </c>
      <c r="E842">
        <f>[5]trip_summary_region!E842</f>
        <v>8</v>
      </c>
      <c r="F842">
        <f>[5]trip_summary_region!F842</f>
        <v>0.10084271459999999</v>
      </c>
      <c r="G842">
        <f>[5]trip_summary_region!G842</f>
        <v>10.387194593</v>
      </c>
      <c r="H842">
        <f>[5]trip_summary_region!H842</f>
        <v>0.1870167032</v>
      </c>
      <c r="I842" t="str">
        <f>[5]trip_summary_region!I842</f>
        <v>Air/Non-Local PT</v>
      </c>
      <c r="J842" t="str">
        <f>[5]trip_summary_region!J842</f>
        <v>2012/13</v>
      </c>
    </row>
    <row r="843" spans="1:10" x14ac:dyDescent="0.2">
      <c r="A843" t="str">
        <f>[5]trip_summary_region!A843</f>
        <v>12 WEST COAST</v>
      </c>
      <c r="B843">
        <f>[5]trip_summary_region!B843</f>
        <v>10</v>
      </c>
      <c r="C843">
        <f>[5]trip_summary_region!C843</f>
        <v>2018</v>
      </c>
      <c r="D843">
        <f>[5]trip_summary_region!D843</f>
        <v>4</v>
      </c>
      <c r="E843">
        <f>[5]trip_summary_region!E843</f>
        <v>8</v>
      </c>
      <c r="F843">
        <f>[5]trip_summary_region!F843</f>
        <v>0.1074010561</v>
      </c>
      <c r="G843">
        <f>[5]trip_summary_region!G843</f>
        <v>10.925150212</v>
      </c>
      <c r="H843">
        <f>[5]trip_summary_region!H843</f>
        <v>0.19993001799999999</v>
      </c>
      <c r="I843" t="str">
        <f>[5]trip_summary_region!I843</f>
        <v>Air/Non-Local PT</v>
      </c>
      <c r="J843" t="str">
        <f>[5]trip_summary_region!J843</f>
        <v>2017/18</v>
      </c>
    </row>
    <row r="844" spans="1:10" x14ac:dyDescent="0.2">
      <c r="A844" t="str">
        <f>[5]trip_summary_region!A844</f>
        <v>12 WEST COAST</v>
      </c>
      <c r="B844">
        <f>[5]trip_summary_region!B844</f>
        <v>10</v>
      </c>
      <c r="C844">
        <f>[5]trip_summary_region!C844</f>
        <v>2023</v>
      </c>
      <c r="D844">
        <f>[5]trip_summary_region!D844</f>
        <v>4</v>
      </c>
      <c r="E844">
        <f>[5]trip_summary_region!E844</f>
        <v>8</v>
      </c>
      <c r="F844">
        <f>[5]trip_summary_region!F844</f>
        <v>0.1069310951</v>
      </c>
      <c r="G844">
        <f>[5]trip_summary_region!G844</f>
        <v>10.743771552</v>
      </c>
      <c r="H844">
        <f>[5]trip_summary_region!H844</f>
        <v>0.19978407979999999</v>
      </c>
      <c r="I844" t="str">
        <f>[5]trip_summary_region!I844</f>
        <v>Air/Non-Local PT</v>
      </c>
      <c r="J844" t="str">
        <f>[5]trip_summary_region!J844</f>
        <v>2022/23</v>
      </c>
    </row>
    <row r="845" spans="1:10" x14ac:dyDescent="0.2">
      <c r="A845" t="str">
        <f>[5]trip_summary_region!A845</f>
        <v>12 WEST COAST</v>
      </c>
      <c r="B845">
        <f>[5]trip_summary_region!B845</f>
        <v>10</v>
      </c>
      <c r="C845">
        <f>[5]trip_summary_region!C845</f>
        <v>2028</v>
      </c>
      <c r="D845">
        <f>[5]trip_summary_region!D845</f>
        <v>4</v>
      </c>
      <c r="E845">
        <f>[5]trip_summary_region!E845</f>
        <v>8</v>
      </c>
      <c r="F845">
        <f>[5]trip_summary_region!F845</f>
        <v>0.10134535140000001</v>
      </c>
      <c r="G845">
        <f>[5]trip_summary_region!G845</f>
        <v>9.9130599717999992</v>
      </c>
      <c r="H845">
        <f>[5]trip_summary_region!H845</f>
        <v>0.1908186727</v>
      </c>
      <c r="I845" t="str">
        <f>[5]trip_summary_region!I845</f>
        <v>Air/Non-Local PT</v>
      </c>
      <c r="J845" t="str">
        <f>[5]trip_summary_region!J845</f>
        <v>2027/28</v>
      </c>
    </row>
    <row r="846" spans="1:10" x14ac:dyDescent="0.2">
      <c r="A846" t="str">
        <f>[5]trip_summary_region!A846</f>
        <v>12 WEST COAST</v>
      </c>
      <c r="B846">
        <f>[5]trip_summary_region!B846</f>
        <v>10</v>
      </c>
      <c r="C846">
        <f>[5]trip_summary_region!C846</f>
        <v>2033</v>
      </c>
      <c r="D846">
        <f>[5]trip_summary_region!D846</f>
        <v>4</v>
      </c>
      <c r="E846">
        <f>[5]trip_summary_region!E846</f>
        <v>8</v>
      </c>
      <c r="F846">
        <f>[5]trip_summary_region!F846</f>
        <v>9.3645352599999995E-2</v>
      </c>
      <c r="G846">
        <f>[5]trip_summary_region!G846</f>
        <v>8.9988426603999994</v>
      </c>
      <c r="H846">
        <f>[5]trip_summary_region!H846</f>
        <v>0.17719955640000001</v>
      </c>
      <c r="I846" t="str">
        <f>[5]trip_summary_region!I846</f>
        <v>Air/Non-Local PT</v>
      </c>
      <c r="J846" t="str">
        <f>[5]trip_summary_region!J846</f>
        <v>2032/33</v>
      </c>
    </row>
    <row r="847" spans="1:10" x14ac:dyDescent="0.2">
      <c r="A847" t="str">
        <f>[5]trip_summary_region!A847</f>
        <v>12 WEST COAST</v>
      </c>
      <c r="B847">
        <f>[5]trip_summary_region!B847</f>
        <v>10</v>
      </c>
      <c r="C847">
        <f>[5]trip_summary_region!C847</f>
        <v>2038</v>
      </c>
      <c r="D847">
        <f>[5]trip_summary_region!D847</f>
        <v>4</v>
      </c>
      <c r="E847">
        <f>[5]trip_summary_region!E847</f>
        <v>8</v>
      </c>
      <c r="F847">
        <f>[5]trip_summary_region!F847</f>
        <v>9.0981622700000001E-2</v>
      </c>
      <c r="G847">
        <f>[5]trip_summary_region!G847</f>
        <v>8.6907287338000003</v>
      </c>
      <c r="H847">
        <f>[5]trip_summary_region!H847</f>
        <v>0.17244368530000001</v>
      </c>
      <c r="I847" t="str">
        <f>[5]trip_summary_region!I847</f>
        <v>Air/Non-Local PT</v>
      </c>
      <c r="J847" t="str">
        <f>[5]trip_summary_region!J847</f>
        <v>2037/38</v>
      </c>
    </row>
    <row r="848" spans="1:10" x14ac:dyDescent="0.2">
      <c r="A848" t="str">
        <f>[5]trip_summary_region!A848</f>
        <v>12 WEST COAST</v>
      </c>
      <c r="B848">
        <f>[5]trip_summary_region!B848</f>
        <v>10</v>
      </c>
      <c r="C848">
        <f>[5]trip_summary_region!C848</f>
        <v>2043</v>
      </c>
      <c r="D848">
        <f>[5]trip_summary_region!D848</f>
        <v>4</v>
      </c>
      <c r="E848">
        <f>[5]trip_summary_region!E848</f>
        <v>8</v>
      </c>
      <c r="F848">
        <f>[5]trip_summary_region!F848</f>
        <v>8.7514976499999994E-2</v>
      </c>
      <c r="G848">
        <f>[5]trip_summary_region!G848</f>
        <v>8.3021090093000005</v>
      </c>
      <c r="H848">
        <f>[5]trip_summary_region!H848</f>
        <v>0.1661867873</v>
      </c>
      <c r="I848" t="str">
        <f>[5]trip_summary_region!I848</f>
        <v>Air/Non-Local PT</v>
      </c>
      <c r="J848" t="str">
        <f>[5]trip_summary_region!J848</f>
        <v>2042/43</v>
      </c>
    </row>
    <row r="849" spans="1:10" x14ac:dyDescent="0.2">
      <c r="A849" t="str">
        <f>[5]trip_summary_region!A849</f>
        <v>12 WEST COAST</v>
      </c>
      <c r="B849">
        <f>[5]trip_summary_region!B849</f>
        <v>11</v>
      </c>
      <c r="C849">
        <f>[5]trip_summary_region!C849</f>
        <v>2013</v>
      </c>
      <c r="D849">
        <f>[5]trip_summary_region!D849</f>
        <v>9</v>
      </c>
      <c r="E849">
        <f>[5]trip_summary_region!E849</f>
        <v>44</v>
      </c>
      <c r="F849">
        <f>[5]trip_summary_region!F849</f>
        <v>0.57649160089999996</v>
      </c>
      <c r="G849">
        <f>[5]trip_summary_region!G849</f>
        <v>20.958164275000001</v>
      </c>
      <c r="H849">
        <f>[5]trip_summary_region!H849</f>
        <v>0.34686230169999999</v>
      </c>
      <c r="I849" t="str">
        <f>[5]trip_summary_region!I849</f>
        <v>Non-Household Travel</v>
      </c>
      <c r="J849" t="str">
        <f>[5]trip_summary_region!J849</f>
        <v>2012/13</v>
      </c>
    </row>
    <row r="850" spans="1:10" x14ac:dyDescent="0.2">
      <c r="A850" t="str">
        <f>[5]trip_summary_region!A850</f>
        <v>12 WEST COAST</v>
      </c>
      <c r="B850">
        <f>[5]trip_summary_region!B850</f>
        <v>11</v>
      </c>
      <c r="C850">
        <f>[5]trip_summary_region!C850</f>
        <v>2018</v>
      </c>
      <c r="D850">
        <f>[5]trip_summary_region!D850</f>
        <v>9</v>
      </c>
      <c r="E850">
        <f>[5]trip_summary_region!E850</f>
        <v>44</v>
      </c>
      <c r="F850">
        <f>[5]trip_summary_region!F850</f>
        <v>0.60895584280000004</v>
      </c>
      <c r="G850">
        <f>[5]trip_summary_region!G850</f>
        <v>21.947567634999999</v>
      </c>
      <c r="H850">
        <f>[5]trip_summary_region!H850</f>
        <v>0.36397977139999999</v>
      </c>
      <c r="I850" t="str">
        <f>[5]trip_summary_region!I850</f>
        <v>Non-Household Travel</v>
      </c>
      <c r="J850" t="str">
        <f>[5]trip_summary_region!J850</f>
        <v>2017/18</v>
      </c>
    </row>
    <row r="851" spans="1:10" x14ac:dyDescent="0.2">
      <c r="A851" t="str">
        <f>[5]trip_summary_region!A851</f>
        <v>12 WEST COAST</v>
      </c>
      <c r="B851">
        <f>[5]trip_summary_region!B851</f>
        <v>11</v>
      </c>
      <c r="C851">
        <f>[5]trip_summary_region!C851</f>
        <v>2023</v>
      </c>
      <c r="D851">
        <f>[5]trip_summary_region!D851</f>
        <v>9</v>
      </c>
      <c r="E851">
        <f>[5]trip_summary_region!E851</f>
        <v>44</v>
      </c>
      <c r="F851">
        <f>[5]trip_summary_region!F851</f>
        <v>0.58656463219999999</v>
      </c>
      <c r="G851">
        <f>[5]trip_summary_region!G851</f>
        <v>21.454663942</v>
      </c>
      <c r="H851">
        <f>[5]trip_summary_region!H851</f>
        <v>0.35599764119999999</v>
      </c>
      <c r="I851" t="str">
        <f>[5]trip_summary_region!I851</f>
        <v>Non-Household Travel</v>
      </c>
      <c r="J851" t="str">
        <f>[5]trip_summary_region!J851</f>
        <v>2022/23</v>
      </c>
    </row>
    <row r="852" spans="1:10" x14ac:dyDescent="0.2">
      <c r="A852" t="str">
        <f>[5]trip_summary_region!A852</f>
        <v>12 WEST COAST</v>
      </c>
      <c r="B852">
        <f>[5]trip_summary_region!B852</f>
        <v>11</v>
      </c>
      <c r="C852">
        <f>[5]trip_summary_region!C852</f>
        <v>2028</v>
      </c>
      <c r="D852">
        <f>[5]trip_summary_region!D852</f>
        <v>9</v>
      </c>
      <c r="E852">
        <f>[5]trip_summary_region!E852</f>
        <v>44</v>
      </c>
      <c r="F852">
        <f>[5]trip_summary_region!F852</f>
        <v>0.58797434469999998</v>
      </c>
      <c r="G852">
        <f>[5]trip_summary_region!G852</f>
        <v>21.168929233</v>
      </c>
      <c r="H852">
        <f>[5]trip_summary_region!H852</f>
        <v>0.35155902220000002</v>
      </c>
      <c r="I852" t="str">
        <f>[5]trip_summary_region!I852</f>
        <v>Non-Household Travel</v>
      </c>
      <c r="J852" t="str">
        <f>[5]trip_summary_region!J852</f>
        <v>2027/28</v>
      </c>
    </row>
    <row r="853" spans="1:10" x14ac:dyDescent="0.2">
      <c r="A853" t="str">
        <f>[5]trip_summary_region!A853</f>
        <v>12 WEST COAST</v>
      </c>
      <c r="B853">
        <f>[5]trip_summary_region!B853</f>
        <v>11</v>
      </c>
      <c r="C853">
        <f>[5]trip_summary_region!C853</f>
        <v>2033</v>
      </c>
      <c r="D853">
        <f>[5]trip_summary_region!D853</f>
        <v>9</v>
      </c>
      <c r="E853">
        <f>[5]trip_summary_region!E853</f>
        <v>44</v>
      </c>
      <c r="F853">
        <f>[5]trip_summary_region!F853</f>
        <v>0.57154953009999998</v>
      </c>
      <c r="G853">
        <f>[5]trip_summary_region!G853</f>
        <v>20.240568198999998</v>
      </c>
      <c r="H853">
        <f>[5]trip_summary_region!H853</f>
        <v>0.33664419579999999</v>
      </c>
      <c r="I853" t="str">
        <f>[5]trip_summary_region!I853</f>
        <v>Non-Household Travel</v>
      </c>
      <c r="J853" t="str">
        <f>[5]trip_summary_region!J853</f>
        <v>2032/33</v>
      </c>
    </row>
    <row r="854" spans="1:10" x14ac:dyDescent="0.2">
      <c r="A854" t="str">
        <f>[5]trip_summary_region!A854</f>
        <v>12 WEST COAST</v>
      </c>
      <c r="B854">
        <f>[5]trip_summary_region!B854</f>
        <v>11</v>
      </c>
      <c r="C854">
        <f>[5]trip_summary_region!C854</f>
        <v>2038</v>
      </c>
      <c r="D854">
        <f>[5]trip_summary_region!D854</f>
        <v>9</v>
      </c>
      <c r="E854">
        <f>[5]trip_summary_region!E854</f>
        <v>44</v>
      </c>
      <c r="F854">
        <f>[5]trip_summary_region!F854</f>
        <v>0.5564073665</v>
      </c>
      <c r="G854">
        <f>[5]trip_summary_region!G854</f>
        <v>19.477442439000001</v>
      </c>
      <c r="H854">
        <f>[5]trip_summary_region!H854</f>
        <v>0.3244447493</v>
      </c>
      <c r="I854" t="str">
        <f>[5]trip_summary_region!I854</f>
        <v>Non-Household Travel</v>
      </c>
      <c r="J854" t="str">
        <f>[5]trip_summary_region!J854</f>
        <v>2037/38</v>
      </c>
    </row>
    <row r="855" spans="1:10" x14ac:dyDescent="0.2">
      <c r="A855" t="str">
        <f>[5]trip_summary_region!A855</f>
        <v>12 WEST COAST</v>
      </c>
      <c r="B855">
        <f>[5]trip_summary_region!B855</f>
        <v>11</v>
      </c>
      <c r="C855">
        <f>[5]trip_summary_region!C855</f>
        <v>2043</v>
      </c>
      <c r="D855">
        <f>[5]trip_summary_region!D855</f>
        <v>9</v>
      </c>
      <c r="E855">
        <f>[5]trip_summary_region!E855</f>
        <v>44</v>
      </c>
      <c r="F855">
        <f>[5]trip_summary_region!F855</f>
        <v>0.53249769260000002</v>
      </c>
      <c r="G855">
        <f>[5]trip_summary_region!G855</f>
        <v>18.501619248000001</v>
      </c>
      <c r="H855">
        <f>[5]trip_summary_region!H855</f>
        <v>0.30874484120000001</v>
      </c>
      <c r="I855" t="str">
        <f>[5]trip_summary_region!I855</f>
        <v>Non-Household Travel</v>
      </c>
      <c r="J855" t="str">
        <f>[5]trip_summary_region!J855</f>
        <v>2042/43</v>
      </c>
    </row>
    <row r="856" spans="1:10" x14ac:dyDescent="0.2">
      <c r="A856" t="str">
        <f>[5]trip_summary_region!A856</f>
        <v>13 CANTERBURY</v>
      </c>
      <c r="B856">
        <f>[5]trip_summary_region!B856</f>
        <v>0</v>
      </c>
      <c r="C856">
        <f>[5]trip_summary_region!C856</f>
        <v>2013</v>
      </c>
      <c r="D856">
        <f>[5]trip_summary_region!D856</f>
        <v>2073</v>
      </c>
      <c r="E856">
        <f>[5]trip_summary_region!E856</f>
        <v>7645</v>
      </c>
      <c r="F856">
        <f>[5]trip_summary_region!F856</f>
        <v>131.04676542000001</v>
      </c>
      <c r="G856">
        <f>[5]trip_summary_region!G856</f>
        <v>113.37513976</v>
      </c>
      <c r="H856">
        <f>[5]trip_summary_region!H856</f>
        <v>27.07651954</v>
      </c>
      <c r="I856" t="str">
        <f>[5]trip_summary_region!I856</f>
        <v>Pedestrian</v>
      </c>
      <c r="J856" t="str">
        <f>[5]trip_summary_region!J856</f>
        <v>2012/13</v>
      </c>
    </row>
    <row r="857" spans="1:10" x14ac:dyDescent="0.2">
      <c r="A857" t="str">
        <f>[5]trip_summary_region!A857</f>
        <v>13 CANTERBURY</v>
      </c>
      <c r="B857">
        <f>[5]trip_summary_region!B857</f>
        <v>0</v>
      </c>
      <c r="C857">
        <f>[5]trip_summary_region!C857</f>
        <v>2018</v>
      </c>
      <c r="D857">
        <f>[5]trip_summary_region!D857</f>
        <v>2073</v>
      </c>
      <c r="E857">
        <f>[5]trip_summary_region!E857</f>
        <v>7645</v>
      </c>
      <c r="F857">
        <f>[5]trip_summary_region!F857</f>
        <v>139.87883887000001</v>
      </c>
      <c r="G857">
        <f>[5]trip_summary_region!G857</f>
        <v>120.90088315</v>
      </c>
      <c r="H857">
        <f>[5]trip_summary_region!H857</f>
        <v>28.722952664000001</v>
      </c>
      <c r="I857" t="str">
        <f>[5]trip_summary_region!I857</f>
        <v>Pedestrian</v>
      </c>
      <c r="J857" t="str">
        <f>[5]trip_summary_region!J857</f>
        <v>2017/18</v>
      </c>
    </row>
    <row r="858" spans="1:10" x14ac:dyDescent="0.2">
      <c r="A858" t="str">
        <f>[5]trip_summary_region!A858</f>
        <v>13 CANTERBURY</v>
      </c>
      <c r="B858">
        <f>[5]trip_summary_region!B858</f>
        <v>0</v>
      </c>
      <c r="C858">
        <f>[5]trip_summary_region!C858</f>
        <v>2023</v>
      </c>
      <c r="D858">
        <f>[5]trip_summary_region!D858</f>
        <v>2073</v>
      </c>
      <c r="E858">
        <f>[5]trip_summary_region!E858</f>
        <v>7645</v>
      </c>
      <c r="F858">
        <f>[5]trip_summary_region!F858</f>
        <v>144.34142899</v>
      </c>
      <c r="G858">
        <f>[5]trip_summary_region!G858</f>
        <v>123.88668948</v>
      </c>
      <c r="H858">
        <f>[5]trip_summary_region!H858</f>
        <v>29.375493978000002</v>
      </c>
      <c r="I858" t="str">
        <f>[5]trip_summary_region!I858</f>
        <v>Pedestrian</v>
      </c>
      <c r="J858" t="str">
        <f>[5]trip_summary_region!J858</f>
        <v>2022/23</v>
      </c>
    </row>
    <row r="859" spans="1:10" x14ac:dyDescent="0.2">
      <c r="A859" t="str">
        <f>[5]trip_summary_region!A859</f>
        <v>13 CANTERBURY</v>
      </c>
      <c r="B859">
        <f>[5]trip_summary_region!B859</f>
        <v>0</v>
      </c>
      <c r="C859">
        <f>[5]trip_summary_region!C859</f>
        <v>2028</v>
      </c>
      <c r="D859">
        <f>[5]trip_summary_region!D859</f>
        <v>2073</v>
      </c>
      <c r="E859">
        <f>[5]trip_summary_region!E859</f>
        <v>7645</v>
      </c>
      <c r="F859">
        <f>[5]trip_summary_region!F859</f>
        <v>147.76217632999999</v>
      </c>
      <c r="G859">
        <f>[5]trip_summary_region!G859</f>
        <v>126.12516033999999</v>
      </c>
      <c r="H859">
        <f>[5]trip_summary_region!H859</f>
        <v>29.805647710999999</v>
      </c>
      <c r="I859" t="str">
        <f>[5]trip_summary_region!I859</f>
        <v>Pedestrian</v>
      </c>
      <c r="J859" t="str">
        <f>[5]trip_summary_region!J859</f>
        <v>2027/28</v>
      </c>
    </row>
    <row r="860" spans="1:10" x14ac:dyDescent="0.2">
      <c r="A860" t="str">
        <f>[5]trip_summary_region!A860</f>
        <v>13 CANTERBURY</v>
      </c>
      <c r="B860">
        <f>[5]trip_summary_region!B860</f>
        <v>0</v>
      </c>
      <c r="C860">
        <f>[5]trip_summary_region!C860</f>
        <v>2033</v>
      </c>
      <c r="D860">
        <f>[5]trip_summary_region!D860</f>
        <v>2073</v>
      </c>
      <c r="E860">
        <f>[5]trip_summary_region!E860</f>
        <v>7645</v>
      </c>
      <c r="F860">
        <f>[5]trip_summary_region!F860</f>
        <v>149.1805209</v>
      </c>
      <c r="G860">
        <f>[5]trip_summary_region!G860</f>
        <v>126.63471005</v>
      </c>
      <c r="H860">
        <f>[5]trip_summary_region!H860</f>
        <v>29.891688841000001</v>
      </c>
      <c r="I860" t="str">
        <f>[5]trip_summary_region!I860</f>
        <v>Pedestrian</v>
      </c>
      <c r="J860" t="str">
        <f>[5]trip_summary_region!J860</f>
        <v>2032/33</v>
      </c>
    </row>
    <row r="861" spans="1:10" x14ac:dyDescent="0.2">
      <c r="A861" t="str">
        <f>[5]trip_summary_region!A861</f>
        <v>13 CANTERBURY</v>
      </c>
      <c r="B861">
        <f>[5]trip_summary_region!B861</f>
        <v>0</v>
      </c>
      <c r="C861">
        <f>[5]trip_summary_region!C861</f>
        <v>2038</v>
      </c>
      <c r="D861">
        <f>[5]trip_summary_region!D861</f>
        <v>2073</v>
      </c>
      <c r="E861">
        <f>[5]trip_summary_region!E861</f>
        <v>7645</v>
      </c>
      <c r="F861">
        <f>[5]trip_summary_region!F861</f>
        <v>149.59627165000001</v>
      </c>
      <c r="G861">
        <f>[5]trip_summary_region!G861</f>
        <v>126.42234645000001</v>
      </c>
      <c r="H861">
        <f>[5]trip_summary_region!H861</f>
        <v>29.746314439999999</v>
      </c>
      <c r="I861" t="str">
        <f>[5]trip_summary_region!I861</f>
        <v>Pedestrian</v>
      </c>
      <c r="J861" t="str">
        <f>[5]trip_summary_region!J861</f>
        <v>2037/38</v>
      </c>
    </row>
    <row r="862" spans="1:10" x14ac:dyDescent="0.2">
      <c r="A862" t="str">
        <f>[5]trip_summary_region!A862</f>
        <v>13 CANTERBURY</v>
      </c>
      <c r="B862">
        <f>[5]trip_summary_region!B862</f>
        <v>0</v>
      </c>
      <c r="C862">
        <f>[5]trip_summary_region!C862</f>
        <v>2043</v>
      </c>
      <c r="D862">
        <f>[5]trip_summary_region!D862</f>
        <v>2073</v>
      </c>
      <c r="E862">
        <f>[5]trip_summary_region!E862</f>
        <v>7645</v>
      </c>
      <c r="F862">
        <f>[5]trip_summary_region!F862</f>
        <v>149.49706968999999</v>
      </c>
      <c r="G862">
        <f>[5]trip_summary_region!G862</f>
        <v>125.82369511</v>
      </c>
      <c r="H862">
        <f>[5]trip_summary_region!H862</f>
        <v>29.517255713000001</v>
      </c>
      <c r="I862" t="str">
        <f>[5]trip_summary_region!I862</f>
        <v>Pedestrian</v>
      </c>
      <c r="J862" t="str">
        <f>[5]trip_summary_region!J862</f>
        <v>2042/43</v>
      </c>
    </row>
    <row r="863" spans="1:10" x14ac:dyDescent="0.2">
      <c r="A863" t="str">
        <f>[5]trip_summary_region!A863</f>
        <v>13 CANTERBURY</v>
      </c>
      <c r="B863">
        <f>[5]trip_summary_region!B863</f>
        <v>1</v>
      </c>
      <c r="C863">
        <f>[5]trip_summary_region!C863</f>
        <v>2013</v>
      </c>
      <c r="D863">
        <f>[5]trip_summary_region!D863</f>
        <v>335</v>
      </c>
      <c r="E863">
        <f>[5]trip_summary_region!E863</f>
        <v>1282</v>
      </c>
      <c r="F863">
        <f>[5]trip_summary_region!F863</f>
        <v>23.740018446000001</v>
      </c>
      <c r="G863">
        <f>[5]trip_summary_region!G863</f>
        <v>97.023488555</v>
      </c>
      <c r="H863">
        <f>[5]trip_summary_region!H863</f>
        <v>7.2445897615000003</v>
      </c>
      <c r="I863" t="str">
        <f>[5]trip_summary_region!I863</f>
        <v>Cyclist</v>
      </c>
      <c r="J863" t="str">
        <f>[5]trip_summary_region!J863</f>
        <v>2012/13</v>
      </c>
    </row>
    <row r="864" spans="1:10" x14ac:dyDescent="0.2">
      <c r="A864" t="str">
        <f>[5]trip_summary_region!A864</f>
        <v>13 CANTERBURY</v>
      </c>
      <c r="B864">
        <f>[5]trip_summary_region!B864</f>
        <v>1</v>
      </c>
      <c r="C864">
        <f>[5]trip_summary_region!C864</f>
        <v>2018</v>
      </c>
      <c r="D864">
        <f>[5]trip_summary_region!D864</f>
        <v>335</v>
      </c>
      <c r="E864">
        <f>[5]trip_summary_region!E864</f>
        <v>1282</v>
      </c>
      <c r="F864">
        <f>[5]trip_summary_region!F864</f>
        <v>25.893010024999999</v>
      </c>
      <c r="G864">
        <f>[5]trip_summary_region!G864</f>
        <v>108.33572852</v>
      </c>
      <c r="H864">
        <f>[5]trip_summary_region!H864</f>
        <v>7.9757249116000004</v>
      </c>
      <c r="I864" t="str">
        <f>[5]trip_summary_region!I864</f>
        <v>Cyclist</v>
      </c>
      <c r="J864" t="str">
        <f>[5]trip_summary_region!J864</f>
        <v>2017/18</v>
      </c>
    </row>
    <row r="865" spans="1:10" x14ac:dyDescent="0.2">
      <c r="A865" t="str">
        <f>[5]trip_summary_region!A865</f>
        <v>13 CANTERBURY</v>
      </c>
      <c r="B865">
        <f>[5]trip_summary_region!B865</f>
        <v>1</v>
      </c>
      <c r="C865">
        <f>[5]trip_summary_region!C865</f>
        <v>2023</v>
      </c>
      <c r="D865">
        <f>[5]trip_summary_region!D865</f>
        <v>335</v>
      </c>
      <c r="E865">
        <f>[5]trip_summary_region!E865</f>
        <v>1282</v>
      </c>
      <c r="F865">
        <f>[5]trip_summary_region!F865</f>
        <v>26.289217967999999</v>
      </c>
      <c r="G865">
        <f>[5]trip_summary_region!G865</f>
        <v>112.15091734000001</v>
      </c>
      <c r="H865">
        <f>[5]trip_summary_region!H865</f>
        <v>8.1824398347000002</v>
      </c>
      <c r="I865" t="str">
        <f>[5]trip_summary_region!I865</f>
        <v>Cyclist</v>
      </c>
      <c r="J865" t="str">
        <f>[5]trip_summary_region!J865</f>
        <v>2022/23</v>
      </c>
    </row>
    <row r="866" spans="1:10" x14ac:dyDescent="0.2">
      <c r="A866" t="str">
        <f>[5]trip_summary_region!A866</f>
        <v>13 CANTERBURY</v>
      </c>
      <c r="B866">
        <f>[5]trip_summary_region!B866</f>
        <v>1</v>
      </c>
      <c r="C866">
        <f>[5]trip_summary_region!C866</f>
        <v>2028</v>
      </c>
      <c r="D866">
        <f>[5]trip_summary_region!D866</f>
        <v>335</v>
      </c>
      <c r="E866">
        <f>[5]trip_summary_region!E866</f>
        <v>1282</v>
      </c>
      <c r="F866">
        <f>[5]trip_summary_region!F866</f>
        <v>26.408966382999999</v>
      </c>
      <c r="G866">
        <f>[5]trip_summary_region!G866</f>
        <v>114.19660073</v>
      </c>
      <c r="H866">
        <f>[5]trip_summary_region!H866</f>
        <v>8.2744581967999995</v>
      </c>
      <c r="I866" t="str">
        <f>[5]trip_summary_region!I866</f>
        <v>Cyclist</v>
      </c>
      <c r="J866" t="str">
        <f>[5]trip_summary_region!J866</f>
        <v>2027/28</v>
      </c>
    </row>
    <row r="867" spans="1:10" x14ac:dyDescent="0.2">
      <c r="A867" t="str">
        <f>[5]trip_summary_region!A867</f>
        <v>13 CANTERBURY</v>
      </c>
      <c r="B867">
        <f>[5]trip_summary_region!B867</f>
        <v>1</v>
      </c>
      <c r="C867">
        <f>[5]trip_summary_region!C867</f>
        <v>2033</v>
      </c>
      <c r="D867">
        <f>[5]trip_summary_region!D867</f>
        <v>335</v>
      </c>
      <c r="E867">
        <f>[5]trip_summary_region!E867</f>
        <v>1282</v>
      </c>
      <c r="F867">
        <f>[5]trip_summary_region!F867</f>
        <v>26.601595309</v>
      </c>
      <c r="G867">
        <f>[5]trip_summary_region!G867</f>
        <v>117.52236007</v>
      </c>
      <c r="H867">
        <f>[5]trip_summary_region!H867</f>
        <v>8.4252212441999994</v>
      </c>
      <c r="I867" t="str">
        <f>[5]trip_summary_region!I867</f>
        <v>Cyclist</v>
      </c>
      <c r="J867" t="str">
        <f>[5]trip_summary_region!J867</f>
        <v>2032/33</v>
      </c>
    </row>
    <row r="868" spans="1:10" x14ac:dyDescent="0.2">
      <c r="A868" t="str">
        <f>[5]trip_summary_region!A868</f>
        <v>13 CANTERBURY</v>
      </c>
      <c r="B868">
        <f>[5]trip_summary_region!B868</f>
        <v>1</v>
      </c>
      <c r="C868">
        <f>[5]trip_summary_region!C868</f>
        <v>2038</v>
      </c>
      <c r="D868">
        <f>[5]trip_summary_region!D868</f>
        <v>335</v>
      </c>
      <c r="E868">
        <f>[5]trip_summary_region!E868</f>
        <v>1282</v>
      </c>
      <c r="F868">
        <f>[5]trip_summary_region!F868</f>
        <v>26.631394848999999</v>
      </c>
      <c r="G868">
        <f>[5]trip_summary_region!G868</f>
        <v>122.09460375</v>
      </c>
      <c r="H868">
        <f>[5]trip_summary_region!H868</f>
        <v>8.6139585383000004</v>
      </c>
      <c r="I868" t="str">
        <f>[5]trip_summary_region!I868</f>
        <v>Cyclist</v>
      </c>
      <c r="J868" t="str">
        <f>[5]trip_summary_region!J868</f>
        <v>2037/38</v>
      </c>
    </row>
    <row r="869" spans="1:10" x14ac:dyDescent="0.2">
      <c r="A869" t="str">
        <f>[5]trip_summary_region!A869</f>
        <v>13 CANTERBURY</v>
      </c>
      <c r="B869">
        <f>[5]trip_summary_region!B869</f>
        <v>1</v>
      </c>
      <c r="C869">
        <f>[5]trip_summary_region!C869</f>
        <v>2043</v>
      </c>
      <c r="D869">
        <f>[5]trip_summary_region!D869</f>
        <v>335</v>
      </c>
      <c r="E869">
        <f>[5]trip_summary_region!E869</f>
        <v>1282</v>
      </c>
      <c r="F869">
        <f>[5]trip_summary_region!F869</f>
        <v>26.676731629999999</v>
      </c>
      <c r="G869">
        <f>[5]trip_summary_region!G869</f>
        <v>126.94707174</v>
      </c>
      <c r="H869">
        <f>[5]trip_summary_region!H869</f>
        <v>8.8166575806999994</v>
      </c>
      <c r="I869" t="str">
        <f>[5]trip_summary_region!I869</f>
        <v>Cyclist</v>
      </c>
      <c r="J869" t="str">
        <f>[5]trip_summary_region!J869</f>
        <v>2042/43</v>
      </c>
    </row>
    <row r="870" spans="1:10" x14ac:dyDescent="0.2">
      <c r="A870" t="str">
        <f>[5]trip_summary_region!A870</f>
        <v>13 CANTERBURY</v>
      </c>
      <c r="B870">
        <f>[5]trip_summary_region!B870</f>
        <v>2</v>
      </c>
      <c r="C870">
        <f>[5]trip_summary_region!C870</f>
        <v>2013</v>
      </c>
      <c r="D870">
        <f>[5]trip_summary_region!D870</f>
        <v>3326</v>
      </c>
      <c r="E870">
        <f>[5]trip_summary_region!E870</f>
        <v>23816</v>
      </c>
      <c r="F870">
        <f>[5]trip_summary_region!F870</f>
        <v>417.41567177000002</v>
      </c>
      <c r="G870">
        <f>[5]trip_summary_region!G870</f>
        <v>3777.041205</v>
      </c>
      <c r="H870">
        <f>[5]trip_summary_region!H870</f>
        <v>111.06814274</v>
      </c>
      <c r="I870" t="str">
        <f>[5]trip_summary_region!I870</f>
        <v>Light Vehicle Driver</v>
      </c>
      <c r="J870" t="str">
        <f>[5]trip_summary_region!J870</f>
        <v>2012/13</v>
      </c>
    </row>
    <row r="871" spans="1:10" x14ac:dyDescent="0.2">
      <c r="A871" t="str">
        <f>[5]trip_summary_region!A871</f>
        <v>13 CANTERBURY</v>
      </c>
      <c r="B871">
        <f>[5]trip_summary_region!B871</f>
        <v>2</v>
      </c>
      <c r="C871">
        <f>[5]trip_summary_region!C871</f>
        <v>2018</v>
      </c>
      <c r="D871">
        <f>[5]trip_summary_region!D871</f>
        <v>3326</v>
      </c>
      <c r="E871">
        <f>[5]trip_summary_region!E871</f>
        <v>23816</v>
      </c>
      <c r="F871">
        <f>[5]trip_summary_region!F871</f>
        <v>463.87602475</v>
      </c>
      <c r="G871">
        <f>[5]trip_summary_region!G871</f>
        <v>4247.5570102000001</v>
      </c>
      <c r="H871">
        <f>[5]trip_summary_region!H871</f>
        <v>124.60290858</v>
      </c>
      <c r="I871" t="str">
        <f>[5]trip_summary_region!I871</f>
        <v>Light Vehicle Driver</v>
      </c>
      <c r="J871" t="str">
        <f>[5]trip_summary_region!J871</f>
        <v>2017/18</v>
      </c>
    </row>
    <row r="872" spans="1:10" x14ac:dyDescent="0.2">
      <c r="A872" t="str">
        <f>[5]trip_summary_region!A872</f>
        <v>13 CANTERBURY</v>
      </c>
      <c r="B872">
        <f>[5]trip_summary_region!B872</f>
        <v>2</v>
      </c>
      <c r="C872">
        <f>[5]trip_summary_region!C872</f>
        <v>2023</v>
      </c>
      <c r="D872">
        <f>[5]trip_summary_region!D872</f>
        <v>3326</v>
      </c>
      <c r="E872">
        <f>[5]trip_summary_region!E872</f>
        <v>23816</v>
      </c>
      <c r="F872">
        <f>[5]trip_summary_region!F872</f>
        <v>490.26518828000002</v>
      </c>
      <c r="G872">
        <f>[5]trip_summary_region!G872</f>
        <v>4502.1845037000003</v>
      </c>
      <c r="H872">
        <f>[5]trip_summary_region!H872</f>
        <v>132.0495013</v>
      </c>
      <c r="I872" t="str">
        <f>[5]trip_summary_region!I872</f>
        <v>Light Vehicle Driver</v>
      </c>
      <c r="J872" t="str">
        <f>[5]trip_summary_region!J872</f>
        <v>2022/23</v>
      </c>
    </row>
    <row r="873" spans="1:10" x14ac:dyDescent="0.2">
      <c r="A873" t="str">
        <f>[5]trip_summary_region!A873</f>
        <v>13 CANTERBURY</v>
      </c>
      <c r="B873">
        <f>[5]trip_summary_region!B873</f>
        <v>2</v>
      </c>
      <c r="C873">
        <f>[5]trip_summary_region!C873</f>
        <v>2028</v>
      </c>
      <c r="D873">
        <f>[5]trip_summary_region!D873</f>
        <v>3326</v>
      </c>
      <c r="E873">
        <f>[5]trip_summary_region!E873</f>
        <v>23816</v>
      </c>
      <c r="F873">
        <f>[5]trip_summary_region!F873</f>
        <v>520.08521201999997</v>
      </c>
      <c r="G873">
        <f>[5]trip_summary_region!G873</f>
        <v>4782.0868641999996</v>
      </c>
      <c r="H873">
        <f>[5]trip_summary_region!H873</f>
        <v>140.11419665</v>
      </c>
      <c r="I873" t="str">
        <f>[5]trip_summary_region!I873</f>
        <v>Light Vehicle Driver</v>
      </c>
      <c r="J873" t="str">
        <f>[5]trip_summary_region!J873</f>
        <v>2027/28</v>
      </c>
    </row>
    <row r="874" spans="1:10" x14ac:dyDescent="0.2">
      <c r="A874" t="str">
        <f>[5]trip_summary_region!A874</f>
        <v>13 CANTERBURY</v>
      </c>
      <c r="B874">
        <f>[5]trip_summary_region!B874</f>
        <v>2</v>
      </c>
      <c r="C874">
        <f>[5]trip_summary_region!C874</f>
        <v>2033</v>
      </c>
      <c r="D874">
        <f>[5]trip_summary_region!D874</f>
        <v>3326</v>
      </c>
      <c r="E874">
        <f>[5]trip_summary_region!E874</f>
        <v>23816</v>
      </c>
      <c r="F874">
        <f>[5]trip_summary_region!F874</f>
        <v>547.62313423000001</v>
      </c>
      <c r="G874">
        <f>[5]trip_summary_region!G874</f>
        <v>5046.7851957000003</v>
      </c>
      <c r="H874">
        <f>[5]trip_summary_region!H874</f>
        <v>147.73481681999999</v>
      </c>
      <c r="I874" t="str">
        <f>[5]trip_summary_region!I874</f>
        <v>Light Vehicle Driver</v>
      </c>
      <c r="J874" t="str">
        <f>[5]trip_summary_region!J874</f>
        <v>2032/33</v>
      </c>
    </row>
    <row r="875" spans="1:10" x14ac:dyDescent="0.2">
      <c r="A875" t="str">
        <f>[5]trip_summary_region!A875</f>
        <v>13 CANTERBURY</v>
      </c>
      <c r="B875">
        <f>[5]trip_summary_region!B875</f>
        <v>2</v>
      </c>
      <c r="C875">
        <f>[5]trip_summary_region!C875</f>
        <v>2038</v>
      </c>
      <c r="D875">
        <f>[5]trip_summary_region!D875</f>
        <v>3326</v>
      </c>
      <c r="E875">
        <f>[5]trip_summary_region!E875</f>
        <v>23816</v>
      </c>
      <c r="F875">
        <f>[5]trip_summary_region!F875</f>
        <v>567.95692213999996</v>
      </c>
      <c r="G875">
        <f>[5]trip_summary_region!G875</f>
        <v>5250.0981497000002</v>
      </c>
      <c r="H875">
        <f>[5]trip_summary_region!H875</f>
        <v>153.58575782</v>
      </c>
      <c r="I875" t="str">
        <f>[5]trip_summary_region!I875</f>
        <v>Light Vehicle Driver</v>
      </c>
      <c r="J875" t="str">
        <f>[5]trip_summary_region!J875</f>
        <v>2037/38</v>
      </c>
    </row>
    <row r="876" spans="1:10" x14ac:dyDescent="0.2">
      <c r="A876" t="str">
        <f>[5]trip_summary_region!A876</f>
        <v>13 CANTERBURY</v>
      </c>
      <c r="B876">
        <f>[5]trip_summary_region!B876</f>
        <v>2</v>
      </c>
      <c r="C876">
        <f>[5]trip_summary_region!C876</f>
        <v>2043</v>
      </c>
      <c r="D876">
        <f>[5]trip_summary_region!D876</f>
        <v>3326</v>
      </c>
      <c r="E876">
        <f>[5]trip_summary_region!E876</f>
        <v>23816</v>
      </c>
      <c r="F876">
        <f>[5]trip_summary_region!F876</f>
        <v>585.82226996999998</v>
      </c>
      <c r="G876">
        <f>[5]trip_summary_region!G876</f>
        <v>5432.0835245999997</v>
      </c>
      <c r="H876">
        <f>[5]trip_summary_region!H876</f>
        <v>158.82527343000001</v>
      </c>
      <c r="I876" t="str">
        <f>[5]trip_summary_region!I876</f>
        <v>Light Vehicle Driver</v>
      </c>
      <c r="J876" t="str">
        <f>[5]trip_summary_region!J876</f>
        <v>2042/43</v>
      </c>
    </row>
    <row r="877" spans="1:10" x14ac:dyDescent="0.2">
      <c r="A877" t="str">
        <f>[5]trip_summary_region!A877</f>
        <v>13 CANTERBURY</v>
      </c>
      <c r="B877">
        <f>[5]trip_summary_region!B877</f>
        <v>3</v>
      </c>
      <c r="C877">
        <f>[5]trip_summary_region!C877</f>
        <v>2013</v>
      </c>
      <c r="D877">
        <f>[5]trip_summary_region!D877</f>
        <v>2416</v>
      </c>
      <c r="E877">
        <f>[5]trip_summary_region!E877</f>
        <v>11025</v>
      </c>
      <c r="F877">
        <f>[5]trip_summary_region!F877</f>
        <v>189.77500577999999</v>
      </c>
      <c r="G877">
        <f>[5]trip_summary_region!G877</f>
        <v>2033.7115475000001</v>
      </c>
      <c r="H877">
        <f>[5]trip_summary_region!H877</f>
        <v>53.544276449999998</v>
      </c>
      <c r="I877" t="str">
        <f>[5]trip_summary_region!I877</f>
        <v>Light Vehicle Passenger</v>
      </c>
      <c r="J877" t="str">
        <f>[5]trip_summary_region!J877</f>
        <v>2012/13</v>
      </c>
    </row>
    <row r="878" spans="1:10" x14ac:dyDescent="0.2">
      <c r="A878" t="str">
        <f>[5]trip_summary_region!A878</f>
        <v>13 CANTERBURY</v>
      </c>
      <c r="B878">
        <f>[5]trip_summary_region!B878</f>
        <v>3</v>
      </c>
      <c r="C878">
        <f>[5]trip_summary_region!C878</f>
        <v>2018</v>
      </c>
      <c r="D878">
        <f>[5]trip_summary_region!D878</f>
        <v>2416</v>
      </c>
      <c r="E878">
        <f>[5]trip_summary_region!E878</f>
        <v>11025</v>
      </c>
      <c r="F878">
        <f>[5]trip_summary_region!F878</f>
        <v>199.97188070999999</v>
      </c>
      <c r="G878">
        <f>[5]trip_summary_region!G878</f>
        <v>2174.6305008999998</v>
      </c>
      <c r="H878">
        <f>[5]trip_summary_region!H878</f>
        <v>56.929317509000001</v>
      </c>
      <c r="I878" t="str">
        <f>[5]trip_summary_region!I878</f>
        <v>Light Vehicle Passenger</v>
      </c>
      <c r="J878" t="str">
        <f>[5]trip_summary_region!J878</f>
        <v>2017/18</v>
      </c>
    </row>
    <row r="879" spans="1:10" x14ac:dyDescent="0.2">
      <c r="A879" t="str">
        <f>[5]trip_summary_region!A879</f>
        <v>13 CANTERBURY</v>
      </c>
      <c r="B879">
        <f>[5]trip_summary_region!B879</f>
        <v>3</v>
      </c>
      <c r="C879">
        <f>[5]trip_summary_region!C879</f>
        <v>2023</v>
      </c>
      <c r="D879">
        <f>[5]trip_summary_region!D879</f>
        <v>2416</v>
      </c>
      <c r="E879">
        <f>[5]trip_summary_region!E879</f>
        <v>11025</v>
      </c>
      <c r="F879">
        <f>[5]trip_summary_region!F879</f>
        <v>204.73643799000001</v>
      </c>
      <c r="G879">
        <f>[5]trip_summary_region!G879</f>
        <v>2249.6574615999998</v>
      </c>
      <c r="H879">
        <f>[5]trip_summary_region!H879</f>
        <v>58.623139684000002</v>
      </c>
      <c r="I879" t="str">
        <f>[5]trip_summary_region!I879</f>
        <v>Light Vehicle Passenger</v>
      </c>
      <c r="J879" t="str">
        <f>[5]trip_summary_region!J879</f>
        <v>2022/23</v>
      </c>
    </row>
    <row r="880" spans="1:10" x14ac:dyDescent="0.2">
      <c r="A880" t="str">
        <f>[5]trip_summary_region!A880</f>
        <v>13 CANTERBURY</v>
      </c>
      <c r="B880">
        <f>[5]trip_summary_region!B880</f>
        <v>3</v>
      </c>
      <c r="C880">
        <f>[5]trip_summary_region!C880</f>
        <v>2028</v>
      </c>
      <c r="D880">
        <f>[5]trip_summary_region!D880</f>
        <v>2416</v>
      </c>
      <c r="E880">
        <f>[5]trip_summary_region!E880</f>
        <v>11025</v>
      </c>
      <c r="F880">
        <f>[5]trip_summary_region!F880</f>
        <v>210.70979213000001</v>
      </c>
      <c r="G880">
        <f>[5]trip_summary_region!G880</f>
        <v>2348.2215443999999</v>
      </c>
      <c r="H880">
        <f>[5]trip_summary_region!H880</f>
        <v>60.732847790000001</v>
      </c>
      <c r="I880" t="str">
        <f>[5]trip_summary_region!I880</f>
        <v>Light Vehicle Passenger</v>
      </c>
      <c r="J880" t="str">
        <f>[5]trip_summary_region!J880</f>
        <v>2027/28</v>
      </c>
    </row>
    <row r="881" spans="1:10" x14ac:dyDescent="0.2">
      <c r="A881" t="str">
        <f>[5]trip_summary_region!A881</f>
        <v>13 CANTERBURY</v>
      </c>
      <c r="B881">
        <f>[5]trip_summary_region!B881</f>
        <v>3</v>
      </c>
      <c r="C881">
        <f>[5]trip_summary_region!C881</f>
        <v>2033</v>
      </c>
      <c r="D881">
        <f>[5]trip_summary_region!D881</f>
        <v>2416</v>
      </c>
      <c r="E881">
        <f>[5]trip_summary_region!E881</f>
        <v>11025</v>
      </c>
      <c r="F881">
        <f>[5]trip_summary_region!F881</f>
        <v>215.77018469000001</v>
      </c>
      <c r="G881">
        <f>[5]trip_summary_region!G881</f>
        <v>2434.5643005000002</v>
      </c>
      <c r="H881">
        <f>[5]trip_summary_region!H881</f>
        <v>62.559946758000002</v>
      </c>
      <c r="I881" t="str">
        <f>[5]trip_summary_region!I881</f>
        <v>Light Vehicle Passenger</v>
      </c>
      <c r="J881" t="str">
        <f>[5]trip_summary_region!J881</f>
        <v>2032/33</v>
      </c>
    </row>
    <row r="882" spans="1:10" x14ac:dyDescent="0.2">
      <c r="A882" t="str">
        <f>[5]trip_summary_region!A882</f>
        <v>13 CANTERBURY</v>
      </c>
      <c r="B882">
        <f>[5]trip_summary_region!B882</f>
        <v>3</v>
      </c>
      <c r="C882">
        <f>[5]trip_summary_region!C882</f>
        <v>2038</v>
      </c>
      <c r="D882">
        <f>[5]trip_summary_region!D882</f>
        <v>2416</v>
      </c>
      <c r="E882">
        <f>[5]trip_summary_region!E882</f>
        <v>11025</v>
      </c>
      <c r="F882">
        <f>[5]trip_summary_region!F882</f>
        <v>220.02265514000001</v>
      </c>
      <c r="G882">
        <f>[5]trip_summary_region!G882</f>
        <v>2507.9346903999999</v>
      </c>
      <c r="H882">
        <f>[5]trip_summary_region!H882</f>
        <v>64.142092293999994</v>
      </c>
      <c r="I882" t="str">
        <f>[5]trip_summary_region!I882</f>
        <v>Light Vehicle Passenger</v>
      </c>
      <c r="J882" t="str">
        <f>[5]trip_summary_region!J882</f>
        <v>2037/38</v>
      </c>
    </row>
    <row r="883" spans="1:10" x14ac:dyDescent="0.2">
      <c r="A883" t="str">
        <f>[5]trip_summary_region!A883</f>
        <v>13 CANTERBURY</v>
      </c>
      <c r="B883">
        <f>[5]trip_summary_region!B883</f>
        <v>3</v>
      </c>
      <c r="C883">
        <f>[5]trip_summary_region!C883</f>
        <v>2043</v>
      </c>
      <c r="D883">
        <f>[5]trip_summary_region!D883</f>
        <v>2416</v>
      </c>
      <c r="E883">
        <f>[5]trip_summary_region!E883</f>
        <v>11025</v>
      </c>
      <c r="F883">
        <f>[5]trip_summary_region!F883</f>
        <v>223.07418838000001</v>
      </c>
      <c r="G883">
        <f>[5]trip_summary_region!G883</f>
        <v>2568.6781685999999</v>
      </c>
      <c r="H883">
        <f>[5]trip_summary_region!H883</f>
        <v>65.400568852000006</v>
      </c>
      <c r="I883" t="str">
        <f>[5]trip_summary_region!I883</f>
        <v>Light Vehicle Passenger</v>
      </c>
      <c r="J883" t="str">
        <f>[5]trip_summary_region!J883</f>
        <v>2042/43</v>
      </c>
    </row>
    <row r="884" spans="1:10" x14ac:dyDescent="0.2">
      <c r="A884" t="str">
        <f>[5]trip_summary_region!A884</f>
        <v>13 CANTERBURY</v>
      </c>
      <c r="B884">
        <f>[5]trip_summary_region!B884</f>
        <v>4</v>
      </c>
      <c r="C884">
        <f>[5]trip_summary_region!C884</f>
        <v>2013</v>
      </c>
      <c r="D884">
        <f>[5]trip_summary_region!D884</f>
        <v>68</v>
      </c>
      <c r="E884">
        <f>[5]trip_summary_region!E884</f>
        <v>116</v>
      </c>
      <c r="F884">
        <f>[5]trip_summary_region!F884</f>
        <v>2.2446435044999999</v>
      </c>
      <c r="G884">
        <f>[5]trip_summary_region!G884</f>
        <v>16.530142167000001</v>
      </c>
      <c r="H884">
        <f>[5]trip_summary_region!H884</f>
        <v>0.86554787379999998</v>
      </c>
      <c r="I884" t="s">
        <v>116</v>
      </c>
      <c r="J884" t="str">
        <f>[5]trip_summary_region!J884</f>
        <v>2012/13</v>
      </c>
    </row>
    <row r="885" spans="1:10" x14ac:dyDescent="0.2">
      <c r="A885" t="str">
        <f>[5]trip_summary_region!A885</f>
        <v>13 CANTERBURY</v>
      </c>
      <c r="B885">
        <f>[5]trip_summary_region!B885</f>
        <v>4</v>
      </c>
      <c r="C885">
        <f>[5]trip_summary_region!C885</f>
        <v>2018</v>
      </c>
      <c r="D885">
        <f>[5]trip_summary_region!D885</f>
        <v>68</v>
      </c>
      <c r="E885">
        <f>[5]trip_summary_region!E885</f>
        <v>116</v>
      </c>
      <c r="F885">
        <f>[5]trip_summary_region!F885</f>
        <v>2.4949027935000001</v>
      </c>
      <c r="G885">
        <f>[5]trip_summary_region!G885</f>
        <v>19.080411046999998</v>
      </c>
      <c r="H885">
        <f>[5]trip_summary_region!H885</f>
        <v>0.97081330389999998</v>
      </c>
      <c r="I885" t="s">
        <v>116</v>
      </c>
      <c r="J885" t="str">
        <f>[5]trip_summary_region!J885</f>
        <v>2017/18</v>
      </c>
    </row>
    <row r="886" spans="1:10" x14ac:dyDescent="0.2">
      <c r="A886" t="str">
        <f>[5]trip_summary_region!A886</f>
        <v>13 CANTERBURY</v>
      </c>
      <c r="B886">
        <f>[5]trip_summary_region!B886</f>
        <v>4</v>
      </c>
      <c r="C886">
        <f>[5]trip_summary_region!C886</f>
        <v>2023</v>
      </c>
      <c r="D886">
        <f>[5]trip_summary_region!D886</f>
        <v>68</v>
      </c>
      <c r="E886">
        <f>[5]trip_summary_region!E886</f>
        <v>116</v>
      </c>
      <c r="F886">
        <f>[5]trip_summary_region!F886</f>
        <v>2.6358787548999998</v>
      </c>
      <c r="G886">
        <f>[5]trip_summary_region!G886</f>
        <v>20.558174311999998</v>
      </c>
      <c r="H886">
        <f>[5]trip_summary_region!H886</f>
        <v>1.0294593657</v>
      </c>
      <c r="I886" t="s">
        <v>116</v>
      </c>
      <c r="J886" t="str">
        <f>[5]trip_summary_region!J886</f>
        <v>2022/23</v>
      </c>
    </row>
    <row r="887" spans="1:10" x14ac:dyDescent="0.2">
      <c r="A887" t="str">
        <f>[5]trip_summary_region!A887</f>
        <v>13 CANTERBURY</v>
      </c>
      <c r="B887">
        <f>[5]trip_summary_region!B887</f>
        <v>4</v>
      </c>
      <c r="C887">
        <f>[5]trip_summary_region!C887</f>
        <v>2028</v>
      </c>
      <c r="D887">
        <f>[5]trip_summary_region!D887</f>
        <v>68</v>
      </c>
      <c r="E887">
        <f>[5]trip_summary_region!E887</f>
        <v>116</v>
      </c>
      <c r="F887">
        <f>[5]trip_summary_region!F887</f>
        <v>2.7424498902000001</v>
      </c>
      <c r="G887">
        <f>[5]trip_summary_region!G887</f>
        <v>21.589462450999999</v>
      </c>
      <c r="H887">
        <f>[5]trip_summary_region!H887</f>
        <v>1.0791544012000001</v>
      </c>
      <c r="I887" t="s">
        <v>116</v>
      </c>
      <c r="J887" t="str">
        <f>[5]trip_summary_region!J887</f>
        <v>2027/28</v>
      </c>
    </row>
    <row r="888" spans="1:10" x14ac:dyDescent="0.2">
      <c r="A888" t="str">
        <f>[5]trip_summary_region!A888</f>
        <v>13 CANTERBURY</v>
      </c>
      <c r="B888">
        <f>[5]trip_summary_region!B888</f>
        <v>4</v>
      </c>
      <c r="C888">
        <f>[5]trip_summary_region!C888</f>
        <v>2033</v>
      </c>
      <c r="D888">
        <f>[5]trip_summary_region!D888</f>
        <v>68</v>
      </c>
      <c r="E888">
        <f>[5]trip_summary_region!E888</f>
        <v>116</v>
      </c>
      <c r="F888">
        <f>[5]trip_summary_region!F888</f>
        <v>2.8434977047999999</v>
      </c>
      <c r="G888">
        <f>[5]trip_summary_region!G888</f>
        <v>22.639840482</v>
      </c>
      <c r="H888">
        <f>[5]trip_summary_region!H888</f>
        <v>1.1309471314999999</v>
      </c>
      <c r="I888" t="s">
        <v>116</v>
      </c>
      <c r="J888" t="str">
        <f>[5]trip_summary_region!J888</f>
        <v>2032/33</v>
      </c>
    </row>
    <row r="889" spans="1:10" x14ac:dyDescent="0.2">
      <c r="A889" t="str">
        <f>[5]trip_summary_region!A889</f>
        <v>13 CANTERBURY</v>
      </c>
      <c r="B889">
        <f>[5]trip_summary_region!B889</f>
        <v>4</v>
      </c>
      <c r="C889">
        <f>[5]trip_summary_region!C889</f>
        <v>2038</v>
      </c>
      <c r="D889">
        <f>[5]trip_summary_region!D889</f>
        <v>68</v>
      </c>
      <c r="E889">
        <f>[5]trip_summary_region!E889</f>
        <v>116</v>
      </c>
      <c r="F889">
        <f>[5]trip_summary_region!F889</f>
        <v>2.8866748267000002</v>
      </c>
      <c r="G889">
        <f>[5]trip_summary_region!G889</f>
        <v>23.394996935000002</v>
      </c>
      <c r="H889">
        <f>[5]trip_summary_region!H889</f>
        <v>1.1529576387</v>
      </c>
      <c r="I889" t="s">
        <v>116</v>
      </c>
      <c r="J889" t="str">
        <f>[5]trip_summary_region!J889</f>
        <v>2037/38</v>
      </c>
    </row>
    <row r="890" spans="1:10" x14ac:dyDescent="0.2">
      <c r="A890" t="str">
        <f>[5]trip_summary_region!A890</f>
        <v>13 CANTERBURY</v>
      </c>
      <c r="B890">
        <f>[5]trip_summary_region!B890</f>
        <v>4</v>
      </c>
      <c r="C890">
        <f>[5]trip_summary_region!C890</f>
        <v>2043</v>
      </c>
      <c r="D890">
        <f>[5]trip_summary_region!D890</f>
        <v>68</v>
      </c>
      <c r="E890">
        <f>[5]trip_summary_region!E890</f>
        <v>116</v>
      </c>
      <c r="F890">
        <f>[5]trip_summary_region!F890</f>
        <v>2.9105754959999999</v>
      </c>
      <c r="G890">
        <f>[5]trip_summary_region!G890</f>
        <v>24.018800018</v>
      </c>
      <c r="H890">
        <f>[5]trip_summary_region!H890</f>
        <v>1.1626688432000001</v>
      </c>
      <c r="I890" t="s">
        <v>116</v>
      </c>
      <c r="J890" t="str">
        <f>[5]trip_summary_region!J890</f>
        <v>2042/43</v>
      </c>
    </row>
    <row r="891" spans="1:10" x14ac:dyDescent="0.2">
      <c r="A891" t="str">
        <f>[5]trip_summary_region!A891</f>
        <v>13 CANTERBURY</v>
      </c>
      <c r="B891">
        <f>[5]trip_summary_region!B891</f>
        <v>5</v>
      </c>
      <c r="C891">
        <f>[5]trip_summary_region!C891</f>
        <v>2013</v>
      </c>
      <c r="D891">
        <f>[5]trip_summary_region!D891</f>
        <v>29</v>
      </c>
      <c r="E891">
        <f>[5]trip_summary_region!E891</f>
        <v>91</v>
      </c>
      <c r="F891">
        <f>[5]trip_summary_region!F891</f>
        <v>1.4451657518000001</v>
      </c>
      <c r="G891">
        <f>[5]trip_summary_region!G891</f>
        <v>12.048552727000001</v>
      </c>
      <c r="H891">
        <f>[5]trip_summary_region!H891</f>
        <v>0.39288238580000001</v>
      </c>
      <c r="I891" t="str">
        <f>[5]trip_summary_region!I891</f>
        <v>Motorcyclist</v>
      </c>
      <c r="J891" t="str">
        <f>[5]trip_summary_region!J891</f>
        <v>2012/13</v>
      </c>
    </row>
    <row r="892" spans="1:10" x14ac:dyDescent="0.2">
      <c r="A892" t="str">
        <f>[5]trip_summary_region!A892</f>
        <v>13 CANTERBURY</v>
      </c>
      <c r="B892">
        <f>[5]trip_summary_region!B892</f>
        <v>5</v>
      </c>
      <c r="C892">
        <f>[5]trip_summary_region!C892</f>
        <v>2018</v>
      </c>
      <c r="D892">
        <f>[5]trip_summary_region!D892</f>
        <v>29</v>
      </c>
      <c r="E892">
        <f>[5]trip_summary_region!E892</f>
        <v>91</v>
      </c>
      <c r="F892">
        <f>[5]trip_summary_region!F892</f>
        <v>1.5876460542999999</v>
      </c>
      <c r="G892">
        <f>[5]trip_summary_region!G892</f>
        <v>12.899585403</v>
      </c>
      <c r="H892">
        <f>[5]trip_summary_region!H892</f>
        <v>0.42812874490000002</v>
      </c>
      <c r="I892" t="str">
        <f>[5]trip_summary_region!I892</f>
        <v>Motorcyclist</v>
      </c>
      <c r="J892" t="str">
        <f>[5]trip_summary_region!J892</f>
        <v>2017/18</v>
      </c>
    </row>
    <row r="893" spans="1:10" x14ac:dyDescent="0.2">
      <c r="A893" t="str">
        <f>[5]trip_summary_region!A893</f>
        <v>13 CANTERBURY</v>
      </c>
      <c r="B893">
        <f>[5]trip_summary_region!B893</f>
        <v>5</v>
      </c>
      <c r="C893">
        <f>[5]trip_summary_region!C893</f>
        <v>2023</v>
      </c>
      <c r="D893">
        <f>[5]trip_summary_region!D893</f>
        <v>29</v>
      </c>
      <c r="E893">
        <f>[5]trip_summary_region!E893</f>
        <v>91</v>
      </c>
      <c r="F893">
        <f>[5]trip_summary_region!F893</f>
        <v>1.6202473163</v>
      </c>
      <c r="G893">
        <f>[5]trip_summary_region!G893</f>
        <v>13.039425551000001</v>
      </c>
      <c r="H893">
        <f>[5]trip_summary_region!H893</f>
        <v>0.43890673689999998</v>
      </c>
      <c r="I893" t="str">
        <f>[5]trip_summary_region!I893</f>
        <v>Motorcyclist</v>
      </c>
      <c r="J893" t="str">
        <f>[5]trip_summary_region!J893</f>
        <v>2022/23</v>
      </c>
    </row>
    <row r="894" spans="1:10" x14ac:dyDescent="0.2">
      <c r="A894" t="str">
        <f>[5]trip_summary_region!A894</f>
        <v>13 CANTERBURY</v>
      </c>
      <c r="B894">
        <f>[5]trip_summary_region!B894</f>
        <v>5</v>
      </c>
      <c r="C894">
        <f>[5]trip_summary_region!C894</f>
        <v>2028</v>
      </c>
      <c r="D894">
        <f>[5]trip_summary_region!D894</f>
        <v>29</v>
      </c>
      <c r="E894">
        <f>[5]trip_summary_region!E894</f>
        <v>91</v>
      </c>
      <c r="F894">
        <f>[5]trip_summary_region!F894</f>
        <v>1.6510984685000001</v>
      </c>
      <c r="G894">
        <f>[5]trip_summary_region!G894</f>
        <v>13.192272951</v>
      </c>
      <c r="H894">
        <f>[5]trip_summary_region!H894</f>
        <v>0.45099962760000001</v>
      </c>
      <c r="I894" t="str">
        <f>[5]trip_summary_region!I894</f>
        <v>Motorcyclist</v>
      </c>
      <c r="J894" t="str">
        <f>[5]trip_summary_region!J894</f>
        <v>2027/28</v>
      </c>
    </row>
    <row r="895" spans="1:10" x14ac:dyDescent="0.2">
      <c r="A895" t="str">
        <f>[5]trip_summary_region!A895</f>
        <v>13 CANTERBURY</v>
      </c>
      <c r="B895">
        <f>[5]trip_summary_region!B895</f>
        <v>5</v>
      </c>
      <c r="C895">
        <f>[5]trip_summary_region!C895</f>
        <v>2033</v>
      </c>
      <c r="D895">
        <f>[5]trip_summary_region!D895</f>
        <v>29</v>
      </c>
      <c r="E895">
        <f>[5]trip_summary_region!E895</f>
        <v>91</v>
      </c>
      <c r="F895">
        <f>[5]trip_summary_region!F895</f>
        <v>1.6912961432</v>
      </c>
      <c r="G895">
        <f>[5]trip_summary_region!G895</f>
        <v>13.692956581000001</v>
      </c>
      <c r="H895">
        <f>[5]trip_summary_region!H895</f>
        <v>0.46991251919999999</v>
      </c>
      <c r="I895" t="str">
        <f>[5]trip_summary_region!I895</f>
        <v>Motorcyclist</v>
      </c>
      <c r="J895" t="str">
        <f>[5]trip_summary_region!J895</f>
        <v>2032/33</v>
      </c>
    </row>
    <row r="896" spans="1:10" x14ac:dyDescent="0.2">
      <c r="A896" t="str">
        <f>[5]trip_summary_region!A896</f>
        <v>13 CANTERBURY</v>
      </c>
      <c r="B896">
        <f>[5]trip_summary_region!B896</f>
        <v>5</v>
      </c>
      <c r="C896">
        <f>[5]trip_summary_region!C896</f>
        <v>2038</v>
      </c>
      <c r="D896">
        <f>[5]trip_summary_region!D896</f>
        <v>29</v>
      </c>
      <c r="E896">
        <f>[5]trip_summary_region!E896</f>
        <v>91</v>
      </c>
      <c r="F896">
        <f>[5]trip_summary_region!F896</f>
        <v>1.7704211917999999</v>
      </c>
      <c r="G896">
        <f>[5]trip_summary_region!G896</f>
        <v>14.566916087999999</v>
      </c>
      <c r="H896">
        <f>[5]trip_summary_region!H896</f>
        <v>0.50205906830000002</v>
      </c>
      <c r="I896" t="str">
        <f>[5]trip_summary_region!I896</f>
        <v>Motorcyclist</v>
      </c>
      <c r="J896" t="str">
        <f>[5]trip_summary_region!J896</f>
        <v>2037/38</v>
      </c>
    </row>
    <row r="897" spans="1:10" x14ac:dyDescent="0.2">
      <c r="A897" t="str">
        <f>[5]trip_summary_region!A897</f>
        <v>13 CANTERBURY</v>
      </c>
      <c r="B897">
        <f>[5]trip_summary_region!B897</f>
        <v>5</v>
      </c>
      <c r="C897">
        <f>[5]trip_summary_region!C897</f>
        <v>2043</v>
      </c>
      <c r="D897">
        <f>[5]trip_summary_region!D897</f>
        <v>29</v>
      </c>
      <c r="E897">
        <f>[5]trip_summary_region!E897</f>
        <v>91</v>
      </c>
      <c r="F897">
        <f>[5]trip_summary_region!F897</f>
        <v>1.8397863753000001</v>
      </c>
      <c r="G897">
        <f>[5]trip_summary_region!G897</f>
        <v>15.337670532000001</v>
      </c>
      <c r="H897">
        <f>[5]trip_summary_region!H897</f>
        <v>0.53196939139999999</v>
      </c>
      <c r="I897" t="str">
        <f>[5]trip_summary_region!I897</f>
        <v>Motorcyclist</v>
      </c>
      <c r="J897" t="str">
        <f>[5]trip_summary_region!J897</f>
        <v>2042/43</v>
      </c>
    </row>
    <row r="898" spans="1:10" x14ac:dyDescent="0.2">
      <c r="A898" t="str">
        <f>[5]trip_summary_region!A898</f>
        <v>13 CANTERBURY</v>
      </c>
      <c r="B898">
        <f>[5]trip_summary_region!B898</f>
        <v>6</v>
      </c>
      <c r="C898">
        <f>[5]trip_summary_region!C898</f>
        <v>2013</v>
      </c>
      <c r="D898">
        <f>[5]trip_summary_region!D898</f>
        <v>1</v>
      </c>
      <c r="E898">
        <f>[5]trip_summary_region!E898</f>
        <v>1</v>
      </c>
      <c r="F898">
        <f>[5]trip_summary_region!F898</f>
        <v>2.1901243099999999E-2</v>
      </c>
      <c r="G898">
        <f>[5]trip_summary_region!G898</f>
        <v>0</v>
      </c>
      <c r="H898">
        <f>[5]trip_summary_region!H898</f>
        <v>7.3004144E-3</v>
      </c>
      <c r="I898" t="str">
        <f>[5]trip_summary_region!I898</f>
        <v>Local Train</v>
      </c>
      <c r="J898" t="str">
        <f>[5]trip_summary_region!J898</f>
        <v>2012/13</v>
      </c>
    </row>
    <row r="899" spans="1:10" x14ac:dyDescent="0.2">
      <c r="A899" t="str">
        <f>[5]trip_summary_region!A899</f>
        <v>13 CANTERBURY</v>
      </c>
      <c r="B899">
        <f>[5]trip_summary_region!B899</f>
        <v>6</v>
      </c>
      <c r="C899">
        <f>[5]trip_summary_region!C899</f>
        <v>2018</v>
      </c>
      <c r="D899">
        <f>[5]trip_summary_region!D899</f>
        <v>1</v>
      </c>
      <c r="E899">
        <f>[5]trip_summary_region!E899</f>
        <v>1</v>
      </c>
      <c r="F899">
        <f>[5]trip_summary_region!F899</f>
        <v>2.25451279E-2</v>
      </c>
      <c r="G899">
        <f>[5]trip_summary_region!G899</f>
        <v>0</v>
      </c>
      <c r="H899">
        <f>[5]trip_summary_region!H899</f>
        <v>7.5150425999999998E-3</v>
      </c>
      <c r="I899" t="str">
        <f>[5]trip_summary_region!I899</f>
        <v>Local Train</v>
      </c>
      <c r="J899" t="str">
        <f>[5]trip_summary_region!J899</f>
        <v>2017/18</v>
      </c>
    </row>
    <row r="900" spans="1:10" x14ac:dyDescent="0.2">
      <c r="A900" t="str">
        <f>[5]trip_summary_region!A900</f>
        <v>13 CANTERBURY</v>
      </c>
      <c r="B900">
        <f>[5]trip_summary_region!B900</f>
        <v>6</v>
      </c>
      <c r="C900">
        <f>[5]trip_summary_region!C900</f>
        <v>2023</v>
      </c>
      <c r="D900">
        <f>[5]trip_summary_region!D900</f>
        <v>1</v>
      </c>
      <c r="E900">
        <f>[5]trip_summary_region!E900</f>
        <v>1</v>
      </c>
      <c r="F900">
        <f>[5]trip_summary_region!F900</f>
        <v>1.9279195900000001E-2</v>
      </c>
      <c r="G900">
        <f>[5]trip_summary_region!G900</f>
        <v>0</v>
      </c>
      <c r="H900">
        <f>[5]trip_summary_region!H900</f>
        <v>6.4263986E-3</v>
      </c>
      <c r="I900" t="str">
        <f>[5]trip_summary_region!I900</f>
        <v>Local Train</v>
      </c>
      <c r="J900" t="str">
        <f>[5]trip_summary_region!J900</f>
        <v>2022/23</v>
      </c>
    </row>
    <row r="901" spans="1:10" x14ac:dyDescent="0.2">
      <c r="A901" t="str">
        <f>[5]trip_summary_region!A901</f>
        <v>13 CANTERBURY</v>
      </c>
      <c r="B901">
        <f>[5]trip_summary_region!B901</f>
        <v>6</v>
      </c>
      <c r="C901">
        <f>[5]trip_summary_region!C901</f>
        <v>2028</v>
      </c>
      <c r="D901">
        <f>[5]trip_summary_region!D901</f>
        <v>1</v>
      </c>
      <c r="E901">
        <f>[5]trip_summary_region!E901</f>
        <v>1</v>
      </c>
      <c r="F901">
        <f>[5]trip_summary_region!F901</f>
        <v>1.79855854E-2</v>
      </c>
      <c r="G901">
        <f>[5]trip_summary_region!G901</f>
        <v>0</v>
      </c>
      <c r="H901">
        <f>[5]trip_summary_region!H901</f>
        <v>5.9951950999999996E-3</v>
      </c>
      <c r="I901" t="str">
        <f>[5]trip_summary_region!I901</f>
        <v>Local Train</v>
      </c>
      <c r="J901" t="str">
        <f>[5]trip_summary_region!J901</f>
        <v>2027/28</v>
      </c>
    </row>
    <row r="902" spans="1:10" x14ac:dyDescent="0.2">
      <c r="A902" t="str">
        <f>[5]trip_summary_region!A902</f>
        <v>13 CANTERBURY</v>
      </c>
      <c r="B902">
        <f>[5]trip_summary_region!B902</f>
        <v>6</v>
      </c>
      <c r="C902">
        <f>[5]trip_summary_region!C902</f>
        <v>2033</v>
      </c>
      <c r="D902">
        <f>[5]trip_summary_region!D902</f>
        <v>1</v>
      </c>
      <c r="E902">
        <f>[5]trip_summary_region!E902</f>
        <v>1</v>
      </c>
      <c r="F902">
        <f>[5]trip_summary_region!F902</f>
        <v>1.7138687699999999E-2</v>
      </c>
      <c r="G902">
        <f>[5]trip_summary_region!G902</f>
        <v>0</v>
      </c>
      <c r="H902">
        <f>[5]trip_summary_region!H902</f>
        <v>5.7128958999999998E-3</v>
      </c>
      <c r="I902" t="str">
        <f>[5]trip_summary_region!I902</f>
        <v>Local Train</v>
      </c>
      <c r="J902" t="str">
        <f>[5]trip_summary_region!J902</f>
        <v>2032/33</v>
      </c>
    </row>
    <row r="903" spans="1:10" x14ac:dyDescent="0.2">
      <c r="A903" t="str">
        <f>[5]trip_summary_region!A903</f>
        <v>13 CANTERBURY</v>
      </c>
      <c r="B903">
        <f>[5]trip_summary_region!B903</f>
        <v>6</v>
      </c>
      <c r="C903">
        <f>[5]trip_summary_region!C903</f>
        <v>2038</v>
      </c>
      <c r="D903">
        <f>[5]trip_summary_region!D903</f>
        <v>1</v>
      </c>
      <c r="E903">
        <f>[5]trip_summary_region!E903</f>
        <v>1</v>
      </c>
      <c r="F903">
        <f>[5]trip_summary_region!F903</f>
        <v>1.45208987E-2</v>
      </c>
      <c r="G903">
        <f>[5]trip_summary_region!G903</f>
        <v>0</v>
      </c>
      <c r="H903">
        <f>[5]trip_summary_region!H903</f>
        <v>4.8402996000000004E-3</v>
      </c>
      <c r="I903" t="str">
        <f>[5]trip_summary_region!I903</f>
        <v>Local Train</v>
      </c>
      <c r="J903" t="str">
        <f>[5]trip_summary_region!J903</f>
        <v>2037/38</v>
      </c>
    </row>
    <row r="904" spans="1:10" x14ac:dyDescent="0.2">
      <c r="A904" t="str">
        <f>[5]trip_summary_region!A904</f>
        <v>13 CANTERBURY</v>
      </c>
      <c r="B904">
        <f>[5]trip_summary_region!B904</f>
        <v>6</v>
      </c>
      <c r="C904">
        <f>[5]trip_summary_region!C904</f>
        <v>2043</v>
      </c>
      <c r="D904">
        <f>[5]trip_summary_region!D904</f>
        <v>1</v>
      </c>
      <c r="E904">
        <f>[5]trip_summary_region!E904</f>
        <v>1</v>
      </c>
      <c r="F904">
        <f>[5]trip_summary_region!F904</f>
        <v>1.2069111400000001E-2</v>
      </c>
      <c r="G904">
        <f>[5]trip_summary_region!G904</f>
        <v>0</v>
      </c>
      <c r="H904">
        <f>[5]trip_summary_region!H904</f>
        <v>4.0230370999999997E-3</v>
      </c>
      <c r="I904" t="str">
        <f>[5]trip_summary_region!I904</f>
        <v>Local Train</v>
      </c>
      <c r="J904" t="str">
        <f>[5]trip_summary_region!J904</f>
        <v>2042/43</v>
      </c>
    </row>
    <row r="905" spans="1:10" x14ac:dyDescent="0.2">
      <c r="A905" t="str">
        <f>[5]trip_summary_region!A905</f>
        <v>13 CANTERBURY</v>
      </c>
      <c r="B905">
        <f>[5]trip_summary_region!B905</f>
        <v>7</v>
      </c>
      <c r="C905">
        <f>[5]trip_summary_region!C905</f>
        <v>2013</v>
      </c>
      <c r="D905">
        <f>[5]trip_summary_region!D905</f>
        <v>384</v>
      </c>
      <c r="E905">
        <f>[5]trip_summary_region!E905</f>
        <v>1120</v>
      </c>
      <c r="F905">
        <f>[5]trip_summary_region!F905</f>
        <v>20.502079716000001</v>
      </c>
      <c r="G905">
        <f>[5]trip_summary_region!G905</f>
        <v>174.53993166999999</v>
      </c>
      <c r="H905">
        <f>[5]trip_summary_region!H905</f>
        <v>7.9805750329</v>
      </c>
      <c r="I905" t="str">
        <f>[5]trip_summary_region!I905</f>
        <v>Local Bus</v>
      </c>
      <c r="J905" t="str">
        <f>[5]trip_summary_region!J905</f>
        <v>2012/13</v>
      </c>
    </row>
    <row r="906" spans="1:10" x14ac:dyDescent="0.2">
      <c r="A906" t="str">
        <f>[5]trip_summary_region!A906</f>
        <v>13 CANTERBURY</v>
      </c>
      <c r="B906">
        <f>[5]trip_summary_region!B906</f>
        <v>7</v>
      </c>
      <c r="C906">
        <f>[5]trip_summary_region!C906</f>
        <v>2018</v>
      </c>
      <c r="D906">
        <f>[5]trip_summary_region!D906</f>
        <v>384</v>
      </c>
      <c r="E906">
        <f>[5]trip_summary_region!E906</f>
        <v>1120</v>
      </c>
      <c r="F906">
        <f>[5]trip_summary_region!F906</f>
        <v>20.976049086</v>
      </c>
      <c r="G906">
        <f>[5]trip_summary_region!G906</f>
        <v>178.40772453</v>
      </c>
      <c r="H906">
        <f>[5]trip_summary_region!H906</f>
        <v>8.1563774540999994</v>
      </c>
      <c r="I906" t="str">
        <f>[5]trip_summary_region!I906</f>
        <v>Local Bus</v>
      </c>
      <c r="J906" t="str">
        <f>[5]trip_summary_region!J906</f>
        <v>2017/18</v>
      </c>
    </row>
    <row r="907" spans="1:10" x14ac:dyDescent="0.2">
      <c r="A907" t="str">
        <f>[5]trip_summary_region!A907</f>
        <v>13 CANTERBURY</v>
      </c>
      <c r="B907">
        <f>[5]trip_summary_region!B907</f>
        <v>7</v>
      </c>
      <c r="C907">
        <f>[5]trip_summary_region!C907</f>
        <v>2023</v>
      </c>
      <c r="D907">
        <f>[5]trip_summary_region!D907</f>
        <v>384</v>
      </c>
      <c r="E907">
        <f>[5]trip_summary_region!E907</f>
        <v>1120</v>
      </c>
      <c r="F907">
        <f>[5]trip_summary_region!F907</f>
        <v>20.901951312000001</v>
      </c>
      <c r="G907">
        <f>[5]trip_summary_region!G907</f>
        <v>176.99843539</v>
      </c>
      <c r="H907">
        <f>[5]trip_summary_region!H907</f>
        <v>8.1004967627000006</v>
      </c>
      <c r="I907" t="str">
        <f>[5]trip_summary_region!I907</f>
        <v>Local Bus</v>
      </c>
      <c r="J907" t="str">
        <f>[5]trip_summary_region!J907</f>
        <v>2022/23</v>
      </c>
    </row>
    <row r="908" spans="1:10" x14ac:dyDescent="0.2">
      <c r="A908" t="str">
        <f>[5]trip_summary_region!A908</f>
        <v>13 CANTERBURY</v>
      </c>
      <c r="B908">
        <f>[5]trip_summary_region!B908</f>
        <v>7</v>
      </c>
      <c r="C908">
        <f>[5]trip_summary_region!C908</f>
        <v>2028</v>
      </c>
      <c r="D908">
        <f>[5]trip_summary_region!D908</f>
        <v>384</v>
      </c>
      <c r="E908">
        <f>[5]trip_summary_region!E908</f>
        <v>1120</v>
      </c>
      <c r="F908">
        <f>[5]trip_summary_region!F908</f>
        <v>20.780114531999999</v>
      </c>
      <c r="G908">
        <f>[5]trip_summary_region!G908</f>
        <v>177.62065634000001</v>
      </c>
      <c r="H908">
        <f>[5]trip_summary_region!H908</f>
        <v>8.0592093902999995</v>
      </c>
      <c r="I908" t="str">
        <f>[5]trip_summary_region!I908</f>
        <v>Local Bus</v>
      </c>
      <c r="J908" t="str">
        <f>[5]trip_summary_region!J908</f>
        <v>2027/28</v>
      </c>
    </row>
    <row r="909" spans="1:10" x14ac:dyDescent="0.2">
      <c r="A909" t="str">
        <f>[5]trip_summary_region!A909</f>
        <v>13 CANTERBURY</v>
      </c>
      <c r="B909">
        <f>[5]trip_summary_region!B909</f>
        <v>7</v>
      </c>
      <c r="C909">
        <f>[5]trip_summary_region!C909</f>
        <v>2033</v>
      </c>
      <c r="D909">
        <f>[5]trip_summary_region!D909</f>
        <v>384</v>
      </c>
      <c r="E909">
        <f>[5]trip_summary_region!E909</f>
        <v>1120</v>
      </c>
      <c r="F909">
        <f>[5]trip_summary_region!F909</f>
        <v>20.189459515999999</v>
      </c>
      <c r="G909">
        <f>[5]trip_summary_region!G909</f>
        <v>174.22242717</v>
      </c>
      <c r="H909">
        <f>[5]trip_summary_region!H909</f>
        <v>7.8463710917</v>
      </c>
      <c r="I909" t="str">
        <f>[5]trip_summary_region!I909</f>
        <v>Local Bus</v>
      </c>
      <c r="J909" t="str">
        <f>[5]trip_summary_region!J909</f>
        <v>2032/33</v>
      </c>
    </row>
    <row r="910" spans="1:10" x14ac:dyDescent="0.2">
      <c r="A910" t="str">
        <f>[5]trip_summary_region!A910</f>
        <v>13 CANTERBURY</v>
      </c>
      <c r="B910">
        <f>[5]trip_summary_region!B910</f>
        <v>7</v>
      </c>
      <c r="C910">
        <f>[5]trip_summary_region!C910</f>
        <v>2038</v>
      </c>
      <c r="D910">
        <f>[5]trip_summary_region!D910</f>
        <v>384</v>
      </c>
      <c r="E910">
        <f>[5]trip_summary_region!E910</f>
        <v>1120</v>
      </c>
      <c r="F910">
        <f>[5]trip_summary_region!F910</f>
        <v>19.612895277</v>
      </c>
      <c r="G910">
        <f>[5]trip_summary_region!G910</f>
        <v>170.48597458</v>
      </c>
      <c r="H910">
        <f>[5]trip_summary_region!H910</f>
        <v>7.6404426641000001</v>
      </c>
      <c r="I910" t="str">
        <f>[5]trip_summary_region!I910</f>
        <v>Local Bus</v>
      </c>
      <c r="J910" t="str">
        <f>[5]trip_summary_region!J910</f>
        <v>2037/38</v>
      </c>
    </row>
    <row r="911" spans="1:10" x14ac:dyDescent="0.2">
      <c r="A911" t="str">
        <f>[5]trip_summary_region!A911</f>
        <v>13 CANTERBURY</v>
      </c>
      <c r="B911">
        <f>[5]trip_summary_region!B911</f>
        <v>7</v>
      </c>
      <c r="C911">
        <f>[5]trip_summary_region!C911</f>
        <v>2043</v>
      </c>
      <c r="D911">
        <f>[5]trip_summary_region!D911</f>
        <v>384</v>
      </c>
      <c r="E911">
        <f>[5]trip_summary_region!E911</f>
        <v>1120</v>
      </c>
      <c r="F911">
        <f>[5]trip_summary_region!F911</f>
        <v>18.968578354999998</v>
      </c>
      <c r="G911">
        <f>[5]trip_summary_region!G911</f>
        <v>166.02331469000001</v>
      </c>
      <c r="H911">
        <f>[5]trip_summary_region!H911</f>
        <v>7.4053767446999998</v>
      </c>
      <c r="I911" t="str">
        <f>[5]trip_summary_region!I911</f>
        <v>Local Bus</v>
      </c>
      <c r="J911" t="str">
        <f>[5]trip_summary_region!J911</f>
        <v>2042/43</v>
      </c>
    </row>
    <row r="912" spans="1:10" x14ac:dyDescent="0.2">
      <c r="A912" t="str">
        <f>[5]trip_summary_region!A912</f>
        <v>13 CANTERBURY</v>
      </c>
      <c r="B912">
        <f>[5]trip_summary_region!B912</f>
        <v>9</v>
      </c>
      <c r="C912">
        <f>[5]trip_summary_region!C912</f>
        <v>2013</v>
      </c>
      <c r="D912">
        <f>[5]trip_summary_region!D912</f>
        <v>31</v>
      </c>
      <c r="E912">
        <f>[5]trip_summary_region!E912</f>
        <v>81</v>
      </c>
      <c r="F912">
        <f>[5]trip_summary_region!F912</f>
        <v>1.5386198845000001</v>
      </c>
      <c r="G912">
        <f>[5]trip_summary_region!G912</f>
        <v>0</v>
      </c>
      <c r="H912">
        <f>[5]trip_summary_region!H912</f>
        <v>0.91635513570000005</v>
      </c>
      <c r="I912" t="str">
        <f>[5]trip_summary_region!I912</f>
        <v>Other Household Travel</v>
      </c>
      <c r="J912" t="str">
        <f>[5]trip_summary_region!J912</f>
        <v>2012/13</v>
      </c>
    </row>
    <row r="913" spans="1:10" x14ac:dyDescent="0.2">
      <c r="A913" t="str">
        <f>[5]trip_summary_region!A913</f>
        <v>13 CANTERBURY</v>
      </c>
      <c r="B913">
        <f>[5]trip_summary_region!B913</f>
        <v>9</v>
      </c>
      <c r="C913">
        <f>[5]trip_summary_region!C913</f>
        <v>2018</v>
      </c>
      <c r="D913">
        <f>[5]trip_summary_region!D913</f>
        <v>31</v>
      </c>
      <c r="E913">
        <f>[5]trip_summary_region!E913</f>
        <v>81</v>
      </c>
      <c r="F913">
        <f>[5]trip_summary_region!F913</f>
        <v>1.7127917105999999</v>
      </c>
      <c r="G913">
        <f>[5]trip_summary_region!G913</f>
        <v>0</v>
      </c>
      <c r="H913">
        <f>[5]trip_summary_region!H913</f>
        <v>0.9909200225</v>
      </c>
      <c r="I913" t="str">
        <f>[5]trip_summary_region!I913</f>
        <v>Other Household Travel</v>
      </c>
      <c r="J913" t="str">
        <f>[5]trip_summary_region!J913</f>
        <v>2017/18</v>
      </c>
    </row>
    <row r="914" spans="1:10" x14ac:dyDescent="0.2">
      <c r="A914" t="str">
        <f>[5]trip_summary_region!A914</f>
        <v>13 CANTERBURY</v>
      </c>
      <c r="B914">
        <f>[5]trip_summary_region!B914</f>
        <v>9</v>
      </c>
      <c r="C914">
        <f>[5]trip_summary_region!C914</f>
        <v>2023</v>
      </c>
      <c r="D914">
        <f>[5]trip_summary_region!D914</f>
        <v>31</v>
      </c>
      <c r="E914">
        <f>[5]trip_summary_region!E914</f>
        <v>81</v>
      </c>
      <c r="F914">
        <f>[5]trip_summary_region!F914</f>
        <v>1.9060203254999999</v>
      </c>
      <c r="G914">
        <f>[5]trip_summary_region!G914</f>
        <v>0</v>
      </c>
      <c r="H914">
        <f>[5]trip_summary_region!H914</f>
        <v>1.0775961821</v>
      </c>
      <c r="I914" t="str">
        <f>[5]trip_summary_region!I914</f>
        <v>Other Household Travel</v>
      </c>
      <c r="J914" t="str">
        <f>[5]trip_summary_region!J914</f>
        <v>2022/23</v>
      </c>
    </row>
    <row r="915" spans="1:10" x14ac:dyDescent="0.2">
      <c r="A915" t="str">
        <f>[5]trip_summary_region!A915</f>
        <v>13 CANTERBURY</v>
      </c>
      <c r="B915">
        <f>[5]trip_summary_region!B915</f>
        <v>9</v>
      </c>
      <c r="C915">
        <f>[5]trip_summary_region!C915</f>
        <v>2028</v>
      </c>
      <c r="D915">
        <f>[5]trip_summary_region!D915</f>
        <v>31</v>
      </c>
      <c r="E915">
        <f>[5]trip_summary_region!E915</f>
        <v>81</v>
      </c>
      <c r="F915">
        <f>[5]trip_summary_region!F915</f>
        <v>2.0824128461</v>
      </c>
      <c r="G915">
        <f>[5]trip_summary_region!G915</f>
        <v>0</v>
      </c>
      <c r="H915">
        <f>[5]trip_summary_region!H915</f>
        <v>1.1721689972</v>
      </c>
      <c r="I915" t="str">
        <f>[5]trip_summary_region!I915</f>
        <v>Other Household Travel</v>
      </c>
      <c r="J915" t="str">
        <f>[5]trip_summary_region!J915</f>
        <v>2027/28</v>
      </c>
    </row>
    <row r="916" spans="1:10" x14ac:dyDescent="0.2">
      <c r="A916" t="str">
        <f>[5]trip_summary_region!A916</f>
        <v>13 CANTERBURY</v>
      </c>
      <c r="B916">
        <f>[5]trip_summary_region!B916</f>
        <v>9</v>
      </c>
      <c r="C916">
        <f>[5]trip_summary_region!C916</f>
        <v>2033</v>
      </c>
      <c r="D916">
        <f>[5]trip_summary_region!D916</f>
        <v>31</v>
      </c>
      <c r="E916">
        <f>[5]trip_summary_region!E916</f>
        <v>81</v>
      </c>
      <c r="F916">
        <f>[5]trip_summary_region!F916</f>
        <v>2.1974341884999999</v>
      </c>
      <c r="G916">
        <f>[5]trip_summary_region!G916</f>
        <v>0</v>
      </c>
      <c r="H916">
        <f>[5]trip_summary_region!H916</f>
        <v>1.2330493236</v>
      </c>
      <c r="I916" t="str">
        <f>[5]trip_summary_region!I916</f>
        <v>Other Household Travel</v>
      </c>
      <c r="J916" t="str">
        <f>[5]trip_summary_region!J916</f>
        <v>2032/33</v>
      </c>
    </row>
    <row r="917" spans="1:10" x14ac:dyDescent="0.2">
      <c r="A917" t="str">
        <f>[5]trip_summary_region!A917</f>
        <v>13 CANTERBURY</v>
      </c>
      <c r="B917">
        <f>[5]trip_summary_region!B917</f>
        <v>9</v>
      </c>
      <c r="C917">
        <f>[5]trip_summary_region!C917</f>
        <v>2038</v>
      </c>
      <c r="D917">
        <f>[5]trip_summary_region!D917</f>
        <v>31</v>
      </c>
      <c r="E917">
        <f>[5]trip_summary_region!E917</f>
        <v>81</v>
      </c>
      <c r="F917">
        <f>[5]trip_summary_region!F917</f>
        <v>2.2515903822999999</v>
      </c>
      <c r="G917">
        <f>[5]trip_summary_region!G917</f>
        <v>0</v>
      </c>
      <c r="H917">
        <f>[5]trip_summary_region!H917</f>
        <v>1.2677750126</v>
      </c>
      <c r="I917" t="str">
        <f>[5]trip_summary_region!I917</f>
        <v>Other Household Travel</v>
      </c>
      <c r="J917" t="str">
        <f>[5]trip_summary_region!J917</f>
        <v>2037/38</v>
      </c>
    </row>
    <row r="918" spans="1:10" x14ac:dyDescent="0.2">
      <c r="A918" t="str">
        <f>[5]trip_summary_region!A918</f>
        <v>13 CANTERBURY</v>
      </c>
      <c r="B918">
        <f>[5]trip_summary_region!B918</f>
        <v>9</v>
      </c>
      <c r="C918">
        <f>[5]trip_summary_region!C918</f>
        <v>2043</v>
      </c>
      <c r="D918">
        <f>[5]trip_summary_region!D918</f>
        <v>31</v>
      </c>
      <c r="E918">
        <f>[5]trip_summary_region!E918</f>
        <v>81</v>
      </c>
      <c r="F918">
        <f>[5]trip_summary_region!F918</f>
        <v>2.2493597086000001</v>
      </c>
      <c r="G918">
        <f>[5]trip_summary_region!G918</f>
        <v>0</v>
      </c>
      <c r="H918">
        <f>[5]trip_summary_region!H918</f>
        <v>1.2788737335</v>
      </c>
      <c r="I918" t="str">
        <f>[5]trip_summary_region!I918</f>
        <v>Other Household Travel</v>
      </c>
      <c r="J918" t="str">
        <f>[5]trip_summary_region!J918</f>
        <v>2042/43</v>
      </c>
    </row>
    <row r="919" spans="1:10" x14ac:dyDescent="0.2">
      <c r="A919" t="str">
        <f>[5]trip_summary_region!A919</f>
        <v>13 CANTERBURY</v>
      </c>
      <c r="B919">
        <f>[5]trip_summary_region!B919</f>
        <v>10</v>
      </c>
      <c r="C919">
        <f>[5]trip_summary_region!C919</f>
        <v>2013</v>
      </c>
      <c r="D919">
        <f>[5]trip_summary_region!D919</f>
        <v>99</v>
      </c>
      <c r="E919">
        <f>[5]trip_summary_region!E919</f>
        <v>124</v>
      </c>
      <c r="F919">
        <f>[5]trip_summary_region!F919</f>
        <v>2.4822614922000001</v>
      </c>
      <c r="G919">
        <f>[5]trip_summary_region!G919</f>
        <v>66.176348546</v>
      </c>
      <c r="H919">
        <f>[5]trip_summary_region!H919</f>
        <v>3.9785271960999999</v>
      </c>
      <c r="I919" t="str">
        <f>[5]trip_summary_region!I919</f>
        <v>Air/Non-Local PT</v>
      </c>
      <c r="J919" t="str">
        <f>[5]trip_summary_region!J919</f>
        <v>2012/13</v>
      </c>
    </row>
    <row r="920" spans="1:10" x14ac:dyDescent="0.2">
      <c r="A920" t="str">
        <f>[5]trip_summary_region!A920</f>
        <v>13 CANTERBURY</v>
      </c>
      <c r="B920">
        <f>[5]trip_summary_region!B920</f>
        <v>10</v>
      </c>
      <c r="C920">
        <f>[5]trip_summary_region!C920</f>
        <v>2018</v>
      </c>
      <c r="D920">
        <f>[5]trip_summary_region!D920</f>
        <v>99</v>
      </c>
      <c r="E920">
        <f>[5]trip_summary_region!E920</f>
        <v>124</v>
      </c>
      <c r="F920">
        <f>[5]trip_summary_region!F920</f>
        <v>2.8202865860999999</v>
      </c>
      <c r="G920">
        <f>[5]trip_summary_region!G920</f>
        <v>72.139859927000003</v>
      </c>
      <c r="H920">
        <f>[5]trip_summary_region!H920</f>
        <v>4.6424544643000001</v>
      </c>
      <c r="I920" t="str">
        <f>[5]trip_summary_region!I920</f>
        <v>Air/Non-Local PT</v>
      </c>
      <c r="J920" t="str">
        <f>[5]trip_summary_region!J920</f>
        <v>2017/18</v>
      </c>
    </row>
    <row r="921" spans="1:10" x14ac:dyDescent="0.2">
      <c r="A921" t="str">
        <f>[5]trip_summary_region!A921</f>
        <v>13 CANTERBURY</v>
      </c>
      <c r="B921">
        <f>[5]trip_summary_region!B921</f>
        <v>10</v>
      </c>
      <c r="C921">
        <f>[5]trip_summary_region!C921</f>
        <v>2023</v>
      </c>
      <c r="D921">
        <f>[5]trip_summary_region!D921</f>
        <v>99</v>
      </c>
      <c r="E921">
        <f>[5]trip_summary_region!E921</f>
        <v>124</v>
      </c>
      <c r="F921">
        <f>[5]trip_summary_region!F921</f>
        <v>3.0044578588999999</v>
      </c>
      <c r="G921">
        <f>[5]trip_summary_region!G921</f>
        <v>72.665483019999996</v>
      </c>
      <c r="H921">
        <f>[5]trip_summary_region!H921</f>
        <v>4.9764480769999997</v>
      </c>
      <c r="I921" t="str">
        <f>[5]trip_summary_region!I921</f>
        <v>Air/Non-Local PT</v>
      </c>
      <c r="J921" t="str">
        <f>[5]trip_summary_region!J921</f>
        <v>2022/23</v>
      </c>
    </row>
    <row r="922" spans="1:10" x14ac:dyDescent="0.2">
      <c r="A922" t="str">
        <f>[5]trip_summary_region!A922</f>
        <v>13 CANTERBURY</v>
      </c>
      <c r="B922">
        <f>[5]trip_summary_region!B922</f>
        <v>10</v>
      </c>
      <c r="C922">
        <f>[5]trip_summary_region!C922</f>
        <v>2028</v>
      </c>
      <c r="D922">
        <f>[5]trip_summary_region!D922</f>
        <v>99</v>
      </c>
      <c r="E922">
        <f>[5]trip_summary_region!E922</f>
        <v>124</v>
      </c>
      <c r="F922">
        <f>[5]trip_summary_region!F922</f>
        <v>3.2298504061000002</v>
      </c>
      <c r="G922">
        <f>[5]trip_summary_region!G922</f>
        <v>77.961881833999996</v>
      </c>
      <c r="H922">
        <f>[5]trip_summary_region!H922</f>
        <v>5.4131920867999996</v>
      </c>
      <c r="I922" t="str">
        <f>[5]trip_summary_region!I922</f>
        <v>Air/Non-Local PT</v>
      </c>
      <c r="J922" t="str">
        <f>[5]trip_summary_region!J922</f>
        <v>2027/28</v>
      </c>
    </row>
    <row r="923" spans="1:10" x14ac:dyDescent="0.2">
      <c r="A923" t="str">
        <f>[5]trip_summary_region!A923</f>
        <v>13 CANTERBURY</v>
      </c>
      <c r="B923">
        <f>[5]trip_summary_region!B923</f>
        <v>10</v>
      </c>
      <c r="C923">
        <f>[5]trip_summary_region!C923</f>
        <v>2033</v>
      </c>
      <c r="D923">
        <f>[5]trip_summary_region!D923</f>
        <v>99</v>
      </c>
      <c r="E923">
        <f>[5]trip_summary_region!E923</f>
        <v>124</v>
      </c>
      <c r="F923">
        <f>[5]trip_summary_region!F923</f>
        <v>3.4429711700999999</v>
      </c>
      <c r="G923">
        <f>[5]trip_summary_region!G923</f>
        <v>85.989271337000005</v>
      </c>
      <c r="H923">
        <f>[5]trip_summary_region!H923</f>
        <v>5.8507345446999999</v>
      </c>
      <c r="I923" t="str">
        <f>[5]trip_summary_region!I923</f>
        <v>Air/Non-Local PT</v>
      </c>
      <c r="J923" t="str">
        <f>[5]trip_summary_region!J923</f>
        <v>2032/33</v>
      </c>
    </row>
    <row r="924" spans="1:10" x14ac:dyDescent="0.2">
      <c r="A924" t="str">
        <f>[5]trip_summary_region!A924</f>
        <v>13 CANTERBURY</v>
      </c>
      <c r="B924">
        <f>[5]trip_summary_region!B924</f>
        <v>10</v>
      </c>
      <c r="C924">
        <f>[5]trip_summary_region!C924</f>
        <v>2038</v>
      </c>
      <c r="D924">
        <f>[5]trip_summary_region!D924</f>
        <v>99</v>
      </c>
      <c r="E924">
        <f>[5]trip_summary_region!E924</f>
        <v>124</v>
      </c>
      <c r="F924">
        <f>[5]trip_summary_region!F924</f>
        <v>3.5891794347000001</v>
      </c>
      <c r="G924">
        <f>[5]trip_summary_region!G924</f>
        <v>89.891042526999996</v>
      </c>
      <c r="H924">
        <f>[5]trip_summary_region!H924</f>
        <v>6.0496411873999998</v>
      </c>
      <c r="I924" t="str">
        <f>[5]trip_summary_region!I924</f>
        <v>Air/Non-Local PT</v>
      </c>
      <c r="J924" t="str">
        <f>[5]trip_summary_region!J924</f>
        <v>2037/38</v>
      </c>
    </row>
    <row r="925" spans="1:10" x14ac:dyDescent="0.2">
      <c r="A925" t="str">
        <f>[5]trip_summary_region!A925</f>
        <v>13 CANTERBURY</v>
      </c>
      <c r="B925">
        <f>[5]trip_summary_region!B925</f>
        <v>10</v>
      </c>
      <c r="C925">
        <f>[5]trip_summary_region!C925</f>
        <v>2043</v>
      </c>
      <c r="D925">
        <f>[5]trip_summary_region!D925</f>
        <v>99</v>
      </c>
      <c r="E925">
        <f>[5]trip_summary_region!E925</f>
        <v>124</v>
      </c>
      <c r="F925">
        <f>[5]trip_summary_region!F925</f>
        <v>3.7143673330999998</v>
      </c>
      <c r="G925">
        <f>[5]trip_summary_region!G925</f>
        <v>92.590633752000002</v>
      </c>
      <c r="H925">
        <f>[5]trip_summary_region!H925</f>
        <v>6.2065940736999998</v>
      </c>
      <c r="I925" t="str">
        <f>[5]trip_summary_region!I925</f>
        <v>Air/Non-Local PT</v>
      </c>
      <c r="J925" t="str">
        <f>[5]trip_summary_region!J925</f>
        <v>2042/43</v>
      </c>
    </row>
    <row r="926" spans="1:10" x14ac:dyDescent="0.2">
      <c r="A926" t="str">
        <f>[5]trip_summary_region!A926</f>
        <v>13 CANTERBURY</v>
      </c>
      <c r="B926">
        <f>[5]trip_summary_region!B926</f>
        <v>11</v>
      </c>
      <c r="C926">
        <f>[5]trip_summary_region!C926</f>
        <v>2013</v>
      </c>
      <c r="D926">
        <f>[5]trip_summary_region!D926</f>
        <v>113</v>
      </c>
      <c r="E926">
        <f>[5]trip_summary_region!E926</f>
        <v>551</v>
      </c>
      <c r="F926">
        <f>[5]trip_summary_region!F926</f>
        <v>9.2459779483000002</v>
      </c>
      <c r="G926">
        <f>[5]trip_summary_region!G926</f>
        <v>114.47945472000001</v>
      </c>
      <c r="H926">
        <f>[5]trip_summary_region!H926</f>
        <v>3.3743770355999998</v>
      </c>
      <c r="I926" t="str">
        <f>[5]trip_summary_region!I926</f>
        <v>Non-Household Travel</v>
      </c>
      <c r="J926" t="str">
        <f>[5]trip_summary_region!J926</f>
        <v>2012/13</v>
      </c>
    </row>
    <row r="927" spans="1:10" x14ac:dyDescent="0.2">
      <c r="A927" t="str">
        <f>[5]trip_summary_region!A927</f>
        <v>13 CANTERBURY</v>
      </c>
      <c r="B927">
        <f>[5]trip_summary_region!B927</f>
        <v>11</v>
      </c>
      <c r="C927">
        <f>[5]trip_summary_region!C927</f>
        <v>2018</v>
      </c>
      <c r="D927">
        <f>[5]trip_summary_region!D927</f>
        <v>113</v>
      </c>
      <c r="E927">
        <f>[5]trip_summary_region!E927</f>
        <v>551</v>
      </c>
      <c r="F927">
        <f>[5]trip_summary_region!F927</f>
        <v>10.132217392999999</v>
      </c>
      <c r="G927">
        <f>[5]trip_summary_region!G927</f>
        <v>128.15034567999999</v>
      </c>
      <c r="H927">
        <f>[5]trip_summary_region!H927</f>
        <v>3.7804561446</v>
      </c>
      <c r="I927" t="str">
        <f>[5]trip_summary_region!I927</f>
        <v>Non-Household Travel</v>
      </c>
      <c r="J927" t="str">
        <f>[5]trip_summary_region!J927</f>
        <v>2017/18</v>
      </c>
    </row>
    <row r="928" spans="1:10" x14ac:dyDescent="0.2">
      <c r="A928" t="str">
        <f>[5]trip_summary_region!A928</f>
        <v>13 CANTERBURY</v>
      </c>
      <c r="B928">
        <f>[5]trip_summary_region!B928</f>
        <v>11</v>
      </c>
      <c r="C928">
        <f>[5]trip_summary_region!C928</f>
        <v>2023</v>
      </c>
      <c r="D928">
        <f>[5]trip_summary_region!D928</f>
        <v>113</v>
      </c>
      <c r="E928">
        <f>[5]trip_summary_region!E928</f>
        <v>551</v>
      </c>
      <c r="F928">
        <f>[5]trip_summary_region!F928</f>
        <v>10.455853481</v>
      </c>
      <c r="G928">
        <f>[5]trip_summary_region!G928</f>
        <v>134.81727427000001</v>
      </c>
      <c r="H928">
        <f>[5]trip_summary_region!H928</f>
        <v>3.9748324428999999</v>
      </c>
      <c r="I928" t="str">
        <f>[5]trip_summary_region!I928</f>
        <v>Non-Household Travel</v>
      </c>
      <c r="J928" t="str">
        <f>[5]trip_summary_region!J928</f>
        <v>2022/23</v>
      </c>
    </row>
    <row r="929" spans="1:10" x14ac:dyDescent="0.2">
      <c r="A929" t="str">
        <f>[5]trip_summary_region!A929</f>
        <v>13 CANTERBURY</v>
      </c>
      <c r="B929">
        <f>[5]trip_summary_region!B929</f>
        <v>11</v>
      </c>
      <c r="C929">
        <f>[5]trip_summary_region!C929</f>
        <v>2028</v>
      </c>
      <c r="D929">
        <f>[5]trip_summary_region!D929</f>
        <v>113</v>
      </c>
      <c r="E929">
        <f>[5]trip_summary_region!E929</f>
        <v>551</v>
      </c>
      <c r="F929">
        <f>[5]trip_summary_region!F929</f>
        <v>10.914010849</v>
      </c>
      <c r="G929">
        <f>[5]trip_summary_region!G929</f>
        <v>144.22340176</v>
      </c>
      <c r="H929">
        <f>[5]trip_summary_region!H929</f>
        <v>4.2417318588999997</v>
      </c>
      <c r="I929" t="str">
        <f>[5]trip_summary_region!I929</f>
        <v>Non-Household Travel</v>
      </c>
      <c r="J929" t="str">
        <f>[5]trip_summary_region!J929</f>
        <v>2027/28</v>
      </c>
    </row>
    <row r="930" spans="1:10" x14ac:dyDescent="0.2">
      <c r="A930" t="str">
        <f>[5]trip_summary_region!A930</f>
        <v>13 CANTERBURY</v>
      </c>
      <c r="B930">
        <f>[5]trip_summary_region!B930</f>
        <v>11</v>
      </c>
      <c r="C930">
        <f>[5]trip_summary_region!C930</f>
        <v>2033</v>
      </c>
      <c r="D930">
        <f>[5]trip_summary_region!D930</f>
        <v>113</v>
      </c>
      <c r="E930">
        <f>[5]trip_summary_region!E930</f>
        <v>551</v>
      </c>
      <c r="F930">
        <f>[5]trip_summary_region!F930</f>
        <v>11.457217774</v>
      </c>
      <c r="G930">
        <f>[5]trip_summary_region!G930</f>
        <v>152.71862322999999</v>
      </c>
      <c r="H930">
        <f>[5]trip_summary_region!H930</f>
        <v>4.5098216072000001</v>
      </c>
      <c r="I930" t="str">
        <f>[5]trip_summary_region!I930</f>
        <v>Non-Household Travel</v>
      </c>
      <c r="J930" t="str">
        <f>[5]trip_summary_region!J930</f>
        <v>2032/33</v>
      </c>
    </row>
    <row r="931" spans="1:10" x14ac:dyDescent="0.2">
      <c r="A931" t="str">
        <f>[5]trip_summary_region!A931</f>
        <v>13 CANTERBURY</v>
      </c>
      <c r="B931">
        <f>[5]trip_summary_region!B931</f>
        <v>11</v>
      </c>
      <c r="C931">
        <f>[5]trip_summary_region!C931</f>
        <v>2038</v>
      </c>
      <c r="D931">
        <f>[5]trip_summary_region!D931</f>
        <v>113</v>
      </c>
      <c r="E931">
        <f>[5]trip_summary_region!E931</f>
        <v>551</v>
      </c>
      <c r="F931">
        <f>[5]trip_summary_region!F931</f>
        <v>12.031558006999999</v>
      </c>
      <c r="G931">
        <f>[5]trip_summary_region!G931</f>
        <v>158.64745357999999</v>
      </c>
      <c r="H931">
        <f>[5]trip_summary_region!H931</f>
        <v>4.6899094961000003</v>
      </c>
      <c r="I931" t="str">
        <f>[5]trip_summary_region!I931</f>
        <v>Non-Household Travel</v>
      </c>
      <c r="J931" t="str">
        <f>[5]trip_summary_region!J931</f>
        <v>2037/38</v>
      </c>
    </row>
    <row r="932" spans="1:10" x14ac:dyDescent="0.2">
      <c r="A932" t="str">
        <f>[5]trip_summary_region!A932</f>
        <v>13 CANTERBURY</v>
      </c>
      <c r="B932">
        <f>[5]trip_summary_region!B932</f>
        <v>11</v>
      </c>
      <c r="C932">
        <f>[5]trip_summary_region!C932</f>
        <v>2043</v>
      </c>
      <c r="D932">
        <f>[5]trip_summary_region!D932</f>
        <v>113</v>
      </c>
      <c r="E932">
        <f>[5]trip_summary_region!E932</f>
        <v>551</v>
      </c>
      <c r="F932">
        <f>[5]trip_summary_region!F932</f>
        <v>12.582590317999999</v>
      </c>
      <c r="G932">
        <f>[5]trip_summary_region!G932</f>
        <v>163.82500386000001</v>
      </c>
      <c r="H932">
        <f>[5]trip_summary_region!H932</f>
        <v>4.8509682631000004</v>
      </c>
      <c r="I932" t="str">
        <f>[5]trip_summary_region!I932</f>
        <v>Non-Household Travel</v>
      </c>
      <c r="J932" t="str">
        <f>[5]trip_summary_region!J932</f>
        <v>2042/43</v>
      </c>
    </row>
    <row r="933" spans="1:10" x14ac:dyDescent="0.2">
      <c r="A933" t="str">
        <f>[5]trip_summary_region!A933</f>
        <v>14 OTAGO</v>
      </c>
      <c r="B933">
        <f>[5]trip_summary_region!B933</f>
        <v>0</v>
      </c>
      <c r="C933">
        <f>[5]trip_summary_region!C933</f>
        <v>2013</v>
      </c>
      <c r="D933">
        <f>[5]trip_summary_region!D933</f>
        <v>545</v>
      </c>
      <c r="E933">
        <f>[5]trip_summary_region!E933</f>
        <v>2150</v>
      </c>
      <c r="F933">
        <f>[5]trip_summary_region!F933</f>
        <v>58.261736425999999</v>
      </c>
      <c r="G933">
        <f>[5]trip_summary_region!G933</f>
        <v>45.829100335</v>
      </c>
      <c r="H933">
        <f>[5]trip_summary_region!H933</f>
        <v>11.651603939999999</v>
      </c>
      <c r="I933" t="str">
        <f>[5]trip_summary_region!I933</f>
        <v>Pedestrian</v>
      </c>
      <c r="J933" t="str">
        <f>[5]trip_summary_region!J933</f>
        <v>2012/13</v>
      </c>
    </row>
    <row r="934" spans="1:10" x14ac:dyDescent="0.2">
      <c r="A934" t="str">
        <f>[5]trip_summary_region!A934</f>
        <v>14 OTAGO</v>
      </c>
      <c r="B934">
        <f>[5]trip_summary_region!B934</f>
        <v>0</v>
      </c>
      <c r="C934">
        <f>[5]trip_summary_region!C934</f>
        <v>2018</v>
      </c>
      <c r="D934">
        <f>[5]trip_summary_region!D934</f>
        <v>545</v>
      </c>
      <c r="E934">
        <f>[5]trip_summary_region!E934</f>
        <v>2150</v>
      </c>
      <c r="F934">
        <f>[5]trip_summary_region!F934</f>
        <v>60.796851795000002</v>
      </c>
      <c r="G934">
        <f>[5]trip_summary_region!G934</f>
        <v>47.386578110000002</v>
      </c>
      <c r="H934">
        <f>[5]trip_summary_region!H934</f>
        <v>12.214177555999999</v>
      </c>
      <c r="I934" t="str">
        <f>[5]trip_summary_region!I934</f>
        <v>Pedestrian</v>
      </c>
      <c r="J934" t="str">
        <f>[5]trip_summary_region!J934</f>
        <v>2017/18</v>
      </c>
    </row>
    <row r="935" spans="1:10" x14ac:dyDescent="0.2">
      <c r="A935" t="str">
        <f>[5]trip_summary_region!A935</f>
        <v>14 OTAGO</v>
      </c>
      <c r="B935">
        <f>[5]trip_summary_region!B935</f>
        <v>0</v>
      </c>
      <c r="C935">
        <f>[5]trip_summary_region!C935</f>
        <v>2023</v>
      </c>
      <c r="D935">
        <f>[5]trip_summary_region!D935</f>
        <v>545</v>
      </c>
      <c r="E935">
        <f>[5]trip_summary_region!E935</f>
        <v>2150</v>
      </c>
      <c r="F935">
        <f>[5]trip_summary_region!F935</f>
        <v>61.997126135999999</v>
      </c>
      <c r="G935">
        <f>[5]trip_summary_region!G935</f>
        <v>47.982172128999999</v>
      </c>
      <c r="H935">
        <f>[5]trip_summary_region!H935</f>
        <v>12.505704363</v>
      </c>
      <c r="I935" t="str">
        <f>[5]trip_summary_region!I935</f>
        <v>Pedestrian</v>
      </c>
      <c r="J935" t="str">
        <f>[5]trip_summary_region!J935</f>
        <v>2022/23</v>
      </c>
    </row>
    <row r="936" spans="1:10" x14ac:dyDescent="0.2">
      <c r="A936" t="str">
        <f>[5]trip_summary_region!A936</f>
        <v>14 OTAGO</v>
      </c>
      <c r="B936">
        <f>[5]trip_summary_region!B936</f>
        <v>0</v>
      </c>
      <c r="C936">
        <f>[5]trip_summary_region!C936</f>
        <v>2028</v>
      </c>
      <c r="D936">
        <f>[5]trip_summary_region!D936</f>
        <v>545</v>
      </c>
      <c r="E936">
        <f>[5]trip_summary_region!E936</f>
        <v>2150</v>
      </c>
      <c r="F936">
        <f>[5]trip_summary_region!F936</f>
        <v>63.096424122000002</v>
      </c>
      <c r="G936">
        <f>[5]trip_summary_region!G936</f>
        <v>48.494361771000001</v>
      </c>
      <c r="H936">
        <f>[5]trip_summary_region!H936</f>
        <v>12.806522933</v>
      </c>
      <c r="I936" t="str">
        <f>[5]trip_summary_region!I936</f>
        <v>Pedestrian</v>
      </c>
      <c r="J936" t="str">
        <f>[5]trip_summary_region!J936</f>
        <v>2027/28</v>
      </c>
    </row>
    <row r="937" spans="1:10" x14ac:dyDescent="0.2">
      <c r="A937" t="str">
        <f>[5]trip_summary_region!A937</f>
        <v>14 OTAGO</v>
      </c>
      <c r="B937">
        <f>[5]trip_summary_region!B937</f>
        <v>0</v>
      </c>
      <c r="C937">
        <f>[5]trip_summary_region!C937</f>
        <v>2033</v>
      </c>
      <c r="D937">
        <f>[5]trip_summary_region!D937</f>
        <v>545</v>
      </c>
      <c r="E937">
        <f>[5]trip_summary_region!E937</f>
        <v>2150</v>
      </c>
      <c r="F937">
        <f>[5]trip_summary_region!F937</f>
        <v>63.810719028999998</v>
      </c>
      <c r="G937">
        <f>[5]trip_summary_region!G937</f>
        <v>48.675925939000003</v>
      </c>
      <c r="H937">
        <f>[5]trip_summary_region!H937</f>
        <v>13.020800356000001</v>
      </c>
      <c r="I937" t="str">
        <f>[5]trip_summary_region!I937</f>
        <v>Pedestrian</v>
      </c>
      <c r="J937" t="str">
        <f>[5]trip_summary_region!J937</f>
        <v>2032/33</v>
      </c>
    </row>
    <row r="938" spans="1:10" x14ac:dyDescent="0.2">
      <c r="A938" t="str">
        <f>[5]trip_summary_region!A938</f>
        <v>14 OTAGO</v>
      </c>
      <c r="B938">
        <f>[5]trip_summary_region!B938</f>
        <v>0</v>
      </c>
      <c r="C938">
        <f>[5]trip_summary_region!C938</f>
        <v>2038</v>
      </c>
      <c r="D938">
        <f>[5]trip_summary_region!D938</f>
        <v>545</v>
      </c>
      <c r="E938">
        <f>[5]trip_summary_region!E938</f>
        <v>2150</v>
      </c>
      <c r="F938">
        <f>[5]trip_summary_region!F938</f>
        <v>63.807855162000003</v>
      </c>
      <c r="G938">
        <f>[5]trip_summary_region!G938</f>
        <v>48.666016442</v>
      </c>
      <c r="H938">
        <f>[5]trip_summary_region!H938</f>
        <v>13.153838731</v>
      </c>
      <c r="I938" t="str">
        <f>[5]trip_summary_region!I938</f>
        <v>Pedestrian</v>
      </c>
      <c r="J938" t="str">
        <f>[5]trip_summary_region!J938</f>
        <v>2037/38</v>
      </c>
    </row>
    <row r="939" spans="1:10" x14ac:dyDescent="0.2">
      <c r="A939" t="str">
        <f>[5]trip_summary_region!A939</f>
        <v>14 OTAGO</v>
      </c>
      <c r="B939">
        <f>[5]trip_summary_region!B939</f>
        <v>0</v>
      </c>
      <c r="C939">
        <f>[5]trip_summary_region!C939</f>
        <v>2043</v>
      </c>
      <c r="D939">
        <f>[5]trip_summary_region!D939</f>
        <v>545</v>
      </c>
      <c r="E939">
        <f>[5]trip_summary_region!E939</f>
        <v>2150</v>
      </c>
      <c r="F939">
        <f>[5]trip_summary_region!F939</f>
        <v>63.751514180000001</v>
      </c>
      <c r="G939">
        <f>[5]trip_summary_region!G939</f>
        <v>48.694438234000003</v>
      </c>
      <c r="H939">
        <f>[5]trip_summary_region!H939</f>
        <v>13.292517348000001</v>
      </c>
      <c r="I939" t="str">
        <f>[5]trip_summary_region!I939</f>
        <v>Pedestrian</v>
      </c>
      <c r="J939" t="str">
        <f>[5]trip_summary_region!J939</f>
        <v>2042/43</v>
      </c>
    </row>
    <row r="940" spans="1:10" x14ac:dyDescent="0.2">
      <c r="A940" t="str">
        <f>[5]trip_summary_region!A940</f>
        <v>14 OTAGO</v>
      </c>
      <c r="B940">
        <f>[5]trip_summary_region!B940</f>
        <v>1</v>
      </c>
      <c r="C940">
        <f>[5]trip_summary_region!C940</f>
        <v>2013</v>
      </c>
      <c r="D940">
        <f>[5]trip_summary_region!D940</f>
        <v>52</v>
      </c>
      <c r="E940">
        <f>[5]trip_summary_region!E940</f>
        <v>151</v>
      </c>
      <c r="F940">
        <f>[5]trip_summary_region!F940</f>
        <v>4.5847179276999999</v>
      </c>
      <c r="G940">
        <f>[5]trip_summary_region!G940</f>
        <v>16.325352069000001</v>
      </c>
      <c r="H940">
        <f>[5]trip_summary_region!H940</f>
        <v>1.6089304994</v>
      </c>
      <c r="I940" t="str">
        <f>[5]trip_summary_region!I940</f>
        <v>Cyclist</v>
      </c>
      <c r="J940" t="str">
        <f>[5]trip_summary_region!J940</f>
        <v>2012/13</v>
      </c>
    </row>
    <row r="941" spans="1:10" x14ac:dyDescent="0.2">
      <c r="A941" t="str">
        <f>[5]trip_summary_region!A941</f>
        <v>14 OTAGO</v>
      </c>
      <c r="B941">
        <f>[5]trip_summary_region!B941</f>
        <v>1</v>
      </c>
      <c r="C941">
        <f>[5]trip_summary_region!C941</f>
        <v>2018</v>
      </c>
      <c r="D941">
        <f>[5]trip_summary_region!D941</f>
        <v>52</v>
      </c>
      <c r="E941">
        <f>[5]trip_summary_region!E941</f>
        <v>151</v>
      </c>
      <c r="F941">
        <f>[5]trip_summary_region!F941</f>
        <v>4.8412559068999999</v>
      </c>
      <c r="G941">
        <f>[5]trip_summary_region!G941</f>
        <v>18.235197306</v>
      </c>
      <c r="H941">
        <f>[5]trip_summary_region!H941</f>
        <v>1.7679523156000001</v>
      </c>
      <c r="I941" t="str">
        <f>[5]trip_summary_region!I941</f>
        <v>Cyclist</v>
      </c>
      <c r="J941" t="str">
        <f>[5]trip_summary_region!J941</f>
        <v>2017/18</v>
      </c>
    </row>
    <row r="942" spans="1:10" x14ac:dyDescent="0.2">
      <c r="A942" t="str">
        <f>[5]trip_summary_region!A942</f>
        <v>14 OTAGO</v>
      </c>
      <c r="B942">
        <f>[5]trip_summary_region!B942</f>
        <v>1</v>
      </c>
      <c r="C942">
        <f>[5]trip_summary_region!C942</f>
        <v>2023</v>
      </c>
      <c r="D942">
        <f>[5]trip_summary_region!D942</f>
        <v>52</v>
      </c>
      <c r="E942">
        <f>[5]trip_summary_region!E942</f>
        <v>151</v>
      </c>
      <c r="F942">
        <f>[5]trip_summary_region!F942</f>
        <v>4.9191726513000003</v>
      </c>
      <c r="G942">
        <f>[5]trip_summary_region!G942</f>
        <v>19.362682027999998</v>
      </c>
      <c r="H942">
        <f>[5]trip_summary_region!H942</f>
        <v>1.8549613444999999</v>
      </c>
      <c r="I942" t="str">
        <f>[5]trip_summary_region!I942</f>
        <v>Cyclist</v>
      </c>
      <c r="J942" t="str">
        <f>[5]trip_summary_region!J942</f>
        <v>2022/23</v>
      </c>
    </row>
    <row r="943" spans="1:10" x14ac:dyDescent="0.2">
      <c r="A943" t="str">
        <f>[5]trip_summary_region!A943</f>
        <v>14 OTAGO</v>
      </c>
      <c r="B943">
        <f>[5]trip_summary_region!B943</f>
        <v>1</v>
      </c>
      <c r="C943">
        <f>[5]trip_summary_region!C943</f>
        <v>2028</v>
      </c>
      <c r="D943">
        <f>[5]trip_summary_region!D943</f>
        <v>52</v>
      </c>
      <c r="E943">
        <f>[5]trip_summary_region!E943</f>
        <v>151</v>
      </c>
      <c r="F943">
        <f>[5]trip_summary_region!F943</f>
        <v>4.8681877093999999</v>
      </c>
      <c r="G943">
        <f>[5]trip_summary_region!G943</f>
        <v>19.949418475000002</v>
      </c>
      <c r="H943">
        <f>[5]trip_summary_region!H943</f>
        <v>1.8767371718999999</v>
      </c>
      <c r="I943" t="str">
        <f>[5]trip_summary_region!I943</f>
        <v>Cyclist</v>
      </c>
      <c r="J943" t="str">
        <f>[5]trip_summary_region!J943</f>
        <v>2027/28</v>
      </c>
    </row>
    <row r="944" spans="1:10" x14ac:dyDescent="0.2">
      <c r="A944" t="str">
        <f>[5]trip_summary_region!A944</f>
        <v>14 OTAGO</v>
      </c>
      <c r="B944">
        <f>[5]trip_summary_region!B944</f>
        <v>1</v>
      </c>
      <c r="C944">
        <f>[5]trip_summary_region!C944</f>
        <v>2033</v>
      </c>
      <c r="D944">
        <f>[5]trip_summary_region!D944</f>
        <v>52</v>
      </c>
      <c r="E944">
        <f>[5]trip_summary_region!E944</f>
        <v>151</v>
      </c>
      <c r="F944">
        <f>[5]trip_summary_region!F944</f>
        <v>4.8851595028999997</v>
      </c>
      <c r="G944">
        <f>[5]trip_summary_region!G944</f>
        <v>20.437167242000001</v>
      </c>
      <c r="H944">
        <f>[5]trip_summary_region!H944</f>
        <v>1.9072774389</v>
      </c>
      <c r="I944" t="str">
        <f>[5]trip_summary_region!I944</f>
        <v>Cyclist</v>
      </c>
      <c r="J944" t="str">
        <f>[5]trip_summary_region!J944</f>
        <v>2032/33</v>
      </c>
    </row>
    <row r="945" spans="1:10" x14ac:dyDescent="0.2">
      <c r="A945" t="str">
        <f>[5]trip_summary_region!A945</f>
        <v>14 OTAGO</v>
      </c>
      <c r="B945">
        <f>[5]trip_summary_region!B945</f>
        <v>1</v>
      </c>
      <c r="C945">
        <f>[5]trip_summary_region!C945</f>
        <v>2038</v>
      </c>
      <c r="D945">
        <f>[5]trip_summary_region!D945</f>
        <v>52</v>
      </c>
      <c r="E945">
        <f>[5]trip_summary_region!E945</f>
        <v>151</v>
      </c>
      <c r="F945">
        <f>[5]trip_summary_region!F945</f>
        <v>4.9559896441999998</v>
      </c>
      <c r="G945">
        <f>[5]trip_summary_region!G945</f>
        <v>20.988333574999999</v>
      </c>
      <c r="H945">
        <f>[5]trip_summary_region!H945</f>
        <v>1.9599779177000001</v>
      </c>
      <c r="I945" t="str">
        <f>[5]trip_summary_region!I945</f>
        <v>Cyclist</v>
      </c>
      <c r="J945" t="str">
        <f>[5]trip_summary_region!J945</f>
        <v>2037/38</v>
      </c>
    </row>
    <row r="946" spans="1:10" x14ac:dyDescent="0.2">
      <c r="A946" t="str">
        <f>[5]trip_summary_region!A946</f>
        <v>14 OTAGO</v>
      </c>
      <c r="B946">
        <f>[5]trip_summary_region!B946</f>
        <v>1</v>
      </c>
      <c r="C946">
        <f>[5]trip_summary_region!C946</f>
        <v>2043</v>
      </c>
      <c r="D946">
        <f>[5]trip_summary_region!D946</f>
        <v>52</v>
      </c>
      <c r="E946">
        <f>[5]trip_summary_region!E946</f>
        <v>151</v>
      </c>
      <c r="F946">
        <f>[5]trip_summary_region!F946</f>
        <v>4.9957824192000002</v>
      </c>
      <c r="G946">
        <f>[5]trip_summary_region!G946</f>
        <v>21.446010814000001</v>
      </c>
      <c r="H946">
        <f>[5]trip_summary_region!H946</f>
        <v>2.0065867569</v>
      </c>
      <c r="I946" t="str">
        <f>[5]trip_summary_region!I946</f>
        <v>Cyclist</v>
      </c>
      <c r="J946" t="str">
        <f>[5]trip_summary_region!J946</f>
        <v>2042/43</v>
      </c>
    </row>
    <row r="947" spans="1:10" x14ac:dyDescent="0.2">
      <c r="A947" t="str">
        <f>[5]trip_summary_region!A947</f>
        <v>14 OTAGO</v>
      </c>
      <c r="B947">
        <f>[5]trip_summary_region!B947</f>
        <v>2</v>
      </c>
      <c r="C947">
        <f>[5]trip_summary_region!C947</f>
        <v>2013</v>
      </c>
      <c r="D947">
        <f>[5]trip_summary_region!D947</f>
        <v>734</v>
      </c>
      <c r="E947">
        <f>[5]trip_summary_region!E947</f>
        <v>5488</v>
      </c>
      <c r="F947">
        <f>[5]trip_summary_region!F947</f>
        <v>150.49144967999999</v>
      </c>
      <c r="G947">
        <f>[5]trip_summary_region!G947</f>
        <v>1192.1699989000001</v>
      </c>
      <c r="H947">
        <f>[5]trip_summary_region!H947</f>
        <v>32.522387277</v>
      </c>
      <c r="I947" t="str">
        <f>[5]trip_summary_region!I947</f>
        <v>Light Vehicle Driver</v>
      </c>
      <c r="J947" t="str">
        <f>[5]trip_summary_region!J947</f>
        <v>2012/13</v>
      </c>
    </row>
    <row r="948" spans="1:10" x14ac:dyDescent="0.2">
      <c r="A948" t="str">
        <f>[5]trip_summary_region!A948</f>
        <v>14 OTAGO</v>
      </c>
      <c r="B948">
        <f>[5]trip_summary_region!B948</f>
        <v>2</v>
      </c>
      <c r="C948">
        <f>[5]trip_summary_region!C948</f>
        <v>2018</v>
      </c>
      <c r="D948">
        <f>[5]trip_summary_region!D948</f>
        <v>734</v>
      </c>
      <c r="E948">
        <f>[5]trip_summary_region!E948</f>
        <v>5488</v>
      </c>
      <c r="F948">
        <f>[5]trip_summary_region!F948</f>
        <v>159.70200933999999</v>
      </c>
      <c r="G948">
        <f>[5]trip_summary_region!G948</f>
        <v>1298.7111362999999</v>
      </c>
      <c r="H948">
        <f>[5]trip_summary_region!H948</f>
        <v>35.047520081000002</v>
      </c>
      <c r="I948" t="str">
        <f>[5]trip_summary_region!I948</f>
        <v>Light Vehicle Driver</v>
      </c>
      <c r="J948" t="str">
        <f>[5]trip_summary_region!J948</f>
        <v>2017/18</v>
      </c>
    </row>
    <row r="949" spans="1:10" x14ac:dyDescent="0.2">
      <c r="A949" t="str">
        <f>[5]trip_summary_region!A949</f>
        <v>14 OTAGO</v>
      </c>
      <c r="B949">
        <f>[5]trip_summary_region!B949</f>
        <v>2</v>
      </c>
      <c r="C949">
        <f>[5]trip_summary_region!C949</f>
        <v>2023</v>
      </c>
      <c r="D949">
        <f>[5]trip_summary_region!D949</f>
        <v>734</v>
      </c>
      <c r="E949">
        <f>[5]trip_summary_region!E949</f>
        <v>5488</v>
      </c>
      <c r="F949">
        <f>[5]trip_summary_region!F949</f>
        <v>166.14523986</v>
      </c>
      <c r="G949">
        <f>[5]trip_summary_region!G949</f>
        <v>1376.777529</v>
      </c>
      <c r="H949">
        <f>[5]trip_summary_region!H949</f>
        <v>36.840139030000003</v>
      </c>
      <c r="I949" t="str">
        <f>[5]trip_summary_region!I949</f>
        <v>Light Vehicle Driver</v>
      </c>
      <c r="J949" t="str">
        <f>[5]trip_summary_region!J949</f>
        <v>2022/23</v>
      </c>
    </row>
    <row r="950" spans="1:10" x14ac:dyDescent="0.2">
      <c r="A950" t="str">
        <f>[5]trip_summary_region!A950</f>
        <v>14 OTAGO</v>
      </c>
      <c r="B950">
        <f>[5]trip_summary_region!B950</f>
        <v>2</v>
      </c>
      <c r="C950">
        <f>[5]trip_summary_region!C950</f>
        <v>2028</v>
      </c>
      <c r="D950">
        <f>[5]trip_summary_region!D950</f>
        <v>734</v>
      </c>
      <c r="E950">
        <f>[5]trip_summary_region!E950</f>
        <v>5488</v>
      </c>
      <c r="F950">
        <f>[5]trip_summary_region!F950</f>
        <v>175.27326683000001</v>
      </c>
      <c r="G950">
        <f>[5]trip_summary_region!G950</f>
        <v>1469.3653337999999</v>
      </c>
      <c r="H950">
        <f>[5]trip_summary_region!H950</f>
        <v>39.112777749999999</v>
      </c>
      <c r="I950" t="str">
        <f>[5]trip_summary_region!I950</f>
        <v>Light Vehicle Driver</v>
      </c>
      <c r="J950" t="str">
        <f>[5]trip_summary_region!J950</f>
        <v>2027/28</v>
      </c>
    </row>
    <row r="951" spans="1:10" x14ac:dyDescent="0.2">
      <c r="A951" t="str">
        <f>[5]trip_summary_region!A951</f>
        <v>14 OTAGO</v>
      </c>
      <c r="B951">
        <f>[5]trip_summary_region!B951</f>
        <v>2</v>
      </c>
      <c r="C951">
        <f>[5]trip_summary_region!C951</f>
        <v>2033</v>
      </c>
      <c r="D951">
        <f>[5]trip_summary_region!D951</f>
        <v>734</v>
      </c>
      <c r="E951">
        <f>[5]trip_summary_region!E951</f>
        <v>5488</v>
      </c>
      <c r="F951">
        <f>[5]trip_summary_region!F951</f>
        <v>183.12259963</v>
      </c>
      <c r="G951">
        <f>[5]trip_summary_region!G951</f>
        <v>1561.3746606</v>
      </c>
      <c r="H951">
        <f>[5]trip_summary_region!H951</f>
        <v>41.222904395</v>
      </c>
      <c r="I951" t="str">
        <f>[5]trip_summary_region!I951</f>
        <v>Light Vehicle Driver</v>
      </c>
      <c r="J951" t="str">
        <f>[5]trip_summary_region!J951</f>
        <v>2032/33</v>
      </c>
    </row>
    <row r="952" spans="1:10" x14ac:dyDescent="0.2">
      <c r="A952" t="str">
        <f>[5]trip_summary_region!A952</f>
        <v>14 OTAGO</v>
      </c>
      <c r="B952">
        <f>[5]trip_summary_region!B952</f>
        <v>2</v>
      </c>
      <c r="C952">
        <f>[5]trip_summary_region!C952</f>
        <v>2038</v>
      </c>
      <c r="D952">
        <f>[5]trip_summary_region!D952</f>
        <v>734</v>
      </c>
      <c r="E952">
        <f>[5]trip_summary_region!E952</f>
        <v>5488</v>
      </c>
      <c r="F952">
        <f>[5]trip_summary_region!F952</f>
        <v>187.54720057</v>
      </c>
      <c r="G952">
        <f>[5]trip_summary_region!G952</f>
        <v>1646.2872542</v>
      </c>
      <c r="H952">
        <f>[5]trip_summary_region!H952</f>
        <v>42.892199804000001</v>
      </c>
      <c r="I952" t="str">
        <f>[5]trip_summary_region!I952</f>
        <v>Light Vehicle Driver</v>
      </c>
      <c r="J952" t="str">
        <f>[5]trip_summary_region!J952</f>
        <v>2037/38</v>
      </c>
    </row>
    <row r="953" spans="1:10" x14ac:dyDescent="0.2">
      <c r="A953" t="str">
        <f>[5]trip_summary_region!A953</f>
        <v>14 OTAGO</v>
      </c>
      <c r="B953">
        <f>[5]trip_summary_region!B953</f>
        <v>2</v>
      </c>
      <c r="C953">
        <f>[5]trip_summary_region!C953</f>
        <v>2043</v>
      </c>
      <c r="D953">
        <f>[5]trip_summary_region!D953</f>
        <v>734</v>
      </c>
      <c r="E953">
        <f>[5]trip_summary_region!E953</f>
        <v>5488</v>
      </c>
      <c r="F953">
        <f>[5]trip_summary_region!F953</f>
        <v>191.12834236</v>
      </c>
      <c r="G953">
        <f>[5]trip_summary_region!G953</f>
        <v>1731.770019</v>
      </c>
      <c r="H953">
        <f>[5]trip_summary_region!H953</f>
        <v>44.458415834</v>
      </c>
      <c r="I953" t="str">
        <f>[5]trip_summary_region!I953</f>
        <v>Light Vehicle Driver</v>
      </c>
      <c r="J953" t="str">
        <f>[5]trip_summary_region!J953</f>
        <v>2042/43</v>
      </c>
    </row>
    <row r="954" spans="1:10" x14ac:dyDescent="0.2">
      <c r="A954" t="str">
        <f>[5]trip_summary_region!A954</f>
        <v>14 OTAGO</v>
      </c>
      <c r="B954">
        <f>[5]trip_summary_region!B954</f>
        <v>3</v>
      </c>
      <c r="C954">
        <f>[5]trip_summary_region!C954</f>
        <v>2013</v>
      </c>
      <c r="D954">
        <f>[5]trip_summary_region!D954</f>
        <v>543</v>
      </c>
      <c r="E954">
        <f>[5]trip_summary_region!E954</f>
        <v>2595</v>
      </c>
      <c r="F954">
        <f>[5]trip_summary_region!F954</f>
        <v>71.232164202000007</v>
      </c>
      <c r="G954">
        <f>[5]trip_summary_region!G954</f>
        <v>849.31688999999994</v>
      </c>
      <c r="H954">
        <f>[5]trip_summary_region!H954</f>
        <v>19.901766343999999</v>
      </c>
      <c r="I954" t="str">
        <f>[5]trip_summary_region!I954</f>
        <v>Light Vehicle Passenger</v>
      </c>
      <c r="J954" t="str">
        <f>[5]trip_summary_region!J954</f>
        <v>2012/13</v>
      </c>
    </row>
    <row r="955" spans="1:10" x14ac:dyDescent="0.2">
      <c r="A955" t="str">
        <f>[5]trip_summary_region!A955</f>
        <v>14 OTAGO</v>
      </c>
      <c r="B955">
        <f>[5]trip_summary_region!B955</f>
        <v>3</v>
      </c>
      <c r="C955">
        <f>[5]trip_summary_region!C955</f>
        <v>2018</v>
      </c>
      <c r="D955">
        <f>[5]trip_summary_region!D955</f>
        <v>543</v>
      </c>
      <c r="E955">
        <f>[5]trip_summary_region!E955</f>
        <v>2595</v>
      </c>
      <c r="F955">
        <f>[5]trip_summary_region!F955</f>
        <v>73.294502230000006</v>
      </c>
      <c r="G955">
        <f>[5]trip_summary_region!G955</f>
        <v>896.64137233999998</v>
      </c>
      <c r="H955">
        <f>[5]trip_summary_region!H955</f>
        <v>20.814573263</v>
      </c>
      <c r="I955" t="str">
        <f>[5]trip_summary_region!I955</f>
        <v>Light Vehicle Passenger</v>
      </c>
      <c r="J955" t="str">
        <f>[5]trip_summary_region!J955</f>
        <v>2017/18</v>
      </c>
    </row>
    <row r="956" spans="1:10" x14ac:dyDescent="0.2">
      <c r="A956" t="str">
        <f>[5]trip_summary_region!A956</f>
        <v>14 OTAGO</v>
      </c>
      <c r="B956">
        <f>[5]trip_summary_region!B956</f>
        <v>3</v>
      </c>
      <c r="C956">
        <f>[5]trip_summary_region!C956</f>
        <v>2023</v>
      </c>
      <c r="D956">
        <f>[5]trip_summary_region!D956</f>
        <v>543</v>
      </c>
      <c r="E956">
        <f>[5]trip_summary_region!E956</f>
        <v>2595</v>
      </c>
      <c r="F956">
        <f>[5]trip_summary_region!F956</f>
        <v>74.347849818</v>
      </c>
      <c r="G956">
        <f>[5]trip_summary_region!G956</f>
        <v>923.23762542999998</v>
      </c>
      <c r="H956">
        <f>[5]trip_summary_region!H956</f>
        <v>21.305235562</v>
      </c>
      <c r="I956" t="str">
        <f>[5]trip_summary_region!I956</f>
        <v>Light Vehicle Passenger</v>
      </c>
      <c r="J956" t="str">
        <f>[5]trip_summary_region!J956</f>
        <v>2022/23</v>
      </c>
    </row>
    <row r="957" spans="1:10" x14ac:dyDescent="0.2">
      <c r="A957" t="str">
        <f>[5]trip_summary_region!A957</f>
        <v>14 OTAGO</v>
      </c>
      <c r="B957">
        <f>[5]trip_summary_region!B957</f>
        <v>3</v>
      </c>
      <c r="C957">
        <f>[5]trip_summary_region!C957</f>
        <v>2028</v>
      </c>
      <c r="D957">
        <f>[5]trip_summary_region!D957</f>
        <v>543</v>
      </c>
      <c r="E957">
        <f>[5]trip_summary_region!E957</f>
        <v>2595</v>
      </c>
      <c r="F957">
        <f>[5]trip_summary_region!F957</f>
        <v>75.467444987999997</v>
      </c>
      <c r="G957">
        <f>[5]trip_summary_region!G957</f>
        <v>956.65870494000001</v>
      </c>
      <c r="H957">
        <f>[5]trip_summary_region!H957</f>
        <v>21.899278296999999</v>
      </c>
      <c r="I957" t="str">
        <f>[5]trip_summary_region!I957</f>
        <v>Light Vehicle Passenger</v>
      </c>
      <c r="J957" t="str">
        <f>[5]trip_summary_region!J957</f>
        <v>2027/28</v>
      </c>
    </row>
    <row r="958" spans="1:10" x14ac:dyDescent="0.2">
      <c r="A958" t="str">
        <f>[5]trip_summary_region!A958</f>
        <v>14 OTAGO</v>
      </c>
      <c r="B958">
        <f>[5]trip_summary_region!B958</f>
        <v>3</v>
      </c>
      <c r="C958">
        <f>[5]trip_summary_region!C958</f>
        <v>2033</v>
      </c>
      <c r="D958">
        <f>[5]trip_summary_region!D958</f>
        <v>543</v>
      </c>
      <c r="E958">
        <f>[5]trip_summary_region!E958</f>
        <v>2595</v>
      </c>
      <c r="F958">
        <f>[5]trip_summary_region!F958</f>
        <v>76.355067157999997</v>
      </c>
      <c r="G958">
        <f>[5]trip_summary_region!G958</f>
        <v>975.51560033999999</v>
      </c>
      <c r="H958">
        <f>[5]trip_summary_region!H958</f>
        <v>22.209506107999999</v>
      </c>
      <c r="I958" t="str">
        <f>[5]trip_summary_region!I958</f>
        <v>Light Vehicle Passenger</v>
      </c>
      <c r="J958" t="str">
        <f>[5]trip_summary_region!J958</f>
        <v>2032/33</v>
      </c>
    </row>
    <row r="959" spans="1:10" x14ac:dyDescent="0.2">
      <c r="A959" t="str">
        <f>[5]trip_summary_region!A959</f>
        <v>14 OTAGO</v>
      </c>
      <c r="B959">
        <f>[5]trip_summary_region!B959</f>
        <v>3</v>
      </c>
      <c r="C959">
        <f>[5]trip_summary_region!C959</f>
        <v>2038</v>
      </c>
      <c r="D959">
        <f>[5]trip_summary_region!D959</f>
        <v>543</v>
      </c>
      <c r="E959">
        <f>[5]trip_summary_region!E959</f>
        <v>2595</v>
      </c>
      <c r="F959">
        <f>[5]trip_summary_region!F959</f>
        <v>76.620401728999994</v>
      </c>
      <c r="G959">
        <f>[5]trip_summary_region!G959</f>
        <v>996.68134499999996</v>
      </c>
      <c r="H959">
        <f>[5]trip_summary_region!H959</f>
        <v>22.584812460999999</v>
      </c>
      <c r="I959" t="str">
        <f>[5]trip_summary_region!I959</f>
        <v>Light Vehicle Passenger</v>
      </c>
      <c r="J959" t="str">
        <f>[5]trip_summary_region!J959</f>
        <v>2037/38</v>
      </c>
    </row>
    <row r="960" spans="1:10" x14ac:dyDescent="0.2">
      <c r="A960" t="str">
        <f>[5]trip_summary_region!A960</f>
        <v>14 OTAGO</v>
      </c>
      <c r="B960">
        <f>[5]trip_summary_region!B960</f>
        <v>3</v>
      </c>
      <c r="C960">
        <f>[5]trip_summary_region!C960</f>
        <v>2043</v>
      </c>
      <c r="D960">
        <f>[5]trip_summary_region!D960</f>
        <v>543</v>
      </c>
      <c r="E960">
        <f>[5]trip_summary_region!E960</f>
        <v>2595</v>
      </c>
      <c r="F960">
        <f>[5]trip_summary_region!F960</f>
        <v>76.522435392999995</v>
      </c>
      <c r="G960">
        <f>[5]trip_summary_region!G960</f>
        <v>1015.8486092000001</v>
      </c>
      <c r="H960">
        <f>[5]trip_summary_region!H960</f>
        <v>22.891949746000002</v>
      </c>
      <c r="I960" t="str">
        <f>[5]trip_summary_region!I960</f>
        <v>Light Vehicle Passenger</v>
      </c>
      <c r="J960" t="str">
        <f>[5]trip_summary_region!J960</f>
        <v>2042/43</v>
      </c>
    </row>
    <row r="961" spans="1:10" x14ac:dyDescent="0.2">
      <c r="A961" t="str">
        <f>[5]trip_summary_region!A961</f>
        <v>14 OTAGO</v>
      </c>
      <c r="B961">
        <f>[5]trip_summary_region!B961</f>
        <v>4</v>
      </c>
      <c r="C961">
        <f>[5]trip_summary_region!C961</f>
        <v>2013</v>
      </c>
      <c r="D961">
        <f>[5]trip_summary_region!D961</f>
        <v>21</v>
      </c>
      <c r="E961">
        <f>[5]trip_summary_region!E961</f>
        <v>36</v>
      </c>
      <c r="F961">
        <f>[5]trip_summary_region!F961</f>
        <v>0.85820748670000002</v>
      </c>
      <c r="G961">
        <f>[5]trip_summary_region!G961</f>
        <v>7.2892681777000004</v>
      </c>
      <c r="H961">
        <f>[5]trip_summary_region!H961</f>
        <v>0.23496676969999999</v>
      </c>
      <c r="I961" t="s">
        <v>116</v>
      </c>
      <c r="J961" t="str">
        <f>[5]trip_summary_region!J961</f>
        <v>2012/13</v>
      </c>
    </row>
    <row r="962" spans="1:10" x14ac:dyDescent="0.2">
      <c r="A962" t="str">
        <f>[5]trip_summary_region!A962</f>
        <v>14 OTAGO</v>
      </c>
      <c r="B962">
        <f>[5]trip_summary_region!B962</f>
        <v>4</v>
      </c>
      <c r="C962">
        <f>[5]trip_summary_region!C962</f>
        <v>2018</v>
      </c>
      <c r="D962">
        <f>[5]trip_summary_region!D962</f>
        <v>21</v>
      </c>
      <c r="E962">
        <f>[5]trip_summary_region!E962</f>
        <v>36</v>
      </c>
      <c r="F962">
        <f>[5]trip_summary_region!F962</f>
        <v>0.87420387190000004</v>
      </c>
      <c r="G962">
        <f>[5]trip_summary_region!G962</f>
        <v>7.4876000621000003</v>
      </c>
      <c r="H962">
        <f>[5]trip_summary_region!H962</f>
        <v>0.24310624889999999</v>
      </c>
      <c r="I962" t="s">
        <v>116</v>
      </c>
      <c r="J962" t="str">
        <f>[5]trip_summary_region!J962</f>
        <v>2017/18</v>
      </c>
    </row>
    <row r="963" spans="1:10" x14ac:dyDescent="0.2">
      <c r="A963" t="str">
        <f>[5]trip_summary_region!A963</f>
        <v>14 OTAGO</v>
      </c>
      <c r="B963">
        <f>[5]trip_summary_region!B963</f>
        <v>4</v>
      </c>
      <c r="C963">
        <f>[5]trip_summary_region!C963</f>
        <v>2023</v>
      </c>
      <c r="D963">
        <f>[5]trip_summary_region!D963</f>
        <v>21</v>
      </c>
      <c r="E963">
        <f>[5]trip_summary_region!E963</f>
        <v>36</v>
      </c>
      <c r="F963">
        <f>[5]trip_summary_region!F963</f>
        <v>0.86813836909999997</v>
      </c>
      <c r="G963">
        <f>[5]trip_summary_region!G963</f>
        <v>7.7225590812</v>
      </c>
      <c r="H963">
        <f>[5]trip_summary_region!H963</f>
        <v>0.25261244109999997</v>
      </c>
      <c r="I963" t="s">
        <v>116</v>
      </c>
      <c r="J963" t="str">
        <f>[5]trip_summary_region!J963</f>
        <v>2022/23</v>
      </c>
    </row>
    <row r="964" spans="1:10" x14ac:dyDescent="0.2">
      <c r="A964" t="str">
        <f>[5]trip_summary_region!A964</f>
        <v>14 OTAGO</v>
      </c>
      <c r="B964">
        <f>[5]trip_summary_region!B964</f>
        <v>4</v>
      </c>
      <c r="C964">
        <f>[5]trip_summary_region!C964</f>
        <v>2028</v>
      </c>
      <c r="D964">
        <f>[5]trip_summary_region!D964</f>
        <v>21</v>
      </c>
      <c r="E964">
        <f>[5]trip_summary_region!E964</f>
        <v>36</v>
      </c>
      <c r="F964">
        <f>[5]trip_summary_region!F964</f>
        <v>0.87977275669999999</v>
      </c>
      <c r="G964">
        <f>[5]trip_summary_region!G964</f>
        <v>7.9417531079000003</v>
      </c>
      <c r="H964">
        <f>[5]trip_summary_region!H964</f>
        <v>0.26113935179999997</v>
      </c>
      <c r="I964" t="s">
        <v>116</v>
      </c>
      <c r="J964" t="str">
        <f>[5]trip_summary_region!J964</f>
        <v>2027/28</v>
      </c>
    </row>
    <row r="965" spans="1:10" x14ac:dyDescent="0.2">
      <c r="A965" t="str">
        <f>[5]trip_summary_region!A965</f>
        <v>14 OTAGO</v>
      </c>
      <c r="B965">
        <f>[5]trip_summary_region!B965</f>
        <v>4</v>
      </c>
      <c r="C965">
        <f>[5]trip_summary_region!C965</f>
        <v>2033</v>
      </c>
      <c r="D965">
        <f>[5]trip_summary_region!D965</f>
        <v>21</v>
      </c>
      <c r="E965">
        <f>[5]trip_summary_region!E965</f>
        <v>36</v>
      </c>
      <c r="F965">
        <f>[5]trip_summary_region!F965</f>
        <v>0.89737092870000001</v>
      </c>
      <c r="G965">
        <f>[5]trip_summary_region!G965</f>
        <v>8.1503556295999999</v>
      </c>
      <c r="H965">
        <f>[5]trip_summary_region!H965</f>
        <v>0.26837889459999997</v>
      </c>
      <c r="I965" t="s">
        <v>116</v>
      </c>
      <c r="J965" t="str">
        <f>[5]trip_summary_region!J965</f>
        <v>2032/33</v>
      </c>
    </row>
    <row r="966" spans="1:10" x14ac:dyDescent="0.2">
      <c r="A966" t="str">
        <f>[5]trip_summary_region!A966</f>
        <v>14 OTAGO</v>
      </c>
      <c r="B966">
        <f>[5]trip_summary_region!B966</f>
        <v>4</v>
      </c>
      <c r="C966">
        <f>[5]trip_summary_region!C966</f>
        <v>2038</v>
      </c>
      <c r="D966">
        <f>[5]trip_summary_region!D966</f>
        <v>21</v>
      </c>
      <c r="E966">
        <f>[5]trip_summary_region!E966</f>
        <v>36</v>
      </c>
      <c r="F966">
        <f>[5]trip_summary_region!F966</f>
        <v>0.86552040200000002</v>
      </c>
      <c r="G966">
        <f>[5]trip_summary_region!G966</f>
        <v>7.9118885525999998</v>
      </c>
      <c r="H966">
        <f>[5]trip_summary_region!H966</f>
        <v>0.2614860973</v>
      </c>
      <c r="I966" t="s">
        <v>116</v>
      </c>
      <c r="J966" t="str">
        <f>[5]trip_summary_region!J966</f>
        <v>2037/38</v>
      </c>
    </row>
    <row r="967" spans="1:10" x14ac:dyDescent="0.2">
      <c r="A967" t="str">
        <f>[5]trip_summary_region!A967</f>
        <v>14 OTAGO</v>
      </c>
      <c r="B967">
        <f>[5]trip_summary_region!B967</f>
        <v>4</v>
      </c>
      <c r="C967">
        <f>[5]trip_summary_region!C967</f>
        <v>2043</v>
      </c>
      <c r="D967">
        <f>[5]trip_summary_region!D967</f>
        <v>21</v>
      </c>
      <c r="E967">
        <f>[5]trip_summary_region!E967</f>
        <v>36</v>
      </c>
      <c r="F967">
        <f>[5]trip_summary_region!F967</f>
        <v>0.82567941</v>
      </c>
      <c r="G967">
        <f>[5]trip_summary_region!G967</f>
        <v>7.5791624594</v>
      </c>
      <c r="H967">
        <f>[5]trip_summary_region!H967</f>
        <v>0.25097176630000001</v>
      </c>
      <c r="I967" t="s">
        <v>116</v>
      </c>
      <c r="J967" t="str">
        <f>[5]trip_summary_region!J967</f>
        <v>2042/43</v>
      </c>
    </row>
    <row r="968" spans="1:10" x14ac:dyDescent="0.2">
      <c r="A968" t="str">
        <f>[5]trip_summary_region!A968</f>
        <v>14 OTAGO</v>
      </c>
      <c r="B968">
        <f>[5]trip_summary_region!B968</f>
        <v>5</v>
      </c>
      <c r="C968">
        <f>[5]trip_summary_region!C968</f>
        <v>2013</v>
      </c>
      <c r="D968">
        <f>[5]trip_summary_region!D968</f>
        <v>12</v>
      </c>
      <c r="E968">
        <f>[5]trip_summary_region!E968</f>
        <v>57</v>
      </c>
      <c r="F968">
        <f>[5]trip_summary_region!F968</f>
        <v>2.0937246197000001</v>
      </c>
      <c r="G968">
        <f>[5]trip_summary_region!G968</f>
        <v>18.503357486999999</v>
      </c>
      <c r="H968">
        <f>[5]trip_summary_region!H968</f>
        <v>0.42545310469999997</v>
      </c>
      <c r="I968" t="str">
        <f>[5]trip_summary_region!I968</f>
        <v>Motorcyclist</v>
      </c>
      <c r="J968" t="str">
        <f>[5]trip_summary_region!J968</f>
        <v>2012/13</v>
      </c>
    </row>
    <row r="969" spans="1:10" x14ac:dyDescent="0.2">
      <c r="A969" t="str">
        <f>[5]trip_summary_region!A969</f>
        <v>14 OTAGO</v>
      </c>
      <c r="B969">
        <f>[5]trip_summary_region!B969</f>
        <v>5</v>
      </c>
      <c r="C969">
        <f>[5]trip_summary_region!C969</f>
        <v>2018</v>
      </c>
      <c r="D969">
        <f>[5]trip_summary_region!D969</f>
        <v>12</v>
      </c>
      <c r="E969">
        <f>[5]trip_summary_region!E969</f>
        <v>57</v>
      </c>
      <c r="F969">
        <f>[5]trip_summary_region!F969</f>
        <v>2.1862938811000001</v>
      </c>
      <c r="G969">
        <f>[5]trip_summary_region!G969</f>
        <v>20.496146268</v>
      </c>
      <c r="H969">
        <f>[5]trip_summary_region!H969</f>
        <v>0.45994761150000002</v>
      </c>
      <c r="I969" t="str">
        <f>[5]trip_summary_region!I969</f>
        <v>Motorcyclist</v>
      </c>
      <c r="J969" t="str">
        <f>[5]trip_summary_region!J969</f>
        <v>2017/18</v>
      </c>
    </row>
    <row r="970" spans="1:10" x14ac:dyDescent="0.2">
      <c r="A970" t="str">
        <f>[5]trip_summary_region!A970</f>
        <v>14 OTAGO</v>
      </c>
      <c r="B970">
        <f>[5]trip_summary_region!B970</f>
        <v>5</v>
      </c>
      <c r="C970">
        <f>[5]trip_summary_region!C970</f>
        <v>2023</v>
      </c>
      <c r="D970">
        <f>[5]trip_summary_region!D970</f>
        <v>12</v>
      </c>
      <c r="E970">
        <f>[5]trip_summary_region!E970</f>
        <v>57</v>
      </c>
      <c r="F970">
        <f>[5]trip_summary_region!F970</f>
        <v>2.1656479633000001</v>
      </c>
      <c r="G970">
        <f>[5]trip_summary_region!G970</f>
        <v>21.602136982000001</v>
      </c>
      <c r="H970">
        <f>[5]trip_summary_region!H970</f>
        <v>0.47357988880000002</v>
      </c>
      <c r="I970" t="str">
        <f>[5]trip_summary_region!I970</f>
        <v>Motorcyclist</v>
      </c>
      <c r="J970" t="str">
        <f>[5]trip_summary_region!J970</f>
        <v>2022/23</v>
      </c>
    </row>
    <row r="971" spans="1:10" x14ac:dyDescent="0.2">
      <c r="A971" t="str">
        <f>[5]trip_summary_region!A971</f>
        <v>14 OTAGO</v>
      </c>
      <c r="B971">
        <f>[5]trip_summary_region!B971</f>
        <v>5</v>
      </c>
      <c r="C971">
        <f>[5]trip_summary_region!C971</f>
        <v>2028</v>
      </c>
      <c r="D971">
        <f>[5]trip_summary_region!D971</f>
        <v>12</v>
      </c>
      <c r="E971">
        <f>[5]trip_summary_region!E971</f>
        <v>57</v>
      </c>
      <c r="F971">
        <f>[5]trip_summary_region!F971</f>
        <v>2.1300666510999999</v>
      </c>
      <c r="G971">
        <f>[5]trip_summary_region!G971</f>
        <v>22.871564192000001</v>
      </c>
      <c r="H971">
        <f>[5]trip_summary_region!H971</f>
        <v>0.48991933859999998</v>
      </c>
      <c r="I971" t="str">
        <f>[5]trip_summary_region!I971</f>
        <v>Motorcyclist</v>
      </c>
      <c r="J971" t="str">
        <f>[5]trip_summary_region!J971</f>
        <v>2027/28</v>
      </c>
    </row>
    <row r="972" spans="1:10" x14ac:dyDescent="0.2">
      <c r="A972" t="str">
        <f>[5]trip_summary_region!A972</f>
        <v>14 OTAGO</v>
      </c>
      <c r="B972">
        <f>[5]trip_summary_region!B972</f>
        <v>5</v>
      </c>
      <c r="C972">
        <f>[5]trip_summary_region!C972</f>
        <v>2033</v>
      </c>
      <c r="D972">
        <f>[5]trip_summary_region!D972</f>
        <v>12</v>
      </c>
      <c r="E972">
        <f>[5]trip_summary_region!E972</f>
        <v>57</v>
      </c>
      <c r="F972">
        <f>[5]trip_summary_region!F972</f>
        <v>2.0345127861000001</v>
      </c>
      <c r="G972">
        <f>[5]trip_summary_region!G972</f>
        <v>23.561107525000001</v>
      </c>
      <c r="H972">
        <f>[5]trip_summary_region!H972</f>
        <v>0.49524430790000001</v>
      </c>
      <c r="I972" t="str">
        <f>[5]trip_summary_region!I972</f>
        <v>Motorcyclist</v>
      </c>
      <c r="J972" t="str">
        <f>[5]trip_summary_region!J972</f>
        <v>2032/33</v>
      </c>
    </row>
    <row r="973" spans="1:10" x14ac:dyDescent="0.2">
      <c r="A973" t="str">
        <f>[5]trip_summary_region!A973</f>
        <v>14 OTAGO</v>
      </c>
      <c r="B973">
        <f>[5]trip_summary_region!B973</f>
        <v>5</v>
      </c>
      <c r="C973">
        <f>[5]trip_summary_region!C973</f>
        <v>2038</v>
      </c>
      <c r="D973">
        <f>[5]trip_summary_region!D973</f>
        <v>12</v>
      </c>
      <c r="E973">
        <f>[5]trip_summary_region!E973</f>
        <v>57</v>
      </c>
      <c r="F973">
        <f>[5]trip_summary_region!F973</f>
        <v>1.9010460348</v>
      </c>
      <c r="G973">
        <f>[5]trip_summary_region!G973</f>
        <v>23.444589871000002</v>
      </c>
      <c r="H973">
        <f>[5]trip_summary_region!H973</f>
        <v>0.48725169460000001</v>
      </c>
      <c r="I973" t="str">
        <f>[5]trip_summary_region!I973</f>
        <v>Motorcyclist</v>
      </c>
      <c r="J973" t="str">
        <f>[5]trip_summary_region!J973</f>
        <v>2037/38</v>
      </c>
    </row>
    <row r="974" spans="1:10" x14ac:dyDescent="0.2">
      <c r="A974" t="str">
        <f>[5]trip_summary_region!A974</f>
        <v>14 OTAGO</v>
      </c>
      <c r="B974">
        <f>[5]trip_summary_region!B974</f>
        <v>5</v>
      </c>
      <c r="C974">
        <f>[5]trip_summary_region!C974</f>
        <v>2043</v>
      </c>
      <c r="D974">
        <f>[5]trip_summary_region!D974</f>
        <v>12</v>
      </c>
      <c r="E974">
        <f>[5]trip_summary_region!E974</f>
        <v>57</v>
      </c>
      <c r="F974">
        <f>[5]trip_summary_region!F974</f>
        <v>1.7603265138999999</v>
      </c>
      <c r="G974">
        <f>[5]trip_summary_region!G974</f>
        <v>23.168042916000001</v>
      </c>
      <c r="H974">
        <f>[5]trip_summary_region!H974</f>
        <v>0.47592469180000002</v>
      </c>
      <c r="I974" t="str">
        <f>[5]trip_summary_region!I974</f>
        <v>Motorcyclist</v>
      </c>
      <c r="J974" t="str">
        <f>[5]trip_summary_region!J974</f>
        <v>2042/43</v>
      </c>
    </row>
    <row r="975" spans="1:10" x14ac:dyDescent="0.2">
      <c r="A975" t="str">
        <f>[5]trip_summary_region!A975</f>
        <v>14 OTAGO</v>
      </c>
      <c r="B975">
        <f>[5]trip_summary_region!B975</f>
        <v>7</v>
      </c>
      <c r="C975">
        <f>[5]trip_summary_region!C975</f>
        <v>2013</v>
      </c>
      <c r="D975">
        <f>[5]trip_summary_region!D975</f>
        <v>70</v>
      </c>
      <c r="E975">
        <f>[5]trip_summary_region!E975</f>
        <v>148</v>
      </c>
      <c r="F975">
        <f>[5]trip_summary_region!F975</f>
        <v>4.2627057848999996</v>
      </c>
      <c r="G975">
        <f>[5]trip_summary_region!G975</f>
        <v>27.157477096000001</v>
      </c>
      <c r="H975">
        <f>[5]trip_summary_region!H975</f>
        <v>1.347401772</v>
      </c>
      <c r="I975" t="str">
        <f>[5]trip_summary_region!I975</f>
        <v>Local Bus</v>
      </c>
      <c r="J975" t="str">
        <f>[5]trip_summary_region!J975</f>
        <v>2012/13</v>
      </c>
    </row>
    <row r="976" spans="1:10" x14ac:dyDescent="0.2">
      <c r="A976" t="str">
        <f>[5]trip_summary_region!A976</f>
        <v>14 OTAGO</v>
      </c>
      <c r="B976">
        <f>[5]trip_summary_region!B976</f>
        <v>7</v>
      </c>
      <c r="C976">
        <f>[5]trip_summary_region!C976</f>
        <v>2018</v>
      </c>
      <c r="D976">
        <f>[5]trip_summary_region!D976</f>
        <v>70</v>
      </c>
      <c r="E976">
        <f>[5]trip_summary_region!E976</f>
        <v>148</v>
      </c>
      <c r="F976">
        <f>[5]trip_summary_region!F976</f>
        <v>4.2369345695999998</v>
      </c>
      <c r="G976">
        <f>[5]trip_summary_region!G976</f>
        <v>27.874499444000001</v>
      </c>
      <c r="H976">
        <f>[5]trip_summary_region!H976</f>
        <v>1.3509985983999999</v>
      </c>
      <c r="I976" t="str">
        <f>[5]trip_summary_region!I976</f>
        <v>Local Bus</v>
      </c>
      <c r="J976" t="str">
        <f>[5]trip_summary_region!J976</f>
        <v>2017/18</v>
      </c>
    </row>
    <row r="977" spans="1:10" x14ac:dyDescent="0.2">
      <c r="A977" t="str">
        <f>[5]trip_summary_region!A977</f>
        <v>14 OTAGO</v>
      </c>
      <c r="B977">
        <f>[5]trip_summary_region!B977</f>
        <v>7</v>
      </c>
      <c r="C977">
        <f>[5]trip_summary_region!C977</f>
        <v>2023</v>
      </c>
      <c r="D977">
        <f>[5]trip_summary_region!D977</f>
        <v>70</v>
      </c>
      <c r="E977">
        <f>[5]trip_summary_region!E977</f>
        <v>148</v>
      </c>
      <c r="F977">
        <f>[5]trip_summary_region!F977</f>
        <v>4.1827573384000001</v>
      </c>
      <c r="G977">
        <f>[5]trip_summary_region!G977</f>
        <v>28.388154553</v>
      </c>
      <c r="H977">
        <f>[5]trip_summary_region!H977</f>
        <v>1.3486290107000001</v>
      </c>
      <c r="I977" t="str">
        <f>[5]trip_summary_region!I977</f>
        <v>Local Bus</v>
      </c>
      <c r="J977" t="str">
        <f>[5]trip_summary_region!J977</f>
        <v>2022/23</v>
      </c>
    </row>
    <row r="978" spans="1:10" x14ac:dyDescent="0.2">
      <c r="A978" t="str">
        <f>[5]trip_summary_region!A978</f>
        <v>14 OTAGO</v>
      </c>
      <c r="B978">
        <f>[5]trip_summary_region!B978</f>
        <v>7</v>
      </c>
      <c r="C978">
        <f>[5]trip_summary_region!C978</f>
        <v>2028</v>
      </c>
      <c r="D978">
        <f>[5]trip_summary_region!D978</f>
        <v>70</v>
      </c>
      <c r="E978">
        <f>[5]trip_summary_region!E978</f>
        <v>148</v>
      </c>
      <c r="F978">
        <f>[5]trip_summary_region!F978</f>
        <v>4.1326437729999999</v>
      </c>
      <c r="G978">
        <f>[5]trip_summary_region!G978</f>
        <v>28.605593102</v>
      </c>
      <c r="H978">
        <f>[5]trip_summary_region!H978</f>
        <v>1.3363592676</v>
      </c>
      <c r="I978" t="str">
        <f>[5]trip_summary_region!I978</f>
        <v>Local Bus</v>
      </c>
      <c r="J978" t="str">
        <f>[5]trip_summary_region!J978</f>
        <v>2027/28</v>
      </c>
    </row>
    <row r="979" spans="1:10" x14ac:dyDescent="0.2">
      <c r="A979" t="str">
        <f>[5]trip_summary_region!A979</f>
        <v>14 OTAGO</v>
      </c>
      <c r="B979">
        <f>[5]trip_summary_region!B979</f>
        <v>7</v>
      </c>
      <c r="C979">
        <f>[5]trip_summary_region!C979</f>
        <v>2033</v>
      </c>
      <c r="D979">
        <f>[5]trip_summary_region!D979</f>
        <v>70</v>
      </c>
      <c r="E979">
        <f>[5]trip_summary_region!E979</f>
        <v>148</v>
      </c>
      <c r="F979">
        <f>[5]trip_summary_region!F979</f>
        <v>4.0835200813999997</v>
      </c>
      <c r="G979">
        <f>[5]trip_summary_region!G979</f>
        <v>28.457037826000001</v>
      </c>
      <c r="H979">
        <f>[5]trip_summary_region!H979</f>
        <v>1.3180854303</v>
      </c>
      <c r="I979" t="str">
        <f>[5]trip_summary_region!I979</f>
        <v>Local Bus</v>
      </c>
      <c r="J979" t="str">
        <f>[5]trip_summary_region!J979</f>
        <v>2032/33</v>
      </c>
    </row>
    <row r="980" spans="1:10" x14ac:dyDescent="0.2">
      <c r="A980" t="str">
        <f>[5]trip_summary_region!A980</f>
        <v>14 OTAGO</v>
      </c>
      <c r="B980">
        <f>[5]trip_summary_region!B980</f>
        <v>7</v>
      </c>
      <c r="C980">
        <f>[5]trip_summary_region!C980</f>
        <v>2038</v>
      </c>
      <c r="D980">
        <f>[5]trip_summary_region!D980</f>
        <v>70</v>
      </c>
      <c r="E980">
        <f>[5]trip_summary_region!E980</f>
        <v>148</v>
      </c>
      <c r="F980">
        <f>[5]trip_summary_region!F980</f>
        <v>3.9495498443999999</v>
      </c>
      <c r="G980">
        <f>[5]trip_summary_region!G980</f>
        <v>27.589558884999999</v>
      </c>
      <c r="H980">
        <f>[5]trip_summary_region!H980</f>
        <v>1.2772459717</v>
      </c>
      <c r="I980" t="str">
        <f>[5]trip_summary_region!I980</f>
        <v>Local Bus</v>
      </c>
      <c r="J980" t="str">
        <f>[5]trip_summary_region!J980</f>
        <v>2037/38</v>
      </c>
    </row>
    <row r="981" spans="1:10" x14ac:dyDescent="0.2">
      <c r="A981" t="str">
        <f>[5]trip_summary_region!A981</f>
        <v>14 OTAGO</v>
      </c>
      <c r="B981">
        <f>[5]trip_summary_region!B981</f>
        <v>7</v>
      </c>
      <c r="C981">
        <f>[5]trip_summary_region!C981</f>
        <v>2043</v>
      </c>
      <c r="D981">
        <f>[5]trip_summary_region!D981</f>
        <v>70</v>
      </c>
      <c r="E981">
        <f>[5]trip_summary_region!E981</f>
        <v>148</v>
      </c>
      <c r="F981">
        <f>[5]trip_summary_region!F981</f>
        <v>3.8015764607000002</v>
      </c>
      <c r="G981">
        <f>[5]trip_summary_region!G981</f>
        <v>26.610493949999999</v>
      </c>
      <c r="H981">
        <f>[5]trip_summary_region!H981</f>
        <v>1.2327397449999999</v>
      </c>
      <c r="I981" t="str">
        <f>[5]trip_summary_region!I981</f>
        <v>Local Bus</v>
      </c>
      <c r="J981" t="str">
        <f>[5]trip_summary_region!J981</f>
        <v>2042/43</v>
      </c>
    </row>
    <row r="982" spans="1:10" x14ac:dyDescent="0.2">
      <c r="A982" t="str">
        <f>[5]trip_summary_region!A982</f>
        <v>14 OTAGO</v>
      </c>
      <c r="B982">
        <f>[5]trip_summary_region!B982</f>
        <v>9</v>
      </c>
      <c r="C982">
        <f>[5]trip_summary_region!C982</f>
        <v>2013</v>
      </c>
      <c r="D982">
        <f>[5]trip_summary_region!D982</f>
        <v>11</v>
      </c>
      <c r="E982">
        <f>[5]trip_summary_region!E982</f>
        <v>38</v>
      </c>
      <c r="F982">
        <f>[5]trip_summary_region!F982</f>
        <v>0.77539158779999995</v>
      </c>
      <c r="G982">
        <f>[5]trip_summary_region!G982</f>
        <v>0</v>
      </c>
      <c r="H982">
        <f>[5]trip_summary_region!H982</f>
        <v>0.25154479130000001</v>
      </c>
      <c r="I982" t="str">
        <f>[5]trip_summary_region!I982</f>
        <v>Other Household Travel</v>
      </c>
      <c r="J982" t="str">
        <f>[5]trip_summary_region!J982</f>
        <v>2012/13</v>
      </c>
    </row>
    <row r="983" spans="1:10" x14ac:dyDescent="0.2">
      <c r="A983" t="str">
        <f>[5]trip_summary_region!A983</f>
        <v>14 OTAGO</v>
      </c>
      <c r="B983">
        <f>[5]trip_summary_region!B983</f>
        <v>9</v>
      </c>
      <c r="C983">
        <f>[5]trip_summary_region!C983</f>
        <v>2018</v>
      </c>
      <c r="D983">
        <f>[5]trip_summary_region!D983</f>
        <v>11</v>
      </c>
      <c r="E983">
        <f>[5]trip_summary_region!E983</f>
        <v>38</v>
      </c>
      <c r="F983">
        <f>[5]trip_summary_region!F983</f>
        <v>0.82702580439999995</v>
      </c>
      <c r="G983">
        <f>[5]trip_summary_region!G983</f>
        <v>0</v>
      </c>
      <c r="H983">
        <f>[5]trip_summary_region!H983</f>
        <v>0.2781737937</v>
      </c>
      <c r="I983" t="str">
        <f>[5]trip_summary_region!I983</f>
        <v>Other Household Travel</v>
      </c>
      <c r="J983" t="str">
        <f>[5]trip_summary_region!J983</f>
        <v>2017/18</v>
      </c>
    </row>
    <row r="984" spans="1:10" x14ac:dyDescent="0.2">
      <c r="A984" t="str">
        <f>[5]trip_summary_region!A984</f>
        <v>14 OTAGO</v>
      </c>
      <c r="B984">
        <f>[5]trip_summary_region!B984</f>
        <v>9</v>
      </c>
      <c r="C984">
        <f>[5]trip_summary_region!C984</f>
        <v>2023</v>
      </c>
      <c r="D984">
        <f>[5]trip_summary_region!D984</f>
        <v>11</v>
      </c>
      <c r="E984">
        <f>[5]trip_summary_region!E984</f>
        <v>38</v>
      </c>
      <c r="F984">
        <f>[5]trip_summary_region!F984</f>
        <v>0.87337452510000002</v>
      </c>
      <c r="G984">
        <f>[5]trip_summary_region!G984</f>
        <v>0</v>
      </c>
      <c r="H984">
        <f>[5]trip_summary_region!H984</f>
        <v>0.29983889730000002</v>
      </c>
      <c r="I984" t="str">
        <f>[5]trip_summary_region!I984</f>
        <v>Other Household Travel</v>
      </c>
      <c r="J984" t="str">
        <f>[5]trip_summary_region!J984</f>
        <v>2022/23</v>
      </c>
    </row>
    <row r="985" spans="1:10" x14ac:dyDescent="0.2">
      <c r="A985" t="str">
        <f>[5]trip_summary_region!A985</f>
        <v>14 OTAGO</v>
      </c>
      <c r="B985">
        <f>[5]trip_summary_region!B985</f>
        <v>9</v>
      </c>
      <c r="C985">
        <f>[5]trip_summary_region!C985</f>
        <v>2028</v>
      </c>
      <c r="D985">
        <f>[5]trip_summary_region!D985</f>
        <v>11</v>
      </c>
      <c r="E985">
        <f>[5]trip_summary_region!E985</f>
        <v>38</v>
      </c>
      <c r="F985">
        <f>[5]trip_summary_region!F985</f>
        <v>0.87375493940000004</v>
      </c>
      <c r="G985">
        <f>[5]trip_summary_region!G985</f>
        <v>0</v>
      </c>
      <c r="H985">
        <f>[5]trip_summary_region!H985</f>
        <v>0.3095856944</v>
      </c>
      <c r="I985" t="str">
        <f>[5]trip_summary_region!I985</f>
        <v>Other Household Travel</v>
      </c>
      <c r="J985" t="str">
        <f>[5]trip_summary_region!J985</f>
        <v>2027/28</v>
      </c>
    </row>
    <row r="986" spans="1:10" x14ac:dyDescent="0.2">
      <c r="A986" t="str">
        <f>[5]trip_summary_region!A986</f>
        <v>14 OTAGO</v>
      </c>
      <c r="B986">
        <f>[5]trip_summary_region!B986</f>
        <v>9</v>
      </c>
      <c r="C986">
        <f>[5]trip_summary_region!C986</f>
        <v>2033</v>
      </c>
      <c r="D986">
        <f>[5]trip_summary_region!D986</f>
        <v>11</v>
      </c>
      <c r="E986">
        <f>[5]trip_summary_region!E986</f>
        <v>38</v>
      </c>
      <c r="F986">
        <f>[5]trip_summary_region!F986</f>
        <v>0.84674512599999996</v>
      </c>
      <c r="G986">
        <f>[5]trip_summary_region!G986</f>
        <v>0</v>
      </c>
      <c r="H986">
        <f>[5]trip_summary_region!H986</f>
        <v>0.31346924840000001</v>
      </c>
      <c r="I986" t="str">
        <f>[5]trip_summary_region!I986</f>
        <v>Other Household Travel</v>
      </c>
      <c r="J986" t="str">
        <f>[5]trip_summary_region!J986</f>
        <v>2032/33</v>
      </c>
    </row>
    <row r="987" spans="1:10" x14ac:dyDescent="0.2">
      <c r="A987" t="str">
        <f>[5]trip_summary_region!A987</f>
        <v>14 OTAGO</v>
      </c>
      <c r="B987">
        <f>[5]trip_summary_region!B987</f>
        <v>9</v>
      </c>
      <c r="C987">
        <f>[5]trip_summary_region!C987</f>
        <v>2038</v>
      </c>
      <c r="D987">
        <f>[5]trip_summary_region!D987</f>
        <v>11</v>
      </c>
      <c r="E987">
        <f>[5]trip_summary_region!E987</f>
        <v>38</v>
      </c>
      <c r="F987">
        <f>[5]trip_summary_region!F987</f>
        <v>0.81379401210000002</v>
      </c>
      <c r="G987">
        <f>[5]trip_summary_region!G987</f>
        <v>0</v>
      </c>
      <c r="H987">
        <f>[5]trip_summary_region!H987</f>
        <v>0.31921133740000002</v>
      </c>
      <c r="I987" t="str">
        <f>[5]trip_summary_region!I987</f>
        <v>Other Household Travel</v>
      </c>
      <c r="J987" t="str">
        <f>[5]trip_summary_region!J987</f>
        <v>2037/38</v>
      </c>
    </row>
    <row r="988" spans="1:10" x14ac:dyDescent="0.2">
      <c r="A988" t="str">
        <f>[5]trip_summary_region!A988</f>
        <v>14 OTAGO</v>
      </c>
      <c r="B988">
        <f>[5]trip_summary_region!B988</f>
        <v>9</v>
      </c>
      <c r="C988">
        <f>[5]trip_summary_region!C988</f>
        <v>2043</v>
      </c>
      <c r="D988">
        <f>[5]trip_summary_region!D988</f>
        <v>11</v>
      </c>
      <c r="E988">
        <f>[5]trip_summary_region!E988</f>
        <v>38</v>
      </c>
      <c r="F988">
        <f>[5]trip_summary_region!F988</f>
        <v>0.78488117319999995</v>
      </c>
      <c r="G988">
        <f>[5]trip_summary_region!G988</f>
        <v>0</v>
      </c>
      <c r="H988">
        <f>[5]trip_summary_region!H988</f>
        <v>0.3272769854</v>
      </c>
      <c r="I988" t="str">
        <f>[5]trip_summary_region!I988</f>
        <v>Other Household Travel</v>
      </c>
      <c r="J988" t="str">
        <f>[5]trip_summary_region!J988</f>
        <v>2042/43</v>
      </c>
    </row>
    <row r="989" spans="1:10" x14ac:dyDescent="0.2">
      <c r="A989" t="str">
        <f>[5]trip_summary_region!A989</f>
        <v>14 OTAGO</v>
      </c>
      <c r="B989">
        <f>[5]trip_summary_region!B989</f>
        <v>10</v>
      </c>
      <c r="C989">
        <f>[5]trip_summary_region!C989</f>
        <v>2013</v>
      </c>
      <c r="D989">
        <f>[5]trip_summary_region!D989</f>
        <v>12</v>
      </c>
      <c r="E989">
        <f>[5]trip_summary_region!E989</f>
        <v>16</v>
      </c>
      <c r="F989">
        <f>[5]trip_summary_region!F989</f>
        <v>0.45393948140000001</v>
      </c>
      <c r="G989">
        <f>[5]trip_summary_region!G989</f>
        <v>32.668222239000002</v>
      </c>
      <c r="H989">
        <f>[5]trip_summary_region!H989</f>
        <v>1.0816055304000001</v>
      </c>
      <c r="I989" t="str">
        <f>[5]trip_summary_region!I989</f>
        <v>Air/Non-Local PT</v>
      </c>
      <c r="J989" t="str">
        <f>[5]trip_summary_region!J989</f>
        <v>2012/13</v>
      </c>
    </row>
    <row r="990" spans="1:10" x14ac:dyDescent="0.2">
      <c r="A990" t="str">
        <f>[5]trip_summary_region!A990</f>
        <v>14 OTAGO</v>
      </c>
      <c r="B990">
        <f>[5]trip_summary_region!B990</f>
        <v>10</v>
      </c>
      <c r="C990">
        <f>[5]trip_summary_region!C990</f>
        <v>2018</v>
      </c>
      <c r="D990">
        <f>[5]trip_summary_region!D990</f>
        <v>12</v>
      </c>
      <c r="E990">
        <f>[5]trip_summary_region!E990</f>
        <v>16</v>
      </c>
      <c r="F990">
        <f>[5]trip_summary_region!F990</f>
        <v>0.53890568329999999</v>
      </c>
      <c r="G990">
        <f>[5]trip_summary_region!G990</f>
        <v>39.101606039000004</v>
      </c>
      <c r="H990">
        <f>[5]trip_summary_region!H990</f>
        <v>1.2734817823</v>
      </c>
      <c r="I990" t="str">
        <f>[5]trip_summary_region!I990</f>
        <v>Air/Non-Local PT</v>
      </c>
      <c r="J990" t="str">
        <f>[5]trip_summary_region!J990</f>
        <v>2017/18</v>
      </c>
    </row>
    <row r="991" spans="1:10" x14ac:dyDescent="0.2">
      <c r="A991" t="str">
        <f>[5]trip_summary_region!A991</f>
        <v>14 OTAGO</v>
      </c>
      <c r="B991">
        <f>[5]trip_summary_region!B991</f>
        <v>10</v>
      </c>
      <c r="C991">
        <f>[5]trip_summary_region!C991</f>
        <v>2023</v>
      </c>
      <c r="D991">
        <f>[5]trip_summary_region!D991</f>
        <v>12</v>
      </c>
      <c r="E991">
        <f>[5]trip_summary_region!E991</f>
        <v>16</v>
      </c>
      <c r="F991">
        <f>[5]trip_summary_region!F991</f>
        <v>0.61371571250000001</v>
      </c>
      <c r="G991">
        <f>[5]trip_summary_region!G991</f>
        <v>43.861029917000003</v>
      </c>
      <c r="H991">
        <f>[5]trip_summary_region!H991</f>
        <v>1.4288485673</v>
      </c>
      <c r="I991" t="str">
        <f>[5]trip_summary_region!I991</f>
        <v>Air/Non-Local PT</v>
      </c>
      <c r="J991" t="str">
        <f>[5]trip_summary_region!J991</f>
        <v>2022/23</v>
      </c>
    </row>
    <row r="992" spans="1:10" x14ac:dyDescent="0.2">
      <c r="A992" t="str">
        <f>[5]trip_summary_region!A992</f>
        <v>14 OTAGO</v>
      </c>
      <c r="B992">
        <f>[5]trip_summary_region!B992</f>
        <v>10</v>
      </c>
      <c r="C992">
        <f>[5]trip_summary_region!C992</f>
        <v>2028</v>
      </c>
      <c r="D992">
        <f>[5]trip_summary_region!D992</f>
        <v>12</v>
      </c>
      <c r="E992">
        <f>[5]trip_summary_region!E992</f>
        <v>16</v>
      </c>
      <c r="F992">
        <f>[5]trip_summary_region!F992</f>
        <v>0.67582164140000001</v>
      </c>
      <c r="G992">
        <f>[5]trip_summary_region!G992</f>
        <v>47.438063342</v>
      </c>
      <c r="H992">
        <f>[5]trip_summary_region!H992</f>
        <v>1.5505081098</v>
      </c>
      <c r="I992" t="str">
        <f>[5]trip_summary_region!I992</f>
        <v>Air/Non-Local PT</v>
      </c>
      <c r="J992" t="str">
        <f>[5]trip_summary_region!J992</f>
        <v>2027/28</v>
      </c>
    </row>
    <row r="993" spans="1:10" x14ac:dyDescent="0.2">
      <c r="A993" t="str">
        <f>[5]trip_summary_region!A993</f>
        <v>14 OTAGO</v>
      </c>
      <c r="B993">
        <f>[5]trip_summary_region!B993</f>
        <v>10</v>
      </c>
      <c r="C993">
        <f>[5]trip_summary_region!C993</f>
        <v>2033</v>
      </c>
      <c r="D993">
        <f>[5]trip_summary_region!D993</f>
        <v>12</v>
      </c>
      <c r="E993">
        <f>[5]trip_summary_region!E993</f>
        <v>16</v>
      </c>
      <c r="F993">
        <f>[5]trip_summary_region!F993</f>
        <v>0.73171525599999998</v>
      </c>
      <c r="G993">
        <f>[5]trip_summary_region!G993</f>
        <v>50.580349345000002</v>
      </c>
      <c r="H993">
        <f>[5]trip_summary_region!H993</f>
        <v>1.6669578105</v>
      </c>
      <c r="I993" t="str">
        <f>[5]trip_summary_region!I993</f>
        <v>Air/Non-Local PT</v>
      </c>
      <c r="J993" t="str">
        <f>[5]trip_summary_region!J993</f>
        <v>2032/33</v>
      </c>
    </row>
    <row r="994" spans="1:10" x14ac:dyDescent="0.2">
      <c r="A994" t="str">
        <f>[5]trip_summary_region!A994</f>
        <v>14 OTAGO</v>
      </c>
      <c r="B994">
        <f>[5]trip_summary_region!B994</f>
        <v>10</v>
      </c>
      <c r="C994">
        <f>[5]trip_summary_region!C994</f>
        <v>2038</v>
      </c>
      <c r="D994">
        <f>[5]trip_summary_region!D994</f>
        <v>12</v>
      </c>
      <c r="E994">
        <f>[5]trip_summary_region!E994</f>
        <v>16</v>
      </c>
      <c r="F994">
        <f>[5]trip_summary_region!F994</f>
        <v>0.78029862429999997</v>
      </c>
      <c r="G994">
        <f>[5]trip_summary_region!G994</f>
        <v>52.963055656999998</v>
      </c>
      <c r="H994">
        <f>[5]trip_summary_region!H994</f>
        <v>1.7507386259</v>
      </c>
      <c r="I994" t="str">
        <f>[5]trip_summary_region!I994</f>
        <v>Air/Non-Local PT</v>
      </c>
      <c r="J994" t="str">
        <f>[5]trip_summary_region!J994</f>
        <v>2037/38</v>
      </c>
    </row>
    <row r="995" spans="1:10" x14ac:dyDescent="0.2">
      <c r="A995" t="str">
        <f>[5]trip_summary_region!A995</f>
        <v>14 OTAGO</v>
      </c>
      <c r="B995">
        <f>[5]trip_summary_region!B995</f>
        <v>10</v>
      </c>
      <c r="C995">
        <f>[5]trip_summary_region!C995</f>
        <v>2043</v>
      </c>
      <c r="D995">
        <f>[5]trip_summary_region!D995</f>
        <v>12</v>
      </c>
      <c r="E995">
        <f>[5]trip_summary_region!E995</f>
        <v>16</v>
      </c>
      <c r="F995">
        <f>[5]trip_summary_region!F995</f>
        <v>0.82722519670000005</v>
      </c>
      <c r="G995">
        <f>[5]trip_summary_region!G995</f>
        <v>55.066286830000003</v>
      </c>
      <c r="H995">
        <f>[5]trip_summary_region!H995</f>
        <v>1.828402707</v>
      </c>
      <c r="I995" t="str">
        <f>[5]trip_summary_region!I995</f>
        <v>Air/Non-Local PT</v>
      </c>
      <c r="J995" t="str">
        <f>[5]trip_summary_region!J995</f>
        <v>2042/43</v>
      </c>
    </row>
    <row r="996" spans="1:10" x14ac:dyDescent="0.2">
      <c r="A996" t="str">
        <f>[5]trip_summary_region!A996</f>
        <v>14 OTAGO</v>
      </c>
      <c r="B996">
        <f>[5]trip_summary_region!B996</f>
        <v>11</v>
      </c>
      <c r="C996">
        <f>[5]trip_summary_region!C996</f>
        <v>2013</v>
      </c>
      <c r="D996">
        <f>[5]trip_summary_region!D996</f>
        <v>8</v>
      </c>
      <c r="E996">
        <f>[5]trip_summary_region!E996</f>
        <v>23</v>
      </c>
      <c r="F996">
        <f>[5]trip_summary_region!F996</f>
        <v>0.69501361849999999</v>
      </c>
      <c r="G996">
        <f>[5]trip_summary_region!G996</f>
        <v>6.1172965614999999</v>
      </c>
      <c r="H996">
        <f>[5]trip_summary_region!H996</f>
        <v>0.18529166999999999</v>
      </c>
      <c r="I996" t="str">
        <f>[5]trip_summary_region!I996</f>
        <v>Non-Household Travel</v>
      </c>
      <c r="J996" t="str">
        <f>[5]trip_summary_region!J996</f>
        <v>2012/13</v>
      </c>
    </row>
    <row r="997" spans="1:10" x14ac:dyDescent="0.2">
      <c r="A997" t="str">
        <f>[5]trip_summary_region!A997</f>
        <v>14 OTAGO</v>
      </c>
      <c r="B997">
        <f>[5]trip_summary_region!B997</f>
        <v>11</v>
      </c>
      <c r="C997">
        <f>[5]trip_summary_region!C997</f>
        <v>2018</v>
      </c>
      <c r="D997">
        <f>[5]trip_summary_region!D997</f>
        <v>8</v>
      </c>
      <c r="E997">
        <f>[5]trip_summary_region!E997</f>
        <v>23</v>
      </c>
      <c r="F997">
        <f>[5]trip_summary_region!F997</f>
        <v>0.80103598789999997</v>
      </c>
      <c r="G997">
        <f>[5]trip_summary_region!G997</f>
        <v>7.5163182022999999</v>
      </c>
      <c r="H997">
        <f>[5]trip_summary_region!H997</f>
        <v>0.22538516950000001</v>
      </c>
      <c r="I997" t="str">
        <f>[5]trip_summary_region!I997</f>
        <v>Non-Household Travel</v>
      </c>
      <c r="J997" t="str">
        <f>[5]trip_summary_region!J997</f>
        <v>2017/18</v>
      </c>
    </row>
    <row r="998" spans="1:10" x14ac:dyDescent="0.2">
      <c r="A998" t="str">
        <f>[5]trip_summary_region!A998</f>
        <v>14 OTAGO</v>
      </c>
      <c r="B998">
        <f>[5]trip_summary_region!B998</f>
        <v>11</v>
      </c>
      <c r="C998">
        <f>[5]trip_summary_region!C998</f>
        <v>2023</v>
      </c>
      <c r="D998">
        <f>[5]trip_summary_region!D998</f>
        <v>8</v>
      </c>
      <c r="E998">
        <f>[5]trip_summary_region!E998</f>
        <v>23</v>
      </c>
      <c r="F998">
        <f>[5]trip_summary_region!F998</f>
        <v>0.91871901369999998</v>
      </c>
      <c r="G998">
        <f>[5]trip_summary_region!G998</f>
        <v>8.8452489651999997</v>
      </c>
      <c r="H998">
        <f>[5]trip_summary_region!H998</f>
        <v>0.26540346970000001</v>
      </c>
      <c r="I998" t="str">
        <f>[5]trip_summary_region!I998</f>
        <v>Non-Household Travel</v>
      </c>
      <c r="J998" t="str">
        <f>[5]trip_summary_region!J998</f>
        <v>2022/23</v>
      </c>
    </row>
    <row r="999" spans="1:10" x14ac:dyDescent="0.2">
      <c r="A999" t="str">
        <f>[5]trip_summary_region!A999</f>
        <v>14 OTAGO</v>
      </c>
      <c r="B999">
        <f>[5]trip_summary_region!B999</f>
        <v>11</v>
      </c>
      <c r="C999">
        <f>[5]trip_summary_region!C999</f>
        <v>2028</v>
      </c>
      <c r="D999">
        <f>[5]trip_summary_region!D999</f>
        <v>8</v>
      </c>
      <c r="E999">
        <f>[5]trip_summary_region!E999</f>
        <v>23</v>
      </c>
      <c r="F999">
        <f>[5]trip_summary_region!F999</f>
        <v>1.0910658514</v>
      </c>
      <c r="G999">
        <f>[5]trip_summary_region!G999</f>
        <v>10.257354805</v>
      </c>
      <c r="H999">
        <f>[5]trip_summary_region!H999</f>
        <v>0.31446137419999998</v>
      </c>
      <c r="I999" t="str">
        <f>[5]trip_summary_region!I999</f>
        <v>Non-Household Travel</v>
      </c>
      <c r="J999" t="str">
        <f>[5]trip_summary_region!J999</f>
        <v>2027/28</v>
      </c>
    </row>
    <row r="1000" spans="1:10" x14ac:dyDescent="0.2">
      <c r="A1000" t="str">
        <f>[5]trip_summary_region!A1000</f>
        <v>14 OTAGO</v>
      </c>
      <c r="B1000">
        <f>[5]trip_summary_region!B1000</f>
        <v>11</v>
      </c>
      <c r="C1000">
        <f>[5]trip_summary_region!C1000</f>
        <v>2033</v>
      </c>
      <c r="D1000">
        <f>[5]trip_summary_region!D1000</f>
        <v>8</v>
      </c>
      <c r="E1000">
        <f>[5]trip_summary_region!E1000</f>
        <v>23</v>
      </c>
      <c r="F1000">
        <f>[5]trip_summary_region!F1000</f>
        <v>1.2325687658</v>
      </c>
      <c r="G1000">
        <f>[5]trip_summary_region!G1000</f>
        <v>11.206195129999999</v>
      </c>
      <c r="H1000">
        <f>[5]trip_summary_region!H1000</f>
        <v>0.35294377669999999</v>
      </c>
      <c r="I1000" t="str">
        <f>[5]trip_summary_region!I1000</f>
        <v>Non-Household Travel</v>
      </c>
      <c r="J1000" t="str">
        <f>[5]trip_summary_region!J1000</f>
        <v>2032/33</v>
      </c>
    </row>
    <row r="1001" spans="1:10" x14ac:dyDescent="0.2">
      <c r="A1001" t="str">
        <f>[5]trip_summary_region!A1001</f>
        <v>14 OTAGO</v>
      </c>
      <c r="B1001">
        <f>[5]trip_summary_region!B1001</f>
        <v>11</v>
      </c>
      <c r="C1001">
        <f>[5]trip_summary_region!C1001</f>
        <v>2038</v>
      </c>
      <c r="D1001">
        <f>[5]trip_summary_region!D1001</f>
        <v>8</v>
      </c>
      <c r="E1001">
        <f>[5]trip_summary_region!E1001</f>
        <v>23</v>
      </c>
      <c r="F1001">
        <f>[5]trip_summary_region!F1001</f>
        <v>1.3244722502999999</v>
      </c>
      <c r="G1001">
        <f>[5]trip_summary_region!G1001</f>
        <v>11.802789904999999</v>
      </c>
      <c r="H1001">
        <f>[5]trip_summary_region!H1001</f>
        <v>0.37869174480000001</v>
      </c>
      <c r="I1001" t="str">
        <f>[5]trip_summary_region!I1001</f>
        <v>Non-Household Travel</v>
      </c>
      <c r="J1001" t="str">
        <f>[5]trip_summary_region!J1001</f>
        <v>2037/38</v>
      </c>
    </row>
    <row r="1002" spans="1:10" x14ac:dyDescent="0.2">
      <c r="A1002" t="str">
        <f>[5]trip_summary_region!A1002</f>
        <v>14 OTAGO</v>
      </c>
      <c r="B1002">
        <f>[5]trip_summary_region!B1002</f>
        <v>11</v>
      </c>
      <c r="C1002">
        <f>[5]trip_summary_region!C1002</f>
        <v>2043</v>
      </c>
      <c r="D1002">
        <f>[5]trip_summary_region!D1002</f>
        <v>8</v>
      </c>
      <c r="E1002">
        <f>[5]trip_summary_region!E1002</f>
        <v>23</v>
      </c>
      <c r="F1002">
        <f>[5]trip_summary_region!F1002</f>
        <v>1.4305867001999999</v>
      </c>
      <c r="G1002">
        <f>[5]trip_summary_region!G1002</f>
        <v>12.420270113000001</v>
      </c>
      <c r="H1002">
        <f>[5]trip_summary_region!H1002</f>
        <v>0.40720826770000002</v>
      </c>
      <c r="I1002" t="str">
        <f>[5]trip_summary_region!I1002</f>
        <v>Non-Household Travel</v>
      </c>
      <c r="J1002" t="str">
        <f>[5]trip_summary_region!J1002</f>
        <v>2042/43</v>
      </c>
    </row>
    <row r="1003" spans="1:10" x14ac:dyDescent="0.2">
      <c r="A1003" t="str">
        <f>[5]trip_summary_region!A1003</f>
        <v>15 SOUTHLAND</v>
      </c>
      <c r="B1003">
        <f>[5]trip_summary_region!B1003</f>
        <v>0</v>
      </c>
      <c r="C1003">
        <f>[5]trip_summary_region!C1003</f>
        <v>2013</v>
      </c>
      <c r="D1003">
        <f>[5]trip_summary_region!D1003</f>
        <v>180</v>
      </c>
      <c r="E1003">
        <f>[5]trip_summary_region!E1003</f>
        <v>617</v>
      </c>
      <c r="F1003">
        <f>[5]trip_summary_region!F1003</f>
        <v>12.52065131</v>
      </c>
      <c r="G1003">
        <f>[5]trip_summary_region!G1003</f>
        <v>8.8466785109000003</v>
      </c>
      <c r="H1003">
        <f>[5]trip_summary_region!H1003</f>
        <v>2.2528617661000001</v>
      </c>
      <c r="I1003" t="str">
        <f>[5]trip_summary_region!I1003</f>
        <v>Pedestrian</v>
      </c>
      <c r="J1003" t="str">
        <f>[5]trip_summary_region!J1003</f>
        <v>2012/13</v>
      </c>
    </row>
    <row r="1004" spans="1:10" x14ac:dyDescent="0.2">
      <c r="A1004" t="str">
        <f>[5]trip_summary_region!A1004</f>
        <v>15 SOUTHLAND</v>
      </c>
      <c r="B1004">
        <f>[5]trip_summary_region!B1004</f>
        <v>0</v>
      </c>
      <c r="C1004">
        <f>[5]trip_summary_region!C1004</f>
        <v>2018</v>
      </c>
      <c r="D1004">
        <f>[5]trip_summary_region!D1004</f>
        <v>180</v>
      </c>
      <c r="E1004">
        <f>[5]trip_summary_region!E1004</f>
        <v>617</v>
      </c>
      <c r="F1004">
        <f>[5]trip_summary_region!F1004</f>
        <v>12.667644591</v>
      </c>
      <c r="G1004">
        <f>[5]trip_summary_region!G1004</f>
        <v>8.9957056555000001</v>
      </c>
      <c r="H1004">
        <f>[5]trip_summary_region!H1004</f>
        <v>2.2900007799000002</v>
      </c>
      <c r="I1004" t="str">
        <f>[5]trip_summary_region!I1004</f>
        <v>Pedestrian</v>
      </c>
      <c r="J1004" t="str">
        <f>[5]trip_summary_region!J1004</f>
        <v>2017/18</v>
      </c>
    </row>
    <row r="1005" spans="1:10" x14ac:dyDescent="0.2">
      <c r="A1005" t="str">
        <f>[5]trip_summary_region!A1005</f>
        <v>15 SOUTHLAND</v>
      </c>
      <c r="B1005">
        <f>[5]trip_summary_region!B1005</f>
        <v>0</v>
      </c>
      <c r="C1005">
        <f>[5]trip_summary_region!C1005</f>
        <v>2023</v>
      </c>
      <c r="D1005">
        <f>[5]trip_summary_region!D1005</f>
        <v>180</v>
      </c>
      <c r="E1005">
        <f>[5]trip_summary_region!E1005</f>
        <v>617</v>
      </c>
      <c r="F1005">
        <f>[5]trip_summary_region!F1005</f>
        <v>12.657703605</v>
      </c>
      <c r="G1005">
        <f>[5]trip_summary_region!G1005</f>
        <v>9.0015569693999993</v>
      </c>
      <c r="H1005">
        <f>[5]trip_summary_region!H1005</f>
        <v>2.2881543997999998</v>
      </c>
      <c r="I1005" t="str">
        <f>[5]trip_summary_region!I1005</f>
        <v>Pedestrian</v>
      </c>
      <c r="J1005" t="str">
        <f>[5]trip_summary_region!J1005</f>
        <v>2022/23</v>
      </c>
    </row>
    <row r="1006" spans="1:10" x14ac:dyDescent="0.2">
      <c r="A1006" t="str">
        <f>[5]trip_summary_region!A1006</f>
        <v>15 SOUTHLAND</v>
      </c>
      <c r="B1006">
        <f>[5]trip_summary_region!B1006</f>
        <v>0</v>
      </c>
      <c r="C1006">
        <f>[5]trip_summary_region!C1006</f>
        <v>2028</v>
      </c>
      <c r="D1006">
        <f>[5]trip_summary_region!D1006</f>
        <v>180</v>
      </c>
      <c r="E1006">
        <f>[5]trip_summary_region!E1006</f>
        <v>617</v>
      </c>
      <c r="F1006">
        <f>[5]trip_summary_region!F1006</f>
        <v>12.664428055</v>
      </c>
      <c r="G1006">
        <f>[5]trip_summary_region!G1006</f>
        <v>9.0300708151000002</v>
      </c>
      <c r="H1006">
        <f>[5]trip_summary_region!H1006</f>
        <v>2.2681329990000001</v>
      </c>
      <c r="I1006" t="str">
        <f>[5]trip_summary_region!I1006</f>
        <v>Pedestrian</v>
      </c>
      <c r="J1006" t="str">
        <f>[5]trip_summary_region!J1006</f>
        <v>2027/28</v>
      </c>
    </row>
    <row r="1007" spans="1:10" x14ac:dyDescent="0.2">
      <c r="A1007" t="str">
        <f>[5]trip_summary_region!A1007</f>
        <v>15 SOUTHLAND</v>
      </c>
      <c r="B1007">
        <f>[5]trip_summary_region!B1007</f>
        <v>0</v>
      </c>
      <c r="C1007">
        <f>[5]trip_summary_region!C1007</f>
        <v>2033</v>
      </c>
      <c r="D1007">
        <f>[5]trip_summary_region!D1007</f>
        <v>180</v>
      </c>
      <c r="E1007">
        <f>[5]trip_summary_region!E1007</f>
        <v>617</v>
      </c>
      <c r="F1007">
        <f>[5]trip_summary_region!F1007</f>
        <v>12.47125505</v>
      </c>
      <c r="G1007">
        <f>[5]trip_summary_region!G1007</f>
        <v>8.8574022688999996</v>
      </c>
      <c r="H1007">
        <f>[5]trip_summary_region!H1007</f>
        <v>2.2186663391999999</v>
      </c>
      <c r="I1007" t="str">
        <f>[5]trip_summary_region!I1007</f>
        <v>Pedestrian</v>
      </c>
      <c r="J1007" t="str">
        <f>[5]trip_summary_region!J1007</f>
        <v>2032/33</v>
      </c>
    </row>
    <row r="1008" spans="1:10" x14ac:dyDescent="0.2">
      <c r="A1008" t="str">
        <f>[5]trip_summary_region!A1008</f>
        <v>15 SOUTHLAND</v>
      </c>
      <c r="B1008">
        <f>[5]trip_summary_region!B1008</f>
        <v>0</v>
      </c>
      <c r="C1008">
        <f>[5]trip_summary_region!C1008</f>
        <v>2038</v>
      </c>
      <c r="D1008">
        <f>[5]trip_summary_region!D1008</f>
        <v>180</v>
      </c>
      <c r="E1008">
        <f>[5]trip_summary_region!E1008</f>
        <v>617</v>
      </c>
      <c r="F1008">
        <f>[5]trip_summary_region!F1008</f>
        <v>12.125144562999999</v>
      </c>
      <c r="G1008">
        <f>[5]trip_summary_region!G1008</f>
        <v>8.6701639248000006</v>
      </c>
      <c r="H1008">
        <f>[5]trip_summary_region!H1008</f>
        <v>2.1547176957</v>
      </c>
      <c r="I1008" t="str">
        <f>[5]trip_summary_region!I1008</f>
        <v>Pedestrian</v>
      </c>
      <c r="J1008" t="str">
        <f>[5]trip_summary_region!J1008</f>
        <v>2037/38</v>
      </c>
    </row>
    <row r="1009" spans="1:10" x14ac:dyDescent="0.2">
      <c r="A1009" t="str">
        <f>[5]trip_summary_region!A1009</f>
        <v>15 SOUTHLAND</v>
      </c>
      <c r="B1009">
        <f>[5]trip_summary_region!B1009</f>
        <v>0</v>
      </c>
      <c r="C1009">
        <f>[5]trip_summary_region!C1009</f>
        <v>2043</v>
      </c>
      <c r="D1009">
        <f>[5]trip_summary_region!D1009</f>
        <v>180</v>
      </c>
      <c r="E1009">
        <f>[5]trip_summary_region!E1009</f>
        <v>617</v>
      </c>
      <c r="F1009">
        <f>[5]trip_summary_region!F1009</f>
        <v>11.718073206</v>
      </c>
      <c r="G1009">
        <f>[5]trip_summary_region!G1009</f>
        <v>8.4224381205000007</v>
      </c>
      <c r="H1009">
        <f>[5]trip_summary_region!H1009</f>
        <v>2.0776072186999999</v>
      </c>
      <c r="I1009" t="str">
        <f>[5]trip_summary_region!I1009</f>
        <v>Pedestrian</v>
      </c>
      <c r="J1009" t="str">
        <f>[5]trip_summary_region!J1009</f>
        <v>2042/43</v>
      </c>
    </row>
    <row r="1010" spans="1:10" x14ac:dyDescent="0.2">
      <c r="A1010" t="str">
        <f>[5]trip_summary_region!A1010</f>
        <v>15 SOUTHLAND</v>
      </c>
      <c r="B1010">
        <f>[5]trip_summary_region!B1010</f>
        <v>1</v>
      </c>
      <c r="C1010">
        <f>[5]trip_summary_region!C1010</f>
        <v>2013</v>
      </c>
      <c r="D1010">
        <f>[5]trip_summary_region!D1010</f>
        <v>19</v>
      </c>
      <c r="E1010">
        <f>[5]trip_summary_region!E1010</f>
        <v>72</v>
      </c>
      <c r="F1010">
        <f>[5]trip_summary_region!F1010</f>
        <v>1.0312878256</v>
      </c>
      <c r="G1010">
        <f>[5]trip_summary_region!G1010</f>
        <v>7.5402861329000004</v>
      </c>
      <c r="H1010">
        <f>[5]trip_summary_region!H1010</f>
        <v>0.50294231479999996</v>
      </c>
      <c r="I1010" t="str">
        <f>[5]trip_summary_region!I1010</f>
        <v>Cyclist</v>
      </c>
      <c r="J1010" t="str">
        <f>[5]trip_summary_region!J1010</f>
        <v>2012/13</v>
      </c>
    </row>
    <row r="1011" spans="1:10" x14ac:dyDescent="0.2">
      <c r="A1011" t="str">
        <f>[5]trip_summary_region!A1011</f>
        <v>15 SOUTHLAND</v>
      </c>
      <c r="B1011">
        <f>[5]trip_summary_region!B1011</f>
        <v>1</v>
      </c>
      <c r="C1011">
        <f>[5]trip_summary_region!C1011</f>
        <v>2018</v>
      </c>
      <c r="D1011">
        <f>[5]trip_summary_region!D1011</f>
        <v>19</v>
      </c>
      <c r="E1011">
        <f>[5]trip_summary_region!E1011</f>
        <v>72</v>
      </c>
      <c r="F1011">
        <f>[5]trip_summary_region!F1011</f>
        <v>1.0673430641999999</v>
      </c>
      <c r="G1011">
        <f>[5]trip_summary_region!G1011</f>
        <v>8.2755531411999996</v>
      </c>
      <c r="H1011">
        <f>[5]trip_summary_region!H1011</f>
        <v>0.54327120949999996</v>
      </c>
      <c r="I1011" t="str">
        <f>[5]trip_summary_region!I1011</f>
        <v>Cyclist</v>
      </c>
      <c r="J1011" t="str">
        <f>[5]trip_summary_region!J1011</f>
        <v>2017/18</v>
      </c>
    </row>
    <row r="1012" spans="1:10" x14ac:dyDescent="0.2">
      <c r="A1012" t="str">
        <f>[5]trip_summary_region!A1012</f>
        <v>15 SOUTHLAND</v>
      </c>
      <c r="B1012">
        <f>[5]trip_summary_region!B1012</f>
        <v>1</v>
      </c>
      <c r="C1012">
        <f>[5]trip_summary_region!C1012</f>
        <v>2023</v>
      </c>
      <c r="D1012">
        <f>[5]trip_summary_region!D1012</f>
        <v>19</v>
      </c>
      <c r="E1012">
        <f>[5]trip_summary_region!E1012</f>
        <v>72</v>
      </c>
      <c r="F1012">
        <f>[5]trip_summary_region!F1012</f>
        <v>1.0565883277999999</v>
      </c>
      <c r="G1012">
        <f>[5]trip_summary_region!G1012</f>
        <v>8.3934888316999992</v>
      </c>
      <c r="H1012">
        <f>[5]trip_summary_region!H1012</f>
        <v>0.54985889669999999</v>
      </c>
      <c r="I1012" t="str">
        <f>[5]trip_summary_region!I1012</f>
        <v>Cyclist</v>
      </c>
      <c r="J1012" t="str">
        <f>[5]trip_summary_region!J1012</f>
        <v>2022/23</v>
      </c>
    </row>
    <row r="1013" spans="1:10" x14ac:dyDescent="0.2">
      <c r="A1013" t="str">
        <f>[5]trip_summary_region!A1013</f>
        <v>15 SOUTHLAND</v>
      </c>
      <c r="B1013">
        <f>[5]trip_summary_region!B1013</f>
        <v>1</v>
      </c>
      <c r="C1013">
        <f>[5]trip_summary_region!C1013</f>
        <v>2028</v>
      </c>
      <c r="D1013">
        <f>[5]trip_summary_region!D1013</f>
        <v>19</v>
      </c>
      <c r="E1013">
        <f>[5]trip_summary_region!E1013</f>
        <v>72</v>
      </c>
      <c r="F1013">
        <f>[5]trip_summary_region!F1013</f>
        <v>1.0488258159999999</v>
      </c>
      <c r="G1013">
        <f>[5]trip_summary_region!G1013</f>
        <v>7.6747968747000002</v>
      </c>
      <c r="H1013">
        <f>[5]trip_summary_region!H1013</f>
        <v>0.51841312399999995</v>
      </c>
      <c r="I1013" t="str">
        <f>[5]trip_summary_region!I1013</f>
        <v>Cyclist</v>
      </c>
      <c r="J1013" t="str">
        <f>[5]trip_summary_region!J1013</f>
        <v>2027/28</v>
      </c>
    </row>
    <row r="1014" spans="1:10" x14ac:dyDescent="0.2">
      <c r="A1014" t="str">
        <f>[5]trip_summary_region!A1014</f>
        <v>15 SOUTHLAND</v>
      </c>
      <c r="B1014">
        <f>[5]trip_summary_region!B1014</f>
        <v>1</v>
      </c>
      <c r="C1014">
        <f>[5]trip_summary_region!C1014</f>
        <v>2033</v>
      </c>
      <c r="D1014">
        <f>[5]trip_summary_region!D1014</f>
        <v>19</v>
      </c>
      <c r="E1014">
        <f>[5]trip_summary_region!E1014</f>
        <v>72</v>
      </c>
      <c r="F1014">
        <f>[5]trip_summary_region!F1014</f>
        <v>1.0456659862</v>
      </c>
      <c r="G1014">
        <f>[5]trip_summary_region!G1014</f>
        <v>7.1655216314999999</v>
      </c>
      <c r="H1014">
        <f>[5]trip_summary_region!H1014</f>
        <v>0.49338115529999998</v>
      </c>
      <c r="I1014" t="str">
        <f>[5]trip_summary_region!I1014</f>
        <v>Cyclist</v>
      </c>
      <c r="J1014" t="str">
        <f>[5]trip_summary_region!J1014</f>
        <v>2032/33</v>
      </c>
    </row>
    <row r="1015" spans="1:10" x14ac:dyDescent="0.2">
      <c r="A1015" t="str">
        <f>[5]trip_summary_region!A1015</f>
        <v>15 SOUTHLAND</v>
      </c>
      <c r="B1015">
        <f>[5]trip_summary_region!B1015</f>
        <v>1</v>
      </c>
      <c r="C1015">
        <f>[5]trip_summary_region!C1015</f>
        <v>2038</v>
      </c>
      <c r="D1015">
        <f>[5]trip_summary_region!D1015</f>
        <v>19</v>
      </c>
      <c r="E1015">
        <f>[5]trip_summary_region!E1015</f>
        <v>72</v>
      </c>
      <c r="F1015">
        <f>[5]trip_summary_region!F1015</f>
        <v>0.99443644929999997</v>
      </c>
      <c r="G1015">
        <f>[5]trip_summary_region!G1015</f>
        <v>6.7471961906000004</v>
      </c>
      <c r="H1015">
        <f>[5]trip_summary_region!H1015</f>
        <v>0.4648141341</v>
      </c>
      <c r="I1015" t="str">
        <f>[5]trip_summary_region!I1015</f>
        <v>Cyclist</v>
      </c>
      <c r="J1015" t="str">
        <f>[5]trip_summary_region!J1015</f>
        <v>2037/38</v>
      </c>
    </row>
    <row r="1016" spans="1:10" x14ac:dyDescent="0.2">
      <c r="A1016" t="str">
        <f>[5]trip_summary_region!A1016</f>
        <v>15 SOUTHLAND</v>
      </c>
      <c r="B1016">
        <f>[5]trip_summary_region!B1016</f>
        <v>1</v>
      </c>
      <c r="C1016">
        <f>[5]trip_summary_region!C1016</f>
        <v>2043</v>
      </c>
      <c r="D1016">
        <f>[5]trip_summary_region!D1016</f>
        <v>19</v>
      </c>
      <c r="E1016">
        <f>[5]trip_summary_region!E1016</f>
        <v>72</v>
      </c>
      <c r="F1016">
        <f>[5]trip_summary_region!F1016</f>
        <v>0.9383920805</v>
      </c>
      <c r="G1016">
        <f>[5]trip_summary_region!G1016</f>
        <v>6.3207250162999999</v>
      </c>
      <c r="H1016">
        <f>[5]trip_summary_region!H1016</f>
        <v>0.43566768230000003</v>
      </c>
      <c r="I1016" t="str">
        <f>[5]trip_summary_region!I1016</f>
        <v>Cyclist</v>
      </c>
      <c r="J1016" t="str">
        <f>[5]trip_summary_region!J1016</f>
        <v>2042/43</v>
      </c>
    </row>
    <row r="1017" spans="1:10" x14ac:dyDescent="0.2">
      <c r="A1017" t="str">
        <f>[5]trip_summary_region!A1017</f>
        <v>15 SOUTHLAND</v>
      </c>
      <c r="B1017">
        <f>[5]trip_summary_region!B1017</f>
        <v>2</v>
      </c>
      <c r="C1017">
        <f>[5]trip_summary_region!C1017</f>
        <v>2013</v>
      </c>
      <c r="D1017">
        <f>[5]trip_summary_region!D1017</f>
        <v>442</v>
      </c>
      <c r="E1017">
        <f>[5]trip_summary_region!E1017</f>
        <v>3080</v>
      </c>
      <c r="F1017">
        <f>[5]trip_summary_region!F1017</f>
        <v>66.981547285000005</v>
      </c>
      <c r="G1017">
        <f>[5]trip_summary_region!G1017</f>
        <v>657.74873722999996</v>
      </c>
      <c r="H1017">
        <f>[5]trip_summary_region!H1017</f>
        <v>14.603785903</v>
      </c>
      <c r="I1017" t="str">
        <f>[5]trip_summary_region!I1017</f>
        <v>Light Vehicle Driver</v>
      </c>
      <c r="J1017" t="str">
        <f>[5]trip_summary_region!J1017</f>
        <v>2012/13</v>
      </c>
    </row>
    <row r="1018" spans="1:10" x14ac:dyDescent="0.2">
      <c r="A1018" t="str">
        <f>[5]trip_summary_region!A1018</f>
        <v>15 SOUTHLAND</v>
      </c>
      <c r="B1018">
        <f>[5]trip_summary_region!B1018</f>
        <v>2</v>
      </c>
      <c r="C1018">
        <f>[5]trip_summary_region!C1018</f>
        <v>2018</v>
      </c>
      <c r="D1018">
        <f>[5]trip_summary_region!D1018</f>
        <v>442</v>
      </c>
      <c r="E1018">
        <f>[5]trip_summary_region!E1018</f>
        <v>3080</v>
      </c>
      <c r="F1018">
        <f>[5]trip_summary_region!F1018</f>
        <v>70.126568223999996</v>
      </c>
      <c r="G1018">
        <f>[5]trip_summary_region!G1018</f>
        <v>708.65514853000002</v>
      </c>
      <c r="H1018">
        <f>[5]trip_summary_region!H1018</f>
        <v>15.598775570999999</v>
      </c>
      <c r="I1018" t="str">
        <f>[5]trip_summary_region!I1018</f>
        <v>Light Vehicle Driver</v>
      </c>
      <c r="J1018" t="str">
        <f>[5]trip_summary_region!J1018</f>
        <v>2017/18</v>
      </c>
    </row>
    <row r="1019" spans="1:10" x14ac:dyDescent="0.2">
      <c r="A1019" t="str">
        <f>[5]trip_summary_region!A1019</f>
        <v>15 SOUTHLAND</v>
      </c>
      <c r="B1019">
        <f>[5]trip_summary_region!B1019</f>
        <v>2</v>
      </c>
      <c r="C1019">
        <f>[5]trip_summary_region!C1019</f>
        <v>2023</v>
      </c>
      <c r="D1019">
        <f>[5]trip_summary_region!D1019</f>
        <v>442</v>
      </c>
      <c r="E1019">
        <f>[5]trip_summary_region!E1019</f>
        <v>3080</v>
      </c>
      <c r="F1019">
        <f>[5]trip_summary_region!F1019</f>
        <v>70.748154123000006</v>
      </c>
      <c r="G1019">
        <f>[5]trip_summary_region!G1019</f>
        <v>733.40189199999998</v>
      </c>
      <c r="H1019">
        <f>[5]trip_summary_region!H1019</f>
        <v>16.006946580000001</v>
      </c>
      <c r="I1019" t="str">
        <f>[5]trip_summary_region!I1019</f>
        <v>Light Vehicle Driver</v>
      </c>
      <c r="J1019" t="str">
        <f>[5]trip_summary_region!J1019</f>
        <v>2022/23</v>
      </c>
    </row>
    <row r="1020" spans="1:10" x14ac:dyDescent="0.2">
      <c r="A1020" t="str">
        <f>[5]trip_summary_region!A1020</f>
        <v>15 SOUTHLAND</v>
      </c>
      <c r="B1020">
        <f>[5]trip_summary_region!B1020</f>
        <v>2</v>
      </c>
      <c r="C1020">
        <f>[5]trip_summary_region!C1020</f>
        <v>2028</v>
      </c>
      <c r="D1020">
        <f>[5]trip_summary_region!D1020</f>
        <v>442</v>
      </c>
      <c r="E1020">
        <f>[5]trip_summary_region!E1020</f>
        <v>3080</v>
      </c>
      <c r="F1020">
        <f>[5]trip_summary_region!F1020</f>
        <v>70.956558876000003</v>
      </c>
      <c r="G1020">
        <f>[5]trip_summary_region!G1020</f>
        <v>746.06199043000004</v>
      </c>
      <c r="H1020">
        <f>[5]trip_summary_region!H1020</f>
        <v>16.18229517</v>
      </c>
      <c r="I1020" t="str">
        <f>[5]trip_summary_region!I1020</f>
        <v>Light Vehicle Driver</v>
      </c>
      <c r="J1020" t="str">
        <f>[5]trip_summary_region!J1020</f>
        <v>2027/28</v>
      </c>
    </row>
    <row r="1021" spans="1:10" x14ac:dyDescent="0.2">
      <c r="A1021" t="str">
        <f>[5]trip_summary_region!A1021</f>
        <v>15 SOUTHLAND</v>
      </c>
      <c r="B1021">
        <f>[5]trip_summary_region!B1021</f>
        <v>2</v>
      </c>
      <c r="C1021">
        <f>[5]trip_summary_region!C1021</f>
        <v>2033</v>
      </c>
      <c r="D1021">
        <f>[5]trip_summary_region!D1021</f>
        <v>442</v>
      </c>
      <c r="E1021">
        <f>[5]trip_summary_region!E1021</f>
        <v>3080</v>
      </c>
      <c r="F1021">
        <f>[5]trip_summary_region!F1021</f>
        <v>71.481589532000001</v>
      </c>
      <c r="G1021">
        <f>[5]trip_summary_region!G1021</f>
        <v>757.49917452</v>
      </c>
      <c r="H1021">
        <f>[5]trip_summary_region!H1021</f>
        <v>16.369363885999999</v>
      </c>
      <c r="I1021" t="str">
        <f>[5]trip_summary_region!I1021</f>
        <v>Light Vehicle Driver</v>
      </c>
      <c r="J1021" t="str">
        <f>[5]trip_summary_region!J1021</f>
        <v>2032/33</v>
      </c>
    </row>
    <row r="1022" spans="1:10" x14ac:dyDescent="0.2">
      <c r="A1022" t="str">
        <f>[5]trip_summary_region!A1022</f>
        <v>15 SOUTHLAND</v>
      </c>
      <c r="B1022">
        <f>[5]trip_summary_region!B1022</f>
        <v>2</v>
      </c>
      <c r="C1022">
        <f>[5]trip_summary_region!C1022</f>
        <v>2038</v>
      </c>
      <c r="D1022">
        <f>[5]trip_summary_region!D1022</f>
        <v>442</v>
      </c>
      <c r="E1022">
        <f>[5]trip_summary_region!E1022</f>
        <v>3080</v>
      </c>
      <c r="F1022">
        <f>[5]trip_summary_region!F1022</f>
        <v>71.425055908000004</v>
      </c>
      <c r="G1022">
        <f>[5]trip_summary_region!G1022</f>
        <v>760.77190142999996</v>
      </c>
      <c r="H1022">
        <f>[5]trip_summary_region!H1022</f>
        <v>16.413260587</v>
      </c>
      <c r="I1022" t="str">
        <f>[5]trip_summary_region!I1022</f>
        <v>Light Vehicle Driver</v>
      </c>
      <c r="J1022" t="str">
        <f>[5]trip_summary_region!J1022</f>
        <v>2037/38</v>
      </c>
    </row>
    <row r="1023" spans="1:10" x14ac:dyDescent="0.2">
      <c r="A1023" t="str">
        <f>[5]trip_summary_region!A1023</f>
        <v>15 SOUTHLAND</v>
      </c>
      <c r="B1023">
        <f>[5]trip_summary_region!B1023</f>
        <v>2</v>
      </c>
      <c r="C1023">
        <f>[5]trip_summary_region!C1023</f>
        <v>2043</v>
      </c>
      <c r="D1023">
        <f>[5]trip_summary_region!D1023</f>
        <v>442</v>
      </c>
      <c r="E1023">
        <f>[5]trip_summary_region!E1023</f>
        <v>3080</v>
      </c>
      <c r="F1023">
        <f>[5]trip_summary_region!F1023</f>
        <v>71.154502398999995</v>
      </c>
      <c r="G1023">
        <f>[5]trip_summary_region!G1023</f>
        <v>762.31819558999996</v>
      </c>
      <c r="H1023">
        <f>[5]trip_summary_region!H1023</f>
        <v>16.406186461000001</v>
      </c>
      <c r="I1023" t="str">
        <f>[5]trip_summary_region!I1023</f>
        <v>Light Vehicle Driver</v>
      </c>
      <c r="J1023" t="str">
        <f>[5]trip_summary_region!J1023</f>
        <v>2042/43</v>
      </c>
    </row>
    <row r="1024" spans="1:10" x14ac:dyDescent="0.2">
      <c r="A1024" t="str">
        <f>[5]trip_summary_region!A1024</f>
        <v>15 SOUTHLAND</v>
      </c>
      <c r="B1024">
        <f>[5]trip_summary_region!B1024</f>
        <v>3</v>
      </c>
      <c r="C1024">
        <f>[5]trip_summary_region!C1024</f>
        <v>2013</v>
      </c>
      <c r="D1024">
        <f>[5]trip_summary_region!D1024</f>
        <v>289</v>
      </c>
      <c r="E1024">
        <f>[5]trip_summary_region!E1024</f>
        <v>1411</v>
      </c>
      <c r="F1024">
        <f>[5]trip_summary_region!F1024</f>
        <v>28.419434702</v>
      </c>
      <c r="G1024">
        <f>[5]trip_summary_region!G1024</f>
        <v>380.70733008000002</v>
      </c>
      <c r="H1024">
        <f>[5]trip_summary_region!H1024</f>
        <v>7.5859087797999996</v>
      </c>
      <c r="I1024" t="str">
        <f>[5]trip_summary_region!I1024</f>
        <v>Light Vehicle Passenger</v>
      </c>
      <c r="J1024" t="str">
        <f>[5]trip_summary_region!J1024</f>
        <v>2012/13</v>
      </c>
    </row>
    <row r="1025" spans="1:10" x14ac:dyDescent="0.2">
      <c r="A1025" t="str">
        <f>[5]trip_summary_region!A1025</f>
        <v>15 SOUTHLAND</v>
      </c>
      <c r="B1025">
        <f>[5]trip_summary_region!B1025</f>
        <v>3</v>
      </c>
      <c r="C1025">
        <f>[5]trip_summary_region!C1025</f>
        <v>2018</v>
      </c>
      <c r="D1025">
        <f>[5]trip_summary_region!D1025</f>
        <v>289</v>
      </c>
      <c r="E1025">
        <f>[5]trip_summary_region!E1025</f>
        <v>1411</v>
      </c>
      <c r="F1025">
        <f>[5]trip_summary_region!F1025</f>
        <v>27.382620130999999</v>
      </c>
      <c r="G1025">
        <f>[5]trip_summary_region!G1025</f>
        <v>391.38806614999999</v>
      </c>
      <c r="H1025">
        <f>[5]trip_summary_region!H1025</f>
        <v>7.6428176813000004</v>
      </c>
      <c r="I1025" t="str">
        <f>[5]trip_summary_region!I1025</f>
        <v>Light Vehicle Passenger</v>
      </c>
      <c r="J1025" t="str">
        <f>[5]trip_summary_region!J1025</f>
        <v>2017/18</v>
      </c>
    </row>
    <row r="1026" spans="1:10" x14ac:dyDescent="0.2">
      <c r="A1026" t="str">
        <f>[5]trip_summary_region!A1026</f>
        <v>15 SOUTHLAND</v>
      </c>
      <c r="B1026">
        <f>[5]trip_summary_region!B1026</f>
        <v>3</v>
      </c>
      <c r="C1026">
        <f>[5]trip_summary_region!C1026</f>
        <v>2023</v>
      </c>
      <c r="D1026">
        <f>[5]trip_summary_region!D1026</f>
        <v>289</v>
      </c>
      <c r="E1026">
        <f>[5]trip_summary_region!E1026</f>
        <v>1411</v>
      </c>
      <c r="F1026">
        <f>[5]trip_summary_region!F1026</f>
        <v>26.292487388000001</v>
      </c>
      <c r="G1026">
        <f>[5]trip_summary_region!G1026</f>
        <v>397.47824809999997</v>
      </c>
      <c r="H1026">
        <f>[5]trip_summary_region!H1026</f>
        <v>7.6474535119000002</v>
      </c>
      <c r="I1026" t="str">
        <f>[5]trip_summary_region!I1026</f>
        <v>Light Vehicle Passenger</v>
      </c>
      <c r="J1026" t="str">
        <f>[5]trip_summary_region!J1026</f>
        <v>2022/23</v>
      </c>
    </row>
    <row r="1027" spans="1:10" x14ac:dyDescent="0.2">
      <c r="A1027" t="str">
        <f>[5]trip_summary_region!A1027</f>
        <v>15 SOUTHLAND</v>
      </c>
      <c r="B1027">
        <f>[5]trip_summary_region!B1027</f>
        <v>3</v>
      </c>
      <c r="C1027">
        <f>[5]trip_summary_region!C1027</f>
        <v>2028</v>
      </c>
      <c r="D1027">
        <f>[5]trip_summary_region!D1027</f>
        <v>289</v>
      </c>
      <c r="E1027">
        <f>[5]trip_summary_region!E1027</f>
        <v>1411</v>
      </c>
      <c r="F1027">
        <f>[5]trip_summary_region!F1027</f>
        <v>25.427439524</v>
      </c>
      <c r="G1027">
        <f>[5]trip_summary_region!G1027</f>
        <v>397.78660053999999</v>
      </c>
      <c r="H1027">
        <f>[5]trip_summary_region!H1027</f>
        <v>7.5969260532999998</v>
      </c>
      <c r="I1027" t="str">
        <f>[5]trip_summary_region!I1027</f>
        <v>Light Vehicle Passenger</v>
      </c>
      <c r="J1027" t="str">
        <f>[5]trip_summary_region!J1027</f>
        <v>2027/28</v>
      </c>
    </row>
    <row r="1028" spans="1:10" x14ac:dyDescent="0.2">
      <c r="A1028" t="str">
        <f>[5]trip_summary_region!A1028</f>
        <v>15 SOUTHLAND</v>
      </c>
      <c r="B1028">
        <f>[5]trip_summary_region!B1028</f>
        <v>3</v>
      </c>
      <c r="C1028">
        <f>[5]trip_summary_region!C1028</f>
        <v>2033</v>
      </c>
      <c r="D1028">
        <f>[5]trip_summary_region!D1028</f>
        <v>289</v>
      </c>
      <c r="E1028">
        <f>[5]trip_summary_region!E1028</f>
        <v>1411</v>
      </c>
      <c r="F1028">
        <f>[5]trip_summary_region!F1028</f>
        <v>24.471006232000001</v>
      </c>
      <c r="G1028">
        <f>[5]trip_summary_region!G1028</f>
        <v>392.34199265000001</v>
      </c>
      <c r="H1028">
        <f>[5]trip_summary_region!H1028</f>
        <v>7.4576810847999999</v>
      </c>
      <c r="I1028" t="str">
        <f>[5]trip_summary_region!I1028</f>
        <v>Light Vehicle Passenger</v>
      </c>
      <c r="J1028" t="str">
        <f>[5]trip_summary_region!J1028</f>
        <v>2032/33</v>
      </c>
    </row>
    <row r="1029" spans="1:10" x14ac:dyDescent="0.2">
      <c r="A1029" t="str">
        <f>[5]trip_summary_region!A1029</f>
        <v>15 SOUTHLAND</v>
      </c>
      <c r="B1029">
        <f>[5]trip_summary_region!B1029</f>
        <v>3</v>
      </c>
      <c r="C1029">
        <f>[5]trip_summary_region!C1029</f>
        <v>2038</v>
      </c>
      <c r="D1029">
        <f>[5]trip_summary_region!D1029</f>
        <v>289</v>
      </c>
      <c r="E1029">
        <f>[5]trip_summary_region!E1029</f>
        <v>1411</v>
      </c>
      <c r="F1029">
        <f>[5]trip_summary_region!F1029</f>
        <v>23.383114912</v>
      </c>
      <c r="G1029">
        <f>[5]trip_summary_region!G1029</f>
        <v>381.92092364000001</v>
      </c>
      <c r="H1029">
        <f>[5]trip_summary_region!H1029</f>
        <v>7.2276557249</v>
      </c>
      <c r="I1029" t="str">
        <f>[5]trip_summary_region!I1029</f>
        <v>Light Vehicle Passenger</v>
      </c>
      <c r="J1029" t="str">
        <f>[5]trip_summary_region!J1029</f>
        <v>2037/38</v>
      </c>
    </row>
    <row r="1030" spans="1:10" x14ac:dyDescent="0.2">
      <c r="A1030" t="str">
        <f>[5]trip_summary_region!A1030</f>
        <v>15 SOUTHLAND</v>
      </c>
      <c r="B1030">
        <f>[5]trip_summary_region!B1030</f>
        <v>3</v>
      </c>
      <c r="C1030">
        <f>[5]trip_summary_region!C1030</f>
        <v>2043</v>
      </c>
      <c r="D1030">
        <f>[5]trip_summary_region!D1030</f>
        <v>289</v>
      </c>
      <c r="E1030">
        <f>[5]trip_summary_region!E1030</f>
        <v>1411</v>
      </c>
      <c r="F1030">
        <f>[5]trip_summary_region!F1030</f>
        <v>22.181627466999998</v>
      </c>
      <c r="G1030">
        <f>[5]trip_summary_region!G1030</f>
        <v>368.90422524000002</v>
      </c>
      <c r="H1030">
        <f>[5]trip_summary_region!H1030</f>
        <v>6.9476836906999999</v>
      </c>
      <c r="I1030" t="str">
        <f>[5]trip_summary_region!I1030</f>
        <v>Light Vehicle Passenger</v>
      </c>
      <c r="J1030" t="str">
        <f>[5]trip_summary_region!J1030</f>
        <v>2042/43</v>
      </c>
    </row>
    <row r="1031" spans="1:10" x14ac:dyDescent="0.2">
      <c r="A1031" t="str">
        <f>[5]trip_summary_region!A1031</f>
        <v>15 SOUTHLAND</v>
      </c>
      <c r="B1031">
        <f>[5]trip_summary_region!B1031</f>
        <v>4</v>
      </c>
      <c r="C1031">
        <f>[5]trip_summary_region!C1031</f>
        <v>2013</v>
      </c>
      <c r="D1031">
        <f>[5]trip_summary_region!D1031</f>
        <v>4</v>
      </c>
      <c r="E1031">
        <f>[5]trip_summary_region!E1031</f>
        <v>15</v>
      </c>
      <c r="F1031">
        <f>[5]trip_summary_region!F1031</f>
        <v>0.47613164409999997</v>
      </c>
      <c r="G1031">
        <f>[5]trip_summary_region!G1031</f>
        <v>1.2430116738999999</v>
      </c>
      <c r="H1031">
        <f>[5]trip_summary_region!H1031</f>
        <v>6.6688903300000005E-2</v>
      </c>
      <c r="I1031" t="s">
        <v>116</v>
      </c>
      <c r="J1031" t="str">
        <f>[5]trip_summary_region!J1031</f>
        <v>2012/13</v>
      </c>
    </row>
    <row r="1032" spans="1:10" x14ac:dyDescent="0.2">
      <c r="A1032" t="str">
        <f>[5]trip_summary_region!A1032</f>
        <v>15 SOUTHLAND</v>
      </c>
      <c r="B1032">
        <f>[5]trip_summary_region!B1032</f>
        <v>4</v>
      </c>
      <c r="C1032">
        <f>[5]trip_summary_region!C1032</f>
        <v>2018</v>
      </c>
      <c r="D1032">
        <f>[5]trip_summary_region!D1032</f>
        <v>4</v>
      </c>
      <c r="E1032">
        <f>[5]trip_summary_region!E1032</f>
        <v>15</v>
      </c>
      <c r="F1032">
        <f>[5]trip_summary_region!F1032</f>
        <v>0.51433755179999996</v>
      </c>
      <c r="G1032">
        <f>[5]trip_summary_region!G1032</f>
        <v>1.4468927301000001</v>
      </c>
      <c r="H1032">
        <f>[5]trip_summary_region!H1032</f>
        <v>7.6017160099999995E-2</v>
      </c>
      <c r="I1032" t="s">
        <v>116</v>
      </c>
      <c r="J1032" t="str">
        <f>[5]trip_summary_region!J1032</f>
        <v>2017/18</v>
      </c>
    </row>
    <row r="1033" spans="1:10" x14ac:dyDescent="0.2">
      <c r="A1033" t="str">
        <f>[5]trip_summary_region!A1033</f>
        <v>15 SOUTHLAND</v>
      </c>
      <c r="B1033">
        <f>[5]trip_summary_region!B1033</f>
        <v>4</v>
      </c>
      <c r="C1033">
        <f>[5]trip_summary_region!C1033</f>
        <v>2023</v>
      </c>
      <c r="D1033">
        <f>[5]trip_summary_region!D1033</f>
        <v>4</v>
      </c>
      <c r="E1033">
        <f>[5]trip_summary_region!E1033</f>
        <v>15</v>
      </c>
      <c r="F1033">
        <f>[5]trip_summary_region!F1033</f>
        <v>0.5400614976</v>
      </c>
      <c r="G1033">
        <f>[5]trip_summary_region!G1033</f>
        <v>1.5849125657000001</v>
      </c>
      <c r="H1033">
        <f>[5]trip_summary_region!H1033</f>
        <v>8.2276099399999997E-2</v>
      </c>
      <c r="I1033" t="s">
        <v>116</v>
      </c>
      <c r="J1033" t="str">
        <f>[5]trip_summary_region!J1033</f>
        <v>2022/23</v>
      </c>
    </row>
    <row r="1034" spans="1:10" x14ac:dyDescent="0.2">
      <c r="A1034" t="str">
        <f>[5]trip_summary_region!A1034</f>
        <v>15 SOUTHLAND</v>
      </c>
      <c r="B1034">
        <f>[5]trip_summary_region!B1034</f>
        <v>4</v>
      </c>
      <c r="C1034">
        <f>[5]trip_summary_region!C1034</f>
        <v>2028</v>
      </c>
      <c r="D1034">
        <f>[5]trip_summary_region!D1034</f>
        <v>4</v>
      </c>
      <c r="E1034">
        <f>[5]trip_summary_region!E1034</f>
        <v>15</v>
      </c>
      <c r="F1034">
        <f>[5]trip_summary_region!F1034</f>
        <v>0.56883864510000004</v>
      </c>
      <c r="G1034">
        <f>[5]trip_summary_region!G1034</f>
        <v>1.6771185751</v>
      </c>
      <c r="H1034">
        <f>[5]trip_summary_region!H1034</f>
        <v>8.6782568000000004E-2</v>
      </c>
      <c r="I1034" t="s">
        <v>116</v>
      </c>
      <c r="J1034" t="str">
        <f>[5]trip_summary_region!J1034</f>
        <v>2027/28</v>
      </c>
    </row>
    <row r="1035" spans="1:10" x14ac:dyDescent="0.2">
      <c r="A1035" t="str">
        <f>[5]trip_summary_region!A1035</f>
        <v>15 SOUTHLAND</v>
      </c>
      <c r="B1035">
        <f>[5]trip_summary_region!B1035</f>
        <v>4</v>
      </c>
      <c r="C1035">
        <f>[5]trip_summary_region!C1035</f>
        <v>2033</v>
      </c>
      <c r="D1035">
        <f>[5]trip_summary_region!D1035</f>
        <v>4</v>
      </c>
      <c r="E1035">
        <f>[5]trip_summary_region!E1035</f>
        <v>15</v>
      </c>
      <c r="F1035">
        <f>[5]trip_summary_region!F1035</f>
        <v>0.59830382410000005</v>
      </c>
      <c r="G1035">
        <f>[5]trip_summary_region!G1035</f>
        <v>1.7435628013</v>
      </c>
      <c r="H1035">
        <f>[5]trip_summary_region!H1035</f>
        <v>9.0326621600000004E-2</v>
      </c>
      <c r="I1035" t="s">
        <v>116</v>
      </c>
      <c r="J1035" t="str">
        <f>[5]trip_summary_region!J1035</f>
        <v>2032/33</v>
      </c>
    </row>
    <row r="1036" spans="1:10" x14ac:dyDescent="0.2">
      <c r="A1036" t="str">
        <f>[5]trip_summary_region!A1036</f>
        <v>15 SOUTHLAND</v>
      </c>
      <c r="B1036">
        <f>[5]trip_summary_region!B1036</f>
        <v>4</v>
      </c>
      <c r="C1036">
        <f>[5]trip_summary_region!C1036</f>
        <v>2038</v>
      </c>
      <c r="D1036">
        <f>[5]trip_summary_region!D1036</f>
        <v>4</v>
      </c>
      <c r="E1036">
        <f>[5]trip_summary_region!E1036</f>
        <v>15</v>
      </c>
      <c r="F1036">
        <f>[5]trip_summary_region!F1036</f>
        <v>0.61560851770000002</v>
      </c>
      <c r="G1036">
        <f>[5]trip_summary_region!G1036</f>
        <v>1.7703823165000001</v>
      </c>
      <c r="H1036">
        <f>[5]trip_summary_region!H1036</f>
        <v>9.1902642100000001E-2</v>
      </c>
      <c r="I1036" t="s">
        <v>116</v>
      </c>
      <c r="J1036" t="str">
        <f>[5]trip_summary_region!J1036</f>
        <v>2037/38</v>
      </c>
    </row>
    <row r="1037" spans="1:10" x14ac:dyDescent="0.2">
      <c r="A1037" t="str">
        <f>[5]trip_summary_region!A1037</f>
        <v>15 SOUTHLAND</v>
      </c>
      <c r="B1037">
        <f>[5]trip_summary_region!B1037</f>
        <v>4</v>
      </c>
      <c r="C1037">
        <f>[5]trip_summary_region!C1037</f>
        <v>2043</v>
      </c>
      <c r="D1037">
        <f>[5]trip_summary_region!D1037</f>
        <v>4</v>
      </c>
      <c r="E1037">
        <f>[5]trip_summary_region!E1037</f>
        <v>15</v>
      </c>
      <c r="F1037">
        <f>[5]trip_summary_region!F1037</f>
        <v>0.63174146689999999</v>
      </c>
      <c r="G1037">
        <f>[5]trip_summary_region!G1037</f>
        <v>1.791808281</v>
      </c>
      <c r="H1037">
        <f>[5]trip_summary_region!H1037</f>
        <v>9.3230077100000003E-2</v>
      </c>
      <c r="I1037" t="s">
        <v>116</v>
      </c>
      <c r="J1037" t="str">
        <f>[5]trip_summary_region!J1037</f>
        <v>2042/43</v>
      </c>
    </row>
    <row r="1038" spans="1:10" x14ac:dyDescent="0.2">
      <c r="A1038" t="str">
        <f>[5]trip_summary_region!A1038</f>
        <v>15 SOUTHLAND</v>
      </c>
      <c r="B1038">
        <f>[5]trip_summary_region!B1038</f>
        <v>5</v>
      </c>
      <c r="C1038">
        <f>[5]trip_summary_region!C1038</f>
        <v>2013</v>
      </c>
      <c r="D1038">
        <f>[5]trip_summary_region!D1038</f>
        <v>8</v>
      </c>
      <c r="E1038">
        <f>[5]trip_summary_region!E1038</f>
        <v>32</v>
      </c>
      <c r="F1038">
        <f>[5]trip_summary_region!F1038</f>
        <v>0.62652592730000001</v>
      </c>
      <c r="G1038">
        <f>[5]trip_summary_region!G1038</f>
        <v>18.926640866</v>
      </c>
      <c r="H1038">
        <f>[5]trip_summary_region!H1038</f>
        <v>0.2609239458</v>
      </c>
      <c r="I1038" t="str">
        <f>[5]trip_summary_region!I1038</f>
        <v>Motorcyclist</v>
      </c>
      <c r="J1038" t="str">
        <f>[5]trip_summary_region!J1038</f>
        <v>2012/13</v>
      </c>
    </row>
    <row r="1039" spans="1:10" x14ac:dyDescent="0.2">
      <c r="A1039" t="str">
        <f>[5]trip_summary_region!A1039</f>
        <v>15 SOUTHLAND</v>
      </c>
      <c r="B1039">
        <f>[5]trip_summary_region!B1039</f>
        <v>5</v>
      </c>
      <c r="C1039">
        <f>[5]trip_summary_region!C1039</f>
        <v>2018</v>
      </c>
      <c r="D1039">
        <f>[5]trip_summary_region!D1039</f>
        <v>8</v>
      </c>
      <c r="E1039">
        <f>[5]trip_summary_region!E1039</f>
        <v>32</v>
      </c>
      <c r="F1039">
        <f>[5]trip_summary_region!F1039</f>
        <v>0.71649916489999999</v>
      </c>
      <c r="G1039">
        <f>[5]trip_summary_region!G1039</f>
        <v>24.509459960000001</v>
      </c>
      <c r="H1039">
        <f>[5]trip_summary_region!H1039</f>
        <v>0.32989250710000001</v>
      </c>
      <c r="I1039" t="str">
        <f>[5]trip_summary_region!I1039</f>
        <v>Motorcyclist</v>
      </c>
      <c r="J1039" t="str">
        <f>[5]trip_summary_region!J1039</f>
        <v>2017/18</v>
      </c>
    </row>
    <row r="1040" spans="1:10" x14ac:dyDescent="0.2">
      <c r="A1040" t="str">
        <f>[5]trip_summary_region!A1040</f>
        <v>15 SOUTHLAND</v>
      </c>
      <c r="B1040">
        <f>[5]trip_summary_region!B1040</f>
        <v>5</v>
      </c>
      <c r="C1040">
        <f>[5]trip_summary_region!C1040</f>
        <v>2023</v>
      </c>
      <c r="D1040">
        <f>[5]trip_summary_region!D1040</f>
        <v>8</v>
      </c>
      <c r="E1040">
        <f>[5]trip_summary_region!E1040</f>
        <v>32</v>
      </c>
      <c r="F1040">
        <f>[5]trip_summary_region!F1040</f>
        <v>0.77478135349999999</v>
      </c>
      <c r="G1040">
        <f>[5]trip_summary_region!G1040</f>
        <v>28.462558275999999</v>
      </c>
      <c r="H1040">
        <f>[5]trip_summary_region!H1040</f>
        <v>0.37843133969999998</v>
      </c>
      <c r="I1040" t="str">
        <f>[5]trip_summary_region!I1040</f>
        <v>Motorcyclist</v>
      </c>
      <c r="J1040" t="str">
        <f>[5]trip_summary_region!J1040</f>
        <v>2022/23</v>
      </c>
    </row>
    <row r="1041" spans="1:10" x14ac:dyDescent="0.2">
      <c r="A1041" t="str">
        <f>[5]trip_summary_region!A1041</f>
        <v>15 SOUTHLAND</v>
      </c>
      <c r="B1041">
        <f>[5]trip_summary_region!B1041</f>
        <v>5</v>
      </c>
      <c r="C1041">
        <f>[5]trip_summary_region!C1041</f>
        <v>2028</v>
      </c>
      <c r="D1041">
        <f>[5]trip_summary_region!D1041</f>
        <v>8</v>
      </c>
      <c r="E1041">
        <f>[5]trip_summary_region!E1041</f>
        <v>32</v>
      </c>
      <c r="F1041">
        <f>[5]trip_summary_region!F1041</f>
        <v>0.80009175539999999</v>
      </c>
      <c r="G1041">
        <f>[5]trip_summary_region!G1041</f>
        <v>30.172427308</v>
      </c>
      <c r="H1041">
        <f>[5]trip_summary_region!H1041</f>
        <v>0.39929780209999999</v>
      </c>
      <c r="I1041" t="str">
        <f>[5]trip_summary_region!I1041</f>
        <v>Motorcyclist</v>
      </c>
      <c r="J1041" t="str">
        <f>[5]trip_summary_region!J1041</f>
        <v>2027/28</v>
      </c>
    </row>
    <row r="1042" spans="1:10" x14ac:dyDescent="0.2">
      <c r="A1042" t="str">
        <f>[5]trip_summary_region!A1042</f>
        <v>15 SOUTHLAND</v>
      </c>
      <c r="B1042">
        <f>[5]trip_summary_region!B1042</f>
        <v>5</v>
      </c>
      <c r="C1042">
        <f>[5]trip_summary_region!C1042</f>
        <v>2033</v>
      </c>
      <c r="D1042">
        <f>[5]trip_summary_region!D1042</f>
        <v>8</v>
      </c>
      <c r="E1042">
        <f>[5]trip_summary_region!E1042</f>
        <v>32</v>
      </c>
      <c r="F1042">
        <f>[5]trip_summary_region!F1042</f>
        <v>0.79729143449999995</v>
      </c>
      <c r="G1042">
        <f>[5]trip_summary_region!G1042</f>
        <v>30.656191089</v>
      </c>
      <c r="H1042">
        <f>[5]trip_summary_region!H1042</f>
        <v>0.4043519605</v>
      </c>
      <c r="I1042" t="str">
        <f>[5]trip_summary_region!I1042</f>
        <v>Motorcyclist</v>
      </c>
      <c r="J1042" t="str">
        <f>[5]trip_summary_region!J1042</f>
        <v>2032/33</v>
      </c>
    </row>
    <row r="1043" spans="1:10" x14ac:dyDescent="0.2">
      <c r="A1043" t="str">
        <f>[5]trip_summary_region!A1043</f>
        <v>15 SOUTHLAND</v>
      </c>
      <c r="B1043">
        <f>[5]trip_summary_region!B1043</f>
        <v>5</v>
      </c>
      <c r="C1043">
        <f>[5]trip_summary_region!C1043</f>
        <v>2038</v>
      </c>
      <c r="D1043">
        <f>[5]trip_summary_region!D1043</f>
        <v>8</v>
      </c>
      <c r="E1043">
        <f>[5]trip_summary_region!E1043</f>
        <v>32</v>
      </c>
      <c r="F1043">
        <f>[5]trip_summary_region!F1043</f>
        <v>0.77747879789999996</v>
      </c>
      <c r="G1043">
        <f>[5]trip_summary_region!G1043</f>
        <v>30.290266729999999</v>
      </c>
      <c r="H1043">
        <f>[5]trip_summary_region!H1043</f>
        <v>0.39878826319999999</v>
      </c>
      <c r="I1043" t="str">
        <f>[5]trip_summary_region!I1043</f>
        <v>Motorcyclist</v>
      </c>
      <c r="J1043" t="str">
        <f>[5]trip_summary_region!J1043</f>
        <v>2037/38</v>
      </c>
    </row>
    <row r="1044" spans="1:10" x14ac:dyDescent="0.2">
      <c r="A1044" t="str">
        <f>[5]trip_summary_region!A1044</f>
        <v>15 SOUTHLAND</v>
      </c>
      <c r="B1044">
        <f>[5]trip_summary_region!B1044</f>
        <v>5</v>
      </c>
      <c r="C1044">
        <f>[5]trip_summary_region!C1044</f>
        <v>2043</v>
      </c>
      <c r="D1044">
        <f>[5]trip_summary_region!D1044</f>
        <v>8</v>
      </c>
      <c r="E1044">
        <f>[5]trip_summary_region!E1044</f>
        <v>32</v>
      </c>
      <c r="F1044">
        <f>[5]trip_summary_region!F1044</f>
        <v>0.75087674800000004</v>
      </c>
      <c r="G1044">
        <f>[5]trip_summary_region!G1044</f>
        <v>29.708229423999999</v>
      </c>
      <c r="H1044">
        <f>[5]trip_summary_region!H1044</f>
        <v>0.3902659872</v>
      </c>
      <c r="I1044" t="str">
        <f>[5]trip_summary_region!I1044</f>
        <v>Motorcyclist</v>
      </c>
      <c r="J1044" t="str">
        <f>[5]trip_summary_region!J1044</f>
        <v>2042/43</v>
      </c>
    </row>
    <row r="1045" spans="1:10" x14ac:dyDescent="0.2">
      <c r="A1045" t="str">
        <f>[5]trip_summary_region!A1045</f>
        <v>15 SOUTHLAND</v>
      </c>
      <c r="B1045">
        <f>[5]trip_summary_region!B1045</f>
        <v>7</v>
      </c>
      <c r="C1045">
        <f>[5]trip_summary_region!C1045</f>
        <v>2013</v>
      </c>
      <c r="D1045">
        <f>[5]trip_summary_region!D1045</f>
        <v>37</v>
      </c>
      <c r="E1045">
        <f>[5]trip_summary_region!E1045</f>
        <v>119</v>
      </c>
      <c r="F1045">
        <f>[5]trip_summary_region!F1045</f>
        <v>2.6369167839999998</v>
      </c>
      <c r="G1045">
        <f>[5]trip_summary_region!G1045</f>
        <v>30.182609224</v>
      </c>
      <c r="H1045">
        <f>[5]trip_summary_region!H1045</f>
        <v>1.2152660816</v>
      </c>
      <c r="I1045" t="str">
        <f>[5]trip_summary_region!I1045</f>
        <v>Local Bus</v>
      </c>
      <c r="J1045" t="str">
        <f>[5]trip_summary_region!J1045</f>
        <v>2012/13</v>
      </c>
    </row>
    <row r="1046" spans="1:10" x14ac:dyDescent="0.2">
      <c r="A1046" t="str">
        <f>[5]trip_summary_region!A1046</f>
        <v>15 SOUTHLAND</v>
      </c>
      <c r="B1046">
        <f>[5]trip_summary_region!B1046</f>
        <v>7</v>
      </c>
      <c r="C1046">
        <f>[5]trip_summary_region!C1046</f>
        <v>2018</v>
      </c>
      <c r="D1046">
        <f>[5]trip_summary_region!D1046</f>
        <v>37</v>
      </c>
      <c r="E1046">
        <f>[5]trip_summary_region!E1046</f>
        <v>119</v>
      </c>
      <c r="F1046">
        <f>[5]trip_summary_region!F1046</f>
        <v>2.6522461971000002</v>
      </c>
      <c r="G1046">
        <f>[5]trip_summary_region!G1046</f>
        <v>30.176377896000002</v>
      </c>
      <c r="H1046">
        <f>[5]trip_summary_region!H1046</f>
        <v>1.2126964949000001</v>
      </c>
      <c r="I1046" t="str">
        <f>[5]trip_summary_region!I1046</f>
        <v>Local Bus</v>
      </c>
      <c r="J1046" t="str">
        <f>[5]trip_summary_region!J1046</f>
        <v>2017/18</v>
      </c>
    </row>
    <row r="1047" spans="1:10" x14ac:dyDescent="0.2">
      <c r="A1047" t="str">
        <f>[5]trip_summary_region!A1047</f>
        <v>15 SOUTHLAND</v>
      </c>
      <c r="B1047">
        <f>[5]trip_summary_region!B1047</f>
        <v>7</v>
      </c>
      <c r="C1047">
        <f>[5]trip_summary_region!C1047</f>
        <v>2023</v>
      </c>
      <c r="D1047">
        <f>[5]trip_summary_region!D1047</f>
        <v>37</v>
      </c>
      <c r="E1047">
        <f>[5]trip_summary_region!E1047</f>
        <v>119</v>
      </c>
      <c r="F1047">
        <f>[5]trip_summary_region!F1047</f>
        <v>2.6669033813</v>
      </c>
      <c r="G1047">
        <f>[5]trip_summary_region!G1047</f>
        <v>30.524485877</v>
      </c>
      <c r="H1047">
        <f>[5]trip_summary_region!H1047</f>
        <v>1.2298861237000001</v>
      </c>
      <c r="I1047" t="str">
        <f>[5]trip_summary_region!I1047</f>
        <v>Local Bus</v>
      </c>
      <c r="J1047" t="str">
        <f>[5]trip_summary_region!J1047</f>
        <v>2022/23</v>
      </c>
    </row>
    <row r="1048" spans="1:10" x14ac:dyDescent="0.2">
      <c r="A1048" t="str">
        <f>[5]trip_summary_region!A1048</f>
        <v>15 SOUTHLAND</v>
      </c>
      <c r="B1048">
        <f>[5]trip_summary_region!B1048</f>
        <v>7</v>
      </c>
      <c r="C1048">
        <f>[5]trip_summary_region!C1048</f>
        <v>2028</v>
      </c>
      <c r="D1048">
        <f>[5]trip_summary_region!D1048</f>
        <v>37</v>
      </c>
      <c r="E1048">
        <f>[5]trip_summary_region!E1048</f>
        <v>119</v>
      </c>
      <c r="F1048">
        <f>[5]trip_summary_region!F1048</f>
        <v>2.6967261397</v>
      </c>
      <c r="G1048">
        <f>[5]trip_summary_region!G1048</f>
        <v>30.877759248</v>
      </c>
      <c r="H1048">
        <f>[5]trip_summary_region!H1048</f>
        <v>1.2547103308000001</v>
      </c>
      <c r="I1048" t="str">
        <f>[5]trip_summary_region!I1048</f>
        <v>Local Bus</v>
      </c>
      <c r="J1048" t="str">
        <f>[5]trip_summary_region!J1048</f>
        <v>2027/28</v>
      </c>
    </row>
    <row r="1049" spans="1:10" x14ac:dyDescent="0.2">
      <c r="A1049" t="str">
        <f>[5]trip_summary_region!A1049</f>
        <v>15 SOUTHLAND</v>
      </c>
      <c r="B1049">
        <f>[5]trip_summary_region!B1049</f>
        <v>7</v>
      </c>
      <c r="C1049">
        <f>[5]trip_summary_region!C1049</f>
        <v>2033</v>
      </c>
      <c r="D1049">
        <f>[5]trip_summary_region!D1049</f>
        <v>37</v>
      </c>
      <c r="E1049">
        <f>[5]trip_summary_region!E1049</f>
        <v>119</v>
      </c>
      <c r="F1049">
        <f>[5]trip_summary_region!F1049</f>
        <v>2.6090905865999998</v>
      </c>
      <c r="G1049">
        <f>[5]trip_summary_region!G1049</f>
        <v>29.801901313999998</v>
      </c>
      <c r="H1049">
        <f>[5]trip_summary_region!H1049</f>
        <v>1.2230257926000001</v>
      </c>
      <c r="I1049" t="str">
        <f>[5]trip_summary_region!I1049</f>
        <v>Local Bus</v>
      </c>
      <c r="J1049" t="str">
        <f>[5]trip_summary_region!J1049</f>
        <v>2032/33</v>
      </c>
    </row>
    <row r="1050" spans="1:10" x14ac:dyDescent="0.2">
      <c r="A1050" t="str">
        <f>[5]trip_summary_region!A1050</f>
        <v>15 SOUTHLAND</v>
      </c>
      <c r="B1050">
        <f>[5]trip_summary_region!B1050</f>
        <v>7</v>
      </c>
      <c r="C1050">
        <f>[5]trip_summary_region!C1050</f>
        <v>2038</v>
      </c>
      <c r="D1050">
        <f>[5]trip_summary_region!D1050</f>
        <v>37</v>
      </c>
      <c r="E1050">
        <f>[5]trip_summary_region!E1050</f>
        <v>119</v>
      </c>
      <c r="F1050">
        <f>[5]trip_summary_region!F1050</f>
        <v>2.5063507006000001</v>
      </c>
      <c r="G1050">
        <f>[5]trip_summary_region!G1050</f>
        <v>28.310776477000001</v>
      </c>
      <c r="H1050">
        <f>[5]trip_summary_region!H1050</f>
        <v>1.1808230655</v>
      </c>
      <c r="I1050" t="str">
        <f>[5]trip_summary_region!I1050</f>
        <v>Local Bus</v>
      </c>
      <c r="J1050" t="str">
        <f>[5]trip_summary_region!J1050</f>
        <v>2037/38</v>
      </c>
    </row>
    <row r="1051" spans="1:10" x14ac:dyDescent="0.2">
      <c r="A1051" t="str">
        <f>[5]trip_summary_region!A1051</f>
        <v>15 SOUTHLAND</v>
      </c>
      <c r="B1051">
        <f>[5]trip_summary_region!B1051</f>
        <v>7</v>
      </c>
      <c r="C1051">
        <f>[5]trip_summary_region!C1051</f>
        <v>2043</v>
      </c>
      <c r="D1051">
        <f>[5]trip_summary_region!D1051</f>
        <v>37</v>
      </c>
      <c r="E1051">
        <f>[5]trip_summary_region!E1051</f>
        <v>119</v>
      </c>
      <c r="F1051">
        <f>[5]trip_summary_region!F1051</f>
        <v>2.3857704051000002</v>
      </c>
      <c r="G1051">
        <f>[5]trip_summary_region!G1051</f>
        <v>26.651421865</v>
      </c>
      <c r="H1051">
        <f>[5]trip_summary_region!H1051</f>
        <v>1.1314962729</v>
      </c>
      <c r="I1051" t="str">
        <f>[5]trip_summary_region!I1051</f>
        <v>Local Bus</v>
      </c>
      <c r="J1051" t="str">
        <f>[5]trip_summary_region!J1051</f>
        <v>2042/43</v>
      </c>
    </row>
    <row r="1052" spans="1:10" x14ac:dyDescent="0.2">
      <c r="A1052" t="str">
        <f>[5]trip_summary_region!A1052</f>
        <v>15 SOUTHLAND</v>
      </c>
      <c r="B1052">
        <f>[5]trip_summary_region!B1052</f>
        <v>9</v>
      </c>
      <c r="C1052">
        <f>[5]trip_summary_region!C1052</f>
        <v>2013</v>
      </c>
      <c r="D1052">
        <f>[5]trip_summary_region!D1052</f>
        <v>3</v>
      </c>
      <c r="E1052">
        <f>[5]trip_summary_region!E1052</f>
        <v>20</v>
      </c>
      <c r="F1052">
        <f>[5]trip_summary_region!F1052</f>
        <v>0.42937289560000003</v>
      </c>
      <c r="G1052">
        <f>[5]trip_summary_region!G1052</f>
        <v>0</v>
      </c>
      <c r="H1052">
        <f>[5]trip_summary_region!H1052</f>
        <v>8.5162673699999997E-2</v>
      </c>
      <c r="I1052" t="str">
        <f>[5]trip_summary_region!I1052</f>
        <v>Other Household Travel</v>
      </c>
      <c r="J1052" t="str">
        <f>[5]trip_summary_region!J1052</f>
        <v>2012/13</v>
      </c>
    </row>
    <row r="1053" spans="1:10" x14ac:dyDescent="0.2">
      <c r="A1053" t="str">
        <f>[5]trip_summary_region!A1053</f>
        <v>15 SOUTHLAND</v>
      </c>
      <c r="B1053">
        <f>[5]trip_summary_region!B1053</f>
        <v>9</v>
      </c>
      <c r="C1053">
        <f>[5]trip_summary_region!C1053</f>
        <v>2018</v>
      </c>
      <c r="D1053">
        <f>[5]trip_summary_region!D1053</f>
        <v>3</v>
      </c>
      <c r="E1053">
        <f>[5]trip_summary_region!E1053</f>
        <v>20</v>
      </c>
      <c r="F1053">
        <f>[5]trip_summary_region!F1053</f>
        <v>0.4747555692</v>
      </c>
      <c r="G1053">
        <f>[5]trip_summary_region!G1053</f>
        <v>0</v>
      </c>
      <c r="H1053">
        <f>[5]trip_summary_region!H1053</f>
        <v>9.4453581300000006E-2</v>
      </c>
      <c r="I1053" t="str">
        <f>[5]trip_summary_region!I1053</f>
        <v>Other Household Travel</v>
      </c>
      <c r="J1053" t="str">
        <f>[5]trip_summary_region!J1053</f>
        <v>2017/18</v>
      </c>
    </row>
    <row r="1054" spans="1:10" x14ac:dyDescent="0.2">
      <c r="A1054" t="str">
        <f>[5]trip_summary_region!A1054</f>
        <v>15 SOUTHLAND</v>
      </c>
      <c r="B1054">
        <f>[5]trip_summary_region!B1054</f>
        <v>9</v>
      </c>
      <c r="C1054">
        <f>[5]trip_summary_region!C1054</f>
        <v>2023</v>
      </c>
      <c r="D1054">
        <f>[5]trip_summary_region!D1054</f>
        <v>3</v>
      </c>
      <c r="E1054">
        <f>[5]trip_summary_region!E1054</f>
        <v>20</v>
      </c>
      <c r="F1054">
        <f>[5]trip_summary_region!F1054</f>
        <v>0.50353461129999999</v>
      </c>
      <c r="G1054">
        <f>[5]trip_summary_region!G1054</f>
        <v>0</v>
      </c>
      <c r="H1054">
        <f>[5]trip_summary_region!H1054</f>
        <v>0.1006842183</v>
      </c>
      <c r="I1054" t="str">
        <f>[5]trip_summary_region!I1054</f>
        <v>Other Household Travel</v>
      </c>
      <c r="J1054" t="str">
        <f>[5]trip_summary_region!J1054</f>
        <v>2022/23</v>
      </c>
    </row>
    <row r="1055" spans="1:10" x14ac:dyDescent="0.2">
      <c r="A1055" t="str">
        <f>[5]trip_summary_region!A1055</f>
        <v>15 SOUTHLAND</v>
      </c>
      <c r="B1055">
        <f>[5]trip_summary_region!B1055</f>
        <v>9</v>
      </c>
      <c r="C1055">
        <f>[5]trip_summary_region!C1055</f>
        <v>2028</v>
      </c>
      <c r="D1055">
        <f>[5]trip_summary_region!D1055</f>
        <v>3</v>
      </c>
      <c r="E1055">
        <f>[5]trip_summary_region!E1055</f>
        <v>20</v>
      </c>
      <c r="F1055">
        <f>[5]trip_summary_region!F1055</f>
        <v>0.532821973</v>
      </c>
      <c r="G1055">
        <f>[5]trip_summary_region!G1055</f>
        <v>0</v>
      </c>
      <c r="H1055">
        <f>[5]trip_summary_region!H1055</f>
        <v>0.1067805802</v>
      </c>
      <c r="I1055" t="str">
        <f>[5]trip_summary_region!I1055</f>
        <v>Other Household Travel</v>
      </c>
      <c r="J1055" t="str">
        <f>[5]trip_summary_region!J1055</f>
        <v>2027/28</v>
      </c>
    </row>
    <row r="1056" spans="1:10" x14ac:dyDescent="0.2">
      <c r="A1056" t="str">
        <f>[5]trip_summary_region!A1056</f>
        <v>15 SOUTHLAND</v>
      </c>
      <c r="B1056">
        <f>[5]trip_summary_region!B1056</f>
        <v>9</v>
      </c>
      <c r="C1056">
        <f>[5]trip_summary_region!C1056</f>
        <v>2033</v>
      </c>
      <c r="D1056">
        <f>[5]trip_summary_region!D1056</f>
        <v>3</v>
      </c>
      <c r="E1056">
        <f>[5]trip_summary_region!E1056</f>
        <v>20</v>
      </c>
      <c r="F1056">
        <f>[5]trip_summary_region!F1056</f>
        <v>0.55929527649999999</v>
      </c>
      <c r="G1056">
        <f>[5]trip_summary_region!G1056</f>
        <v>0</v>
      </c>
      <c r="H1056">
        <f>[5]trip_summary_region!H1056</f>
        <v>0.11265477459999999</v>
      </c>
      <c r="I1056" t="str">
        <f>[5]trip_summary_region!I1056</f>
        <v>Other Household Travel</v>
      </c>
      <c r="J1056" t="str">
        <f>[5]trip_summary_region!J1056</f>
        <v>2032/33</v>
      </c>
    </row>
    <row r="1057" spans="1:10" x14ac:dyDescent="0.2">
      <c r="A1057" t="str">
        <f>[5]trip_summary_region!A1057</f>
        <v>15 SOUTHLAND</v>
      </c>
      <c r="B1057">
        <f>[5]trip_summary_region!B1057</f>
        <v>9</v>
      </c>
      <c r="C1057">
        <f>[5]trip_summary_region!C1057</f>
        <v>2038</v>
      </c>
      <c r="D1057">
        <f>[5]trip_summary_region!D1057</f>
        <v>3</v>
      </c>
      <c r="E1057">
        <f>[5]trip_summary_region!E1057</f>
        <v>20</v>
      </c>
      <c r="F1057">
        <f>[5]trip_summary_region!F1057</f>
        <v>0.56388493200000001</v>
      </c>
      <c r="G1057">
        <f>[5]trip_summary_region!G1057</f>
        <v>0</v>
      </c>
      <c r="H1057">
        <f>[5]trip_summary_region!H1057</f>
        <v>0.1137228052</v>
      </c>
      <c r="I1057" t="str">
        <f>[5]trip_summary_region!I1057</f>
        <v>Other Household Travel</v>
      </c>
      <c r="J1057" t="str">
        <f>[5]trip_summary_region!J1057</f>
        <v>2037/38</v>
      </c>
    </row>
    <row r="1058" spans="1:10" x14ac:dyDescent="0.2">
      <c r="A1058" t="str">
        <f>[5]trip_summary_region!A1058</f>
        <v>15 SOUTHLAND</v>
      </c>
      <c r="B1058">
        <f>[5]trip_summary_region!B1058</f>
        <v>9</v>
      </c>
      <c r="C1058">
        <f>[5]trip_summary_region!C1058</f>
        <v>2043</v>
      </c>
      <c r="D1058">
        <f>[5]trip_summary_region!D1058</f>
        <v>3</v>
      </c>
      <c r="E1058">
        <f>[5]trip_summary_region!E1058</f>
        <v>20</v>
      </c>
      <c r="F1058">
        <f>[5]trip_summary_region!F1058</f>
        <v>0.5574157636</v>
      </c>
      <c r="G1058">
        <f>[5]trip_summary_region!G1058</f>
        <v>0</v>
      </c>
      <c r="H1058">
        <f>[5]trip_summary_region!H1058</f>
        <v>0.11215507199999999</v>
      </c>
      <c r="I1058" t="str">
        <f>[5]trip_summary_region!I1058</f>
        <v>Other Household Travel</v>
      </c>
      <c r="J1058" t="str">
        <f>[5]trip_summary_region!J1058</f>
        <v>2042/43</v>
      </c>
    </row>
    <row r="1059" spans="1:10" x14ac:dyDescent="0.2">
      <c r="A1059" t="str">
        <f>[5]trip_summary_region!A1059</f>
        <v>15 SOUTHLAND</v>
      </c>
      <c r="B1059">
        <f>[5]trip_summary_region!B1059</f>
        <v>10</v>
      </c>
      <c r="C1059">
        <f>[5]trip_summary_region!C1059</f>
        <v>2013</v>
      </c>
      <c r="D1059">
        <f>[5]trip_summary_region!D1059</f>
        <v>4</v>
      </c>
      <c r="E1059">
        <f>[5]trip_summary_region!E1059</f>
        <v>5</v>
      </c>
      <c r="F1059">
        <f>[5]trip_summary_region!F1059</f>
        <v>0.11858970739999999</v>
      </c>
      <c r="G1059">
        <f>[5]trip_summary_region!G1059</f>
        <v>7.7216256564999997</v>
      </c>
      <c r="H1059">
        <f>[5]trip_summary_region!H1059</f>
        <v>0.2054826143</v>
      </c>
      <c r="I1059" t="str">
        <f>[5]trip_summary_region!I1059</f>
        <v>Air/Non-Local PT</v>
      </c>
      <c r="J1059" t="str">
        <f>[5]trip_summary_region!J1059</f>
        <v>2012/13</v>
      </c>
    </row>
    <row r="1060" spans="1:10" x14ac:dyDescent="0.2">
      <c r="A1060" t="str">
        <f>[5]trip_summary_region!A1060</f>
        <v>15 SOUTHLAND</v>
      </c>
      <c r="B1060">
        <f>[5]trip_summary_region!B1060</f>
        <v>10</v>
      </c>
      <c r="C1060">
        <f>[5]trip_summary_region!C1060</f>
        <v>2018</v>
      </c>
      <c r="D1060">
        <f>[5]trip_summary_region!D1060</f>
        <v>4</v>
      </c>
      <c r="E1060">
        <f>[5]trip_summary_region!E1060</f>
        <v>5</v>
      </c>
      <c r="F1060">
        <f>[5]trip_summary_region!F1060</f>
        <v>0.14338578669999999</v>
      </c>
      <c r="G1060">
        <f>[5]trip_summary_region!G1060</f>
        <v>7.9601712852000004</v>
      </c>
      <c r="H1060">
        <f>[5]trip_summary_region!H1060</f>
        <v>0.23899103020000001</v>
      </c>
      <c r="I1060" t="str">
        <f>[5]trip_summary_region!I1060</f>
        <v>Air/Non-Local PT</v>
      </c>
      <c r="J1060" t="str">
        <f>[5]trip_summary_region!J1060</f>
        <v>2017/18</v>
      </c>
    </row>
    <row r="1061" spans="1:10" x14ac:dyDescent="0.2">
      <c r="A1061" t="str">
        <f>[5]trip_summary_region!A1061</f>
        <v>15 SOUTHLAND</v>
      </c>
      <c r="B1061">
        <f>[5]trip_summary_region!B1061</f>
        <v>10</v>
      </c>
      <c r="C1061">
        <f>[5]trip_summary_region!C1061</f>
        <v>2023</v>
      </c>
      <c r="D1061">
        <f>[5]trip_summary_region!D1061</f>
        <v>4</v>
      </c>
      <c r="E1061">
        <f>[5]trip_summary_region!E1061</f>
        <v>5</v>
      </c>
      <c r="F1061">
        <f>[5]trip_summary_region!F1061</f>
        <v>0.15683271200000001</v>
      </c>
      <c r="G1061">
        <f>[5]trip_summary_region!G1061</f>
        <v>7.5530780855000001</v>
      </c>
      <c r="H1061">
        <f>[5]trip_summary_region!H1061</f>
        <v>0.25381557269999999</v>
      </c>
      <c r="I1061" t="str">
        <f>[5]trip_summary_region!I1061</f>
        <v>Air/Non-Local PT</v>
      </c>
      <c r="J1061" t="str">
        <f>[5]trip_summary_region!J1061</f>
        <v>2022/23</v>
      </c>
    </row>
    <row r="1062" spans="1:10" x14ac:dyDescent="0.2">
      <c r="A1062" t="str">
        <f>[5]trip_summary_region!A1062</f>
        <v>15 SOUTHLAND</v>
      </c>
      <c r="B1062">
        <f>[5]trip_summary_region!B1062</f>
        <v>10</v>
      </c>
      <c r="C1062">
        <f>[5]trip_summary_region!C1062</f>
        <v>2028</v>
      </c>
      <c r="D1062">
        <f>[5]trip_summary_region!D1062</f>
        <v>4</v>
      </c>
      <c r="E1062">
        <f>[5]trip_summary_region!E1062</f>
        <v>5</v>
      </c>
      <c r="F1062">
        <f>[5]trip_summary_region!F1062</f>
        <v>0.16684299089999999</v>
      </c>
      <c r="G1062">
        <f>[5]trip_summary_region!G1062</f>
        <v>7.1747905595999999</v>
      </c>
      <c r="H1062">
        <f>[5]trip_summary_region!H1062</f>
        <v>0.26408762889999998</v>
      </c>
      <c r="I1062" t="str">
        <f>[5]trip_summary_region!I1062</f>
        <v>Air/Non-Local PT</v>
      </c>
      <c r="J1062" t="str">
        <f>[5]trip_summary_region!J1062</f>
        <v>2027/28</v>
      </c>
    </row>
    <row r="1063" spans="1:10" x14ac:dyDescent="0.2">
      <c r="A1063" t="str">
        <f>[5]trip_summary_region!A1063</f>
        <v>15 SOUTHLAND</v>
      </c>
      <c r="B1063">
        <f>[5]trip_summary_region!B1063</f>
        <v>10</v>
      </c>
      <c r="C1063">
        <f>[5]trip_summary_region!C1063</f>
        <v>2033</v>
      </c>
      <c r="D1063">
        <f>[5]trip_summary_region!D1063</f>
        <v>4</v>
      </c>
      <c r="E1063">
        <f>[5]trip_summary_region!E1063</f>
        <v>5</v>
      </c>
      <c r="F1063">
        <f>[5]trip_summary_region!F1063</f>
        <v>0.17156906059999999</v>
      </c>
      <c r="G1063">
        <f>[5]trip_summary_region!G1063</f>
        <v>7.4432654508000002</v>
      </c>
      <c r="H1063">
        <f>[5]trip_summary_region!H1063</f>
        <v>0.2722777093</v>
      </c>
      <c r="I1063" t="str">
        <f>[5]trip_summary_region!I1063</f>
        <v>Air/Non-Local PT</v>
      </c>
      <c r="J1063" t="str">
        <f>[5]trip_summary_region!J1063</f>
        <v>2032/33</v>
      </c>
    </row>
    <row r="1064" spans="1:10" x14ac:dyDescent="0.2">
      <c r="A1064" t="str">
        <f>[5]trip_summary_region!A1064</f>
        <v>15 SOUTHLAND</v>
      </c>
      <c r="B1064">
        <f>[5]trip_summary_region!B1064</f>
        <v>10</v>
      </c>
      <c r="C1064">
        <f>[5]trip_summary_region!C1064</f>
        <v>2038</v>
      </c>
      <c r="D1064">
        <f>[5]trip_summary_region!D1064</f>
        <v>4</v>
      </c>
      <c r="E1064">
        <f>[5]trip_summary_region!E1064</f>
        <v>5</v>
      </c>
      <c r="F1064">
        <f>[5]trip_summary_region!F1064</f>
        <v>0.17730374800000001</v>
      </c>
      <c r="G1064">
        <f>[5]trip_summary_region!G1064</f>
        <v>7.7172824696999998</v>
      </c>
      <c r="H1064">
        <f>[5]trip_summary_region!H1064</f>
        <v>0.2834059874</v>
      </c>
      <c r="I1064" t="str">
        <f>[5]trip_summary_region!I1064</f>
        <v>Air/Non-Local PT</v>
      </c>
      <c r="J1064" t="str">
        <f>[5]trip_summary_region!J1064</f>
        <v>2037/38</v>
      </c>
    </row>
    <row r="1065" spans="1:10" x14ac:dyDescent="0.2">
      <c r="A1065" t="str">
        <f>[5]trip_summary_region!A1065</f>
        <v>15 SOUTHLAND</v>
      </c>
      <c r="B1065">
        <f>[5]trip_summary_region!B1065</f>
        <v>10</v>
      </c>
      <c r="C1065">
        <f>[5]trip_summary_region!C1065</f>
        <v>2043</v>
      </c>
      <c r="D1065">
        <f>[5]trip_summary_region!D1065</f>
        <v>4</v>
      </c>
      <c r="E1065">
        <f>[5]trip_summary_region!E1065</f>
        <v>5</v>
      </c>
      <c r="F1065">
        <f>[5]trip_summary_region!F1065</f>
        <v>0.18245423569999999</v>
      </c>
      <c r="G1065">
        <f>[5]trip_summary_region!G1065</f>
        <v>7.9508726060999999</v>
      </c>
      <c r="H1065">
        <f>[5]trip_summary_region!H1065</f>
        <v>0.29339433050000002</v>
      </c>
      <c r="I1065" t="str">
        <f>[5]trip_summary_region!I1065</f>
        <v>Air/Non-Local PT</v>
      </c>
      <c r="J1065" t="str">
        <f>[5]trip_summary_region!J1065</f>
        <v>2042/43</v>
      </c>
    </row>
    <row r="1066" spans="1:10" x14ac:dyDescent="0.2">
      <c r="A1066" t="str">
        <f>[5]trip_summary_region!A1066</f>
        <v>15 SOUTHLAND</v>
      </c>
      <c r="B1066">
        <f>[5]trip_summary_region!B1066</f>
        <v>11</v>
      </c>
      <c r="C1066">
        <f>[5]trip_summary_region!C1066</f>
        <v>2013</v>
      </c>
      <c r="D1066">
        <f>[5]trip_summary_region!D1066</f>
        <v>3</v>
      </c>
      <c r="E1066">
        <f>[5]trip_summary_region!E1066</f>
        <v>9</v>
      </c>
      <c r="F1066">
        <f>[5]trip_summary_region!F1066</f>
        <v>0.1918163457</v>
      </c>
      <c r="G1066">
        <f>[5]trip_summary_region!G1066</f>
        <v>7.2518167408999998</v>
      </c>
      <c r="H1066">
        <f>[5]trip_summary_region!H1066</f>
        <v>0.26579174360000002</v>
      </c>
      <c r="I1066" t="str">
        <f>[5]trip_summary_region!I1066</f>
        <v>Non-Household Travel</v>
      </c>
      <c r="J1066" t="str">
        <f>[5]trip_summary_region!J1066</f>
        <v>2012/13</v>
      </c>
    </row>
    <row r="1067" spans="1:10" x14ac:dyDescent="0.2">
      <c r="A1067" t="str">
        <f>[5]trip_summary_region!A1067</f>
        <v>15 SOUTHLAND</v>
      </c>
      <c r="B1067">
        <f>[5]trip_summary_region!B1067</f>
        <v>11</v>
      </c>
      <c r="C1067">
        <f>[5]trip_summary_region!C1067</f>
        <v>2018</v>
      </c>
      <c r="D1067">
        <f>[5]trip_summary_region!D1067</f>
        <v>3</v>
      </c>
      <c r="E1067">
        <f>[5]trip_summary_region!E1067</f>
        <v>9</v>
      </c>
      <c r="F1067">
        <f>[5]trip_summary_region!F1067</f>
        <v>0.20413120039999999</v>
      </c>
      <c r="G1067">
        <f>[5]trip_summary_region!G1067</f>
        <v>8.7392549418000005</v>
      </c>
      <c r="H1067">
        <f>[5]trip_summary_region!H1067</f>
        <v>0.36389181939999998</v>
      </c>
      <c r="I1067" t="str">
        <f>[5]trip_summary_region!I1067</f>
        <v>Non-Household Travel</v>
      </c>
      <c r="J1067" t="str">
        <f>[5]trip_summary_region!J1067</f>
        <v>2017/18</v>
      </c>
    </row>
    <row r="1068" spans="1:10" x14ac:dyDescent="0.2">
      <c r="A1068" t="str">
        <f>[5]trip_summary_region!A1068</f>
        <v>15 SOUTHLAND</v>
      </c>
      <c r="B1068">
        <f>[5]trip_summary_region!B1068</f>
        <v>11</v>
      </c>
      <c r="C1068">
        <f>[5]trip_summary_region!C1068</f>
        <v>2023</v>
      </c>
      <c r="D1068">
        <f>[5]trip_summary_region!D1068</f>
        <v>3</v>
      </c>
      <c r="E1068">
        <f>[5]trip_summary_region!E1068</f>
        <v>9</v>
      </c>
      <c r="F1068">
        <f>[5]trip_summary_region!F1068</f>
        <v>0.22124935649999999</v>
      </c>
      <c r="G1068">
        <f>[5]trip_summary_region!G1068</f>
        <v>10.040484096</v>
      </c>
      <c r="H1068">
        <f>[5]trip_summary_region!H1068</f>
        <v>0.43052241679999997</v>
      </c>
      <c r="I1068" t="str">
        <f>[5]trip_summary_region!I1068</f>
        <v>Non-Household Travel</v>
      </c>
      <c r="J1068" t="str">
        <f>[5]trip_summary_region!J1068</f>
        <v>2022/23</v>
      </c>
    </row>
    <row r="1069" spans="1:10" x14ac:dyDescent="0.2">
      <c r="A1069" t="str">
        <f>[5]trip_summary_region!A1069</f>
        <v>15 SOUTHLAND</v>
      </c>
      <c r="B1069">
        <f>[5]trip_summary_region!B1069</f>
        <v>11</v>
      </c>
      <c r="C1069">
        <f>[5]trip_summary_region!C1069</f>
        <v>2028</v>
      </c>
      <c r="D1069">
        <f>[5]trip_summary_region!D1069</f>
        <v>3</v>
      </c>
      <c r="E1069">
        <f>[5]trip_summary_region!E1069</f>
        <v>9</v>
      </c>
      <c r="F1069">
        <f>[5]trip_summary_region!F1069</f>
        <v>0.25744991740000001</v>
      </c>
      <c r="G1069">
        <f>[5]trip_summary_region!G1069</f>
        <v>11.259271108</v>
      </c>
      <c r="H1069">
        <f>[5]trip_summary_region!H1069</f>
        <v>0.45811335380000001</v>
      </c>
      <c r="I1069" t="str">
        <f>[5]trip_summary_region!I1069</f>
        <v>Non-Household Travel</v>
      </c>
      <c r="J1069" t="str">
        <f>[5]trip_summary_region!J1069</f>
        <v>2027/28</v>
      </c>
    </row>
    <row r="1070" spans="1:10" x14ac:dyDescent="0.2">
      <c r="A1070" t="str">
        <f>[5]trip_summary_region!A1070</f>
        <v>15 SOUTHLAND</v>
      </c>
      <c r="B1070">
        <f>[5]trip_summary_region!B1070</f>
        <v>11</v>
      </c>
      <c r="C1070">
        <f>[5]trip_summary_region!C1070</f>
        <v>2033</v>
      </c>
      <c r="D1070">
        <f>[5]trip_summary_region!D1070</f>
        <v>3</v>
      </c>
      <c r="E1070">
        <f>[5]trip_summary_region!E1070</f>
        <v>9</v>
      </c>
      <c r="F1070">
        <f>[5]trip_summary_region!F1070</f>
        <v>0.27555612260000001</v>
      </c>
      <c r="G1070">
        <f>[5]trip_summary_region!G1070</f>
        <v>12.067522388</v>
      </c>
      <c r="H1070">
        <f>[5]trip_summary_region!H1070</f>
        <v>0.48602141110000002</v>
      </c>
      <c r="I1070" t="str">
        <f>[5]trip_summary_region!I1070</f>
        <v>Non-Household Travel</v>
      </c>
      <c r="J1070" t="str">
        <f>[5]trip_summary_region!J1070</f>
        <v>2032/33</v>
      </c>
    </row>
    <row r="1071" spans="1:10" x14ac:dyDescent="0.2">
      <c r="A1071" t="str">
        <f>[5]trip_summary_region!A1071</f>
        <v>15 SOUTHLAND</v>
      </c>
      <c r="B1071">
        <f>[5]trip_summary_region!B1071</f>
        <v>11</v>
      </c>
      <c r="C1071">
        <f>[5]trip_summary_region!C1071</f>
        <v>2038</v>
      </c>
      <c r="D1071">
        <f>[5]trip_summary_region!D1071</f>
        <v>3</v>
      </c>
      <c r="E1071">
        <f>[5]trip_summary_region!E1071</f>
        <v>9</v>
      </c>
      <c r="F1071">
        <f>[5]trip_summary_region!F1071</f>
        <v>0.27613086669999998</v>
      </c>
      <c r="G1071">
        <f>[5]trip_summary_region!G1071</f>
        <v>12.463551236000001</v>
      </c>
      <c r="H1071">
        <f>[5]trip_summary_region!H1071</f>
        <v>0.52447497929999998</v>
      </c>
      <c r="I1071" t="str">
        <f>[5]trip_summary_region!I1071</f>
        <v>Non-Household Travel</v>
      </c>
      <c r="J1071" t="str">
        <f>[5]trip_summary_region!J1071</f>
        <v>2037/38</v>
      </c>
    </row>
    <row r="1072" spans="1:10" x14ac:dyDescent="0.2">
      <c r="A1072" t="str">
        <f>[5]trip_summary_region!A1072</f>
        <v>15 SOUTHLAND</v>
      </c>
      <c r="B1072">
        <f>[5]trip_summary_region!B1072</f>
        <v>11</v>
      </c>
      <c r="C1072">
        <f>[5]trip_summary_region!C1072</f>
        <v>2043</v>
      </c>
      <c r="D1072">
        <f>[5]trip_summary_region!D1072</f>
        <v>3</v>
      </c>
      <c r="E1072">
        <f>[5]trip_summary_region!E1072</f>
        <v>9</v>
      </c>
      <c r="F1072">
        <f>[5]trip_summary_region!F1072</f>
        <v>0.27309210169999998</v>
      </c>
      <c r="G1072">
        <f>[5]trip_summary_region!G1072</f>
        <v>12.796586151</v>
      </c>
      <c r="H1072">
        <f>[5]trip_summary_region!H1072</f>
        <v>0.56415384420000003</v>
      </c>
      <c r="I1072" t="str">
        <f>[5]trip_summary_region!I1072</f>
        <v>Non-Household Travel</v>
      </c>
      <c r="J1072" t="str">
        <f>[5]trip_summary_region!J1072</f>
        <v>2042/43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K25"/>
  <sheetViews>
    <sheetView zoomScaleNormal="100" workbookViewId="0">
      <selection activeCell="B48" sqref="B48"/>
    </sheetView>
  </sheetViews>
  <sheetFormatPr defaultRowHeight="12.75" x14ac:dyDescent="0.2"/>
  <cols>
    <col min="1" max="1" width="59.5703125" customWidth="1"/>
    <col min="2" max="11" width="17.85546875" customWidth="1"/>
  </cols>
  <sheetData>
    <row r="2" spans="1:11" ht="13.5" thickBot="1" x14ac:dyDescent="0.25"/>
    <row r="3" spans="1:11" ht="16.5" thickTop="1" x14ac:dyDescent="0.25">
      <c r="A3" s="6" t="s">
        <v>72</v>
      </c>
      <c r="B3" s="7"/>
      <c r="C3" s="7"/>
      <c r="D3" s="7"/>
      <c r="E3" s="7"/>
      <c r="F3" s="7"/>
      <c r="G3" s="7"/>
      <c r="H3" s="7"/>
      <c r="I3" s="7"/>
      <c r="J3" s="7"/>
      <c r="K3" s="9"/>
    </row>
    <row r="4" spans="1:11" ht="13.5" thickBot="1" x14ac:dyDescent="0.25">
      <c r="A4" s="10"/>
      <c r="B4" s="11" t="s">
        <v>22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120</v>
      </c>
      <c r="J4" s="11" t="s">
        <v>121</v>
      </c>
      <c r="K4" s="12" t="s">
        <v>122</v>
      </c>
    </row>
    <row r="5" spans="1:11" ht="14.25" thickTop="1" thickBot="1" x14ac:dyDescent="0.25">
      <c r="A5" s="13"/>
      <c r="B5" s="14" t="s">
        <v>31</v>
      </c>
      <c r="C5" s="14" t="s">
        <v>32</v>
      </c>
      <c r="D5" s="14" t="s">
        <v>32</v>
      </c>
      <c r="E5" s="14" t="s">
        <v>32</v>
      </c>
      <c r="F5" s="14" t="s">
        <v>32</v>
      </c>
      <c r="G5" s="14" t="s">
        <v>32</v>
      </c>
      <c r="H5" s="14" t="s">
        <v>32</v>
      </c>
      <c r="I5" s="14" t="s">
        <v>32</v>
      </c>
      <c r="J5" s="14" t="s">
        <v>32</v>
      </c>
      <c r="K5" s="15" t="s">
        <v>32</v>
      </c>
    </row>
    <row r="6" spans="1:11" ht="16.5" thickTop="1" x14ac:dyDescent="0.25">
      <c r="A6" s="16" t="s">
        <v>71</v>
      </c>
      <c r="B6" s="35"/>
      <c r="C6" s="36"/>
      <c r="D6" s="36"/>
      <c r="E6" s="36"/>
      <c r="F6" s="36"/>
      <c r="G6" s="36"/>
      <c r="H6" s="36"/>
      <c r="I6" s="36"/>
      <c r="J6" s="36"/>
      <c r="K6" s="37"/>
    </row>
    <row r="7" spans="1:11" ht="15.75" x14ac:dyDescent="0.25">
      <c r="A7" s="38" t="s">
        <v>73</v>
      </c>
      <c r="B7" s="19">
        <v>0</v>
      </c>
      <c r="C7" s="21">
        <v>0</v>
      </c>
      <c r="D7" s="21">
        <v>0.04</v>
      </c>
      <c r="E7" s="21">
        <v>0.08</v>
      </c>
      <c r="F7" s="21">
        <v>0.12</v>
      </c>
      <c r="G7" s="21">
        <v>0.16</v>
      </c>
      <c r="H7" s="21">
        <v>0.2</v>
      </c>
      <c r="I7" s="21">
        <v>0.2</v>
      </c>
      <c r="J7" s="21">
        <v>0.2</v>
      </c>
      <c r="K7" s="22">
        <v>0.2</v>
      </c>
    </row>
    <row r="8" spans="1:11" ht="15.75" x14ac:dyDescent="0.25">
      <c r="A8" s="38" t="s">
        <v>74</v>
      </c>
      <c r="B8" s="19"/>
      <c r="C8" s="44">
        <f ca="1">'Total Trip Tables'!C159*1000000/'Updated Population'!C158</f>
        <v>218.87160993455646</v>
      </c>
      <c r="D8" s="44">
        <f ca="1">'Total Trip Tables'!D159*1000000/'Updated Population'!D158</f>
        <v>223.9123021105359</v>
      </c>
      <c r="E8" s="44">
        <f ca="1">'Total Trip Tables'!E159*1000000/'Updated Population'!E158</f>
        <v>227.58287906451096</v>
      </c>
      <c r="F8" s="44">
        <f ca="1">'Total Trip Tables'!F159*1000000/'Updated Population'!F158</f>
        <v>230.17605013051869</v>
      </c>
      <c r="G8" s="44">
        <f ca="1">'Total Trip Tables'!G159*1000000/'Updated Population'!G158</f>
        <v>232.67905051265251</v>
      </c>
      <c r="H8" s="44">
        <f ca="1">'Total Trip Tables'!H159*1000000/'Updated Population'!H158</f>
        <v>234.99845411634976</v>
      </c>
      <c r="I8" s="44">
        <f ca="1">'Total Trip Tables'!I159*1000000/'Updated Population'!I158</f>
        <v>234.95978359236463</v>
      </c>
      <c r="J8" s="44">
        <f ca="1">'Total Trip Tables'!J159*1000000/'Updated Population'!J158</f>
        <v>234.91728321353639</v>
      </c>
      <c r="K8" s="45">
        <f ca="1">'Total Trip Tables'!K159*1000000/'Updated Population'!K158</f>
        <v>234.8698353590604</v>
      </c>
    </row>
    <row r="9" spans="1:11" ht="15.75" x14ac:dyDescent="0.25">
      <c r="A9" s="38" t="s">
        <v>77</v>
      </c>
      <c r="B9" s="19">
        <v>0</v>
      </c>
      <c r="C9" s="21">
        <v>0</v>
      </c>
      <c r="D9" s="21">
        <v>0.04</v>
      </c>
      <c r="E9" s="21">
        <v>0.08</v>
      </c>
      <c r="F9" s="21">
        <v>0.12</v>
      </c>
      <c r="G9" s="21">
        <v>0.16</v>
      </c>
      <c r="H9" s="21">
        <v>0.2</v>
      </c>
      <c r="I9" s="21">
        <v>0.2</v>
      </c>
      <c r="J9" s="21">
        <v>0.2</v>
      </c>
      <c r="K9" s="22">
        <v>0.2</v>
      </c>
    </row>
    <row r="10" spans="1:11" ht="15.75" x14ac:dyDescent="0.25">
      <c r="A10" s="38" t="s">
        <v>78</v>
      </c>
      <c r="B10" s="19"/>
      <c r="C10" s="44">
        <f ca="1">'Total Distance Tables'!C159*1000000/'Updated Population'!C158</f>
        <v>178.9622114549845</v>
      </c>
      <c r="D10" s="44">
        <f ca="1">'Total Distance Tables'!D159*1000000/'Updated Population'!D158</f>
        <v>181.00681667669758</v>
      </c>
      <c r="E10" s="44">
        <f ca="1">'Total Distance Tables'!E159*1000000/'Updated Population'!E158</f>
        <v>181.97217784416227</v>
      </c>
      <c r="F10" s="44">
        <f ca="1">'Total Distance Tables'!F159*1000000/'Updated Population'!F158</f>
        <v>182.65548855046498</v>
      </c>
      <c r="G10" s="44">
        <f ca="1">'Total Distance Tables'!G159*1000000/'Updated Population'!G158</f>
        <v>183.82362945394738</v>
      </c>
      <c r="H10" s="44">
        <f ca="1">'Total Distance Tables'!H159*1000000/'Updated Population'!H158</f>
        <v>184.9437681431009</v>
      </c>
      <c r="I10" s="44">
        <f ca="1">'Total Distance Tables'!I159*1000000/'Updated Population'!I158</f>
        <v>184.35795377719381</v>
      </c>
      <c r="J10" s="44">
        <f ca="1">'Total Distance Tables'!J159*1000000/'Updated Population'!J158</f>
        <v>183.72508163073923</v>
      </c>
      <c r="K10" s="45">
        <f ca="1">'Total Distance Tables'!K159*1000000/'Updated Population'!K158</f>
        <v>183.02043737050397</v>
      </c>
    </row>
    <row r="11" spans="1:11" ht="15.75" x14ac:dyDescent="0.25">
      <c r="A11" s="38" t="s">
        <v>79</v>
      </c>
      <c r="B11" s="19">
        <v>0</v>
      </c>
      <c r="C11" s="21">
        <v>0</v>
      </c>
      <c r="D11" s="21">
        <v>0.04</v>
      </c>
      <c r="E11" s="21">
        <v>0.08</v>
      </c>
      <c r="F11" s="21">
        <v>0.12</v>
      </c>
      <c r="G11" s="21">
        <v>0.16</v>
      </c>
      <c r="H11" s="21">
        <v>0.2</v>
      </c>
      <c r="I11" s="21">
        <v>0.2</v>
      </c>
      <c r="J11" s="21">
        <v>0.2</v>
      </c>
      <c r="K11" s="22">
        <v>0.2</v>
      </c>
    </row>
    <row r="12" spans="1:11" ht="15.75" x14ac:dyDescent="0.25">
      <c r="A12" s="38" t="s">
        <v>80</v>
      </c>
      <c r="B12" s="19"/>
      <c r="C12" s="44">
        <f ca="1">'Total Duration Tables'!C159*1000000/'Updated Population'!C158</f>
        <v>45.380990698138802</v>
      </c>
      <c r="D12" s="44">
        <f ca="1">'Total Duration Tables'!D159*1000000/'Updated Population'!D158</f>
        <v>46.225269100630669</v>
      </c>
      <c r="E12" s="44">
        <f ca="1">'Total Duration Tables'!E159*1000000/'Updated Population'!E158</f>
        <v>46.831543148460646</v>
      </c>
      <c r="F12" s="44">
        <f ca="1">'Total Duration Tables'!F159*1000000/'Updated Population'!F158</f>
        <v>47.257129974990313</v>
      </c>
      <c r="G12" s="44">
        <f ca="1">'Total Duration Tables'!G159*1000000/'Updated Population'!G158</f>
        <v>47.717289408540346</v>
      </c>
      <c r="H12" s="44">
        <f ca="1">'Total Duration Tables'!H159*1000000/'Updated Population'!H158</f>
        <v>48.153195385775078</v>
      </c>
      <c r="I12" s="44">
        <f ca="1">'Total Duration Tables'!I159*1000000/'Updated Population'!I158</f>
        <v>48.12306561563036</v>
      </c>
      <c r="J12" s="44">
        <f ca="1">'Total Duration Tables'!J159*1000000/'Updated Population'!J158</f>
        <v>48.090519749947994</v>
      </c>
      <c r="K12" s="45">
        <f ca="1">'Total Duration Tables'!K159*1000000/'Updated Population'!K158</f>
        <v>48.054282557149939</v>
      </c>
    </row>
    <row r="13" spans="1:11" ht="15.75" x14ac:dyDescent="0.25">
      <c r="A13" s="38" t="s">
        <v>61</v>
      </c>
      <c r="B13" s="39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.75" x14ac:dyDescent="0.25">
      <c r="A14" s="42" t="s">
        <v>64</v>
      </c>
      <c r="B14" s="19">
        <v>0</v>
      </c>
      <c r="C14" s="21">
        <v>0.25</v>
      </c>
      <c r="D14" s="21">
        <v>0.25</v>
      </c>
      <c r="E14" s="21">
        <v>0.25</v>
      </c>
      <c r="F14" s="21">
        <v>0.25</v>
      </c>
      <c r="G14" s="21">
        <v>0.25</v>
      </c>
      <c r="H14" s="21">
        <v>0.25</v>
      </c>
      <c r="I14" s="21">
        <v>0.25</v>
      </c>
      <c r="J14" s="21">
        <v>0.25</v>
      </c>
      <c r="K14" s="22">
        <v>0.25</v>
      </c>
    </row>
    <row r="15" spans="1:11" ht="15.75" x14ac:dyDescent="0.25">
      <c r="A15" s="42" t="s">
        <v>65</v>
      </c>
      <c r="B15" s="19">
        <v>0</v>
      </c>
      <c r="C15" s="21">
        <v>0.25</v>
      </c>
      <c r="D15" s="21">
        <v>0.25</v>
      </c>
      <c r="E15" s="21">
        <v>0.25</v>
      </c>
      <c r="F15" s="21">
        <v>0.25</v>
      </c>
      <c r="G15" s="21">
        <v>0.25</v>
      </c>
      <c r="H15" s="21">
        <v>0.25</v>
      </c>
      <c r="I15" s="21">
        <v>0.25</v>
      </c>
      <c r="J15" s="21">
        <v>0.25</v>
      </c>
      <c r="K15" s="22">
        <v>0.25</v>
      </c>
    </row>
    <row r="16" spans="1:11" ht="15.75" x14ac:dyDescent="0.25">
      <c r="A16" s="38" t="s">
        <v>75</v>
      </c>
      <c r="B16" s="19">
        <v>0</v>
      </c>
      <c r="C16" s="21">
        <v>0</v>
      </c>
      <c r="D16" s="21">
        <v>0.2</v>
      </c>
      <c r="E16" s="21">
        <v>0.4</v>
      </c>
      <c r="F16" s="21">
        <v>0.6</v>
      </c>
      <c r="G16" s="21">
        <v>0.8</v>
      </c>
      <c r="H16" s="21">
        <v>1</v>
      </c>
      <c r="I16" s="21">
        <v>1</v>
      </c>
      <c r="J16" s="21">
        <v>1</v>
      </c>
      <c r="K16" s="22">
        <v>1</v>
      </c>
    </row>
    <row r="17" spans="1:11" ht="15.75" x14ac:dyDescent="0.25">
      <c r="A17" s="38" t="s">
        <v>76</v>
      </c>
      <c r="B17" s="19"/>
      <c r="C17" s="44">
        <f ca="1">'Total Trip Tables'!C160*1000000/'Updated Population'!C158</f>
        <v>15.772007302159182</v>
      </c>
      <c r="D17" s="44">
        <f ca="1">'Total Trip Tables'!D160*1000000/'Updated Population'!D158</f>
        <v>18.481038427849072</v>
      </c>
      <c r="E17" s="44">
        <f ca="1">'Total Trip Tables'!E160*1000000/'Updated Population'!E158</f>
        <v>20.898754497230478</v>
      </c>
      <c r="F17" s="44">
        <f ca="1">'Total Trip Tables'!F160*1000000/'Updated Population'!F158</f>
        <v>23.260060169789622</v>
      </c>
      <c r="G17" s="44">
        <f ca="1">'Total Trip Tables'!G160*1000000/'Updated Population'!G158</f>
        <v>25.591985410137124</v>
      </c>
      <c r="H17" s="44">
        <f ca="1">'Total Trip Tables'!H160*1000000/'Updated Population'!H158</f>
        <v>27.894172198198198</v>
      </c>
      <c r="I17" s="44">
        <f ca="1">'Total Trip Tables'!I160*1000000/'Updated Population'!I158</f>
        <v>27.894172198198213</v>
      </c>
      <c r="J17" s="44">
        <f ca="1">'Total Trip Tables'!J160*1000000/'Updated Population'!J158</f>
        <v>27.894172198198202</v>
      </c>
      <c r="K17" s="45">
        <f ca="1">'Total Trip Tables'!K160*1000000/'Updated Population'!K158</f>
        <v>27.894172198198191</v>
      </c>
    </row>
    <row r="18" spans="1:11" ht="15.75" x14ac:dyDescent="0.25">
      <c r="A18" s="38" t="s">
        <v>81</v>
      </c>
      <c r="B18" s="19">
        <v>0</v>
      </c>
      <c r="C18" s="21">
        <v>0</v>
      </c>
      <c r="D18" s="21">
        <v>0.2</v>
      </c>
      <c r="E18" s="21">
        <v>0.4</v>
      </c>
      <c r="F18" s="21">
        <v>0.6</v>
      </c>
      <c r="G18" s="21">
        <v>0.8</v>
      </c>
      <c r="H18" s="21">
        <v>1</v>
      </c>
      <c r="I18" s="21">
        <v>1</v>
      </c>
      <c r="J18" s="21">
        <v>1</v>
      </c>
      <c r="K18" s="22">
        <v>1</v>
      </c>
    </row>
    <row r="19" spans="1:11" ht="15.75" x14ac:dyDescent="0.25">
      <c r="A19" s="38" t="s">
        <v>82</v>
      </c>
      <c r="B19" s="19"/>
      <c r="C19" s="44">
        <f ca="1">'Total Distance Tables'!C160*1000000/'Updated Population'!C158</f>
        <v>71.830816627261029</v>
      </c>
      <c r="D19" s="44">
        <f ca="1">'Total Distance Tables'!D160*1000000/'Updated Population'!D158</f>
        <v>85.814873933356196</v>
      </c>
      <c r="E19" s="44">
        <f ca="1">'Total Distance Tables'!E160*1000000/'Updated Population'!E158</f>
        <v>98.431706635233382</v>
      </c>
      <c r="F19" s="44">
        <f ca="1">'Total Distance Tables'!F160*1000000/'Updated Population'!F158</f>
        <v>112.57987301675942</v>
      </c>
      <c r="G19" s="44">
        <f ca="1">'Total Distance Tables'!G160*1000000/'Updated Population'!G158</f>
        <v>129.20448746943586</v>
      </c>
      <c r="H19" s="44">
        <f ca="1">'Total Distance Tables'!H160*1000000/'Updated Population'!H158</f>
        <v>146.93486367198699</v>
      </c>
      <c r="I19" s="44">
        <f ca="1">'Total Distance Tables'!I160*1000000/'Updated Population'!I158</f>
        <v>146.93486367198696</v>
      </c>
      <c r="J19" s="44">
        <f ca="1">'Total Distance Tables'!J160*1000000/'Updated Population'!J158</f>
        <v>146.93486367198696</v>
      </c>
      <c r="K19" s="45">
        <f ca="1">'Total Distance Tables'!K160*1000000/'Updated Population'!K158</f>
        <v>146.93486367198693</v>
      </c>
    </row>
    <row r="20" spans="1:11" ht="15.75" x14ac:dyDescent="0.25">
      <c r="A20" s="38" t="s">
        <v>83</v>
      </c>
      <c r="B20" s="19">
        <v>0</v>
      </c>
      <c r="C20" s="21">
        <v>0</v>
      </c>
      <c r="D20" s="21">
        <v>0.2</v>
      </c>
      <c r="E20" s="21">
        <v>0.4</v>
      </c>
      <c r="F20" s="21">
        <v>0.6</v>
      </c>
      <c r="G20" s="21">
        <v>0.8</v>
      </c>
      <c r="H20" s="21">
        <v>1</v>
      </c>
      <c r="I20" s="21">
        <v>1</v>
      </c>
      <c r="J20" s="21">
        <v>1</v>
      </c>
      <c r="K20" s="22">
        <v>1</v>
      </c>
    </row>
    <row r="21" spans="1:11" ht="15.75" x14ac:dyDescent="0.25">
      <c r="A21" s="38" t="s">
        <v>84</v>
      </c>
      <c r="B21" s="19"/>
      <c r="C21" s="44">
        <f ca="1">'Total Duration Tables'!C160*1000000/'Updated Population'!C158</f>
        <v>5.6696698746279992</v>
      </c>
      <c r="D21" s="44">
        <f ca="1">'Total Duration Tables'!D160*1000000/'Updated Population'!D158</f>
        <v>6.7486515926598072</v>
      </c>
      <c r="E21" s="44">
        <f ca="1">'Total Duration Tables'!E160*1000000/'Updated Population'!E158</f>
        <v>7.7281407369665196</v>
      </c>
      <c r="F21" s="44">
        <f ca="1">'Total Duration Tables'!F160*1000000/'Updated Population'!F158</f>
        <v>8.7850833161805237</v>
      </c>
      <c r="G21" s="44">
        <f ca="1">'Total Duration Tables'!G160*1000000/'Updated Population'!G158</f>
        <v>9.9788081081875397</v>
      </c>
      <c r="H21" s="44">
        <f ca="1">'Total Duration Tables'!H160*1000000/'Updated Population'!H158</f>
        <v>11.236160462687099</v>
      </c>
      <c r="I21" s="44">
        <f ca="1">'Total Duration Tables'!I160*1000000/'Updated Population'!I158</f>
        <v>11.236160462687103</v>
      </c>
      <c r="J21" s="44">
        <f ca="1">'Total Duration Tables'!J160*1000000/'Updated Population'!J158</f>
        <v>11.236160462687097</v>
      </c>
      <c r="K21" s="45">
        <f ca="1">'Total Duration Tables'!K160*1000000/'Updated Population'!K158</f>
        <v>11.236160462687101</v>
      </c>
    </row>
    <row r="22" spans="1:11" ht="15.75" x14ac:dyDescent="0.25">
      <c r="A22" s="38" t="s">
        <v>61</v>
      </c>
      <c r="B22" s="39"/>
      <c r="C22" s="40"/>
      <c r="D22" s="40"/>
      <c r="E22" s="40"/>
      <c r="F22" s="40"/>
      <c r="G22" s="40"/>
      <c r="H22" s="40"/>
      <c r="I22" s="40"/>
      <c r="J22" s="40"/>
      <c r="K22" s="41"/>
    </row>
    <row r="23" spans="1:11" ht="15.75" x14ac:dyDescent="0.25">
      <c r="A23" s="42" t="s">
        <v>64</v>
      </c>
      <c r="B23" s="19">
        <v>0</v>
      </c>
      <c r="C23" s="21">
        <v>0.25</v>
      </c>
      <c r="D23" s="21">
        <v>0.25</v>
      </c>
      <c r="E23" s="21">
        <v>0.25</v>
      </c>
      <c r="F23" s="21">
        <v>0.25</v>
      </c>
      <c r="G23" s="21">
        <v>0.25</v>
      </c>
      <c r="H23" s="21">
        <v>0.25</v>
      </c>
      <c r="I23" s="21">
        <v>0.25</v>
      </c>
      <c r="J23" s="21">
        <v>0.25</v>
      </c>
      <c r="K23" s="22">
        <v>0.25</v>
      </c>
    </row>
    <row r="24" spans="1:11" ht="16.5" thickBot="1" x14ac:dyDescent="0.3">
      <c r="A24" s="43" t="s">
        <v>65</v>
      </c>
      <c r="B24" s="24">
        <v>0</v>
      </c>
      <c r="C24" s="26">
        <v>0.25</v>
      </c>
      <c r="D24" s="26">
        <v>0.25</v>
      </c>
      <c r="E24" s="26">
        <v>0.25</v>
      </c>
      <c r="F24" s="26">
        <v>0.25</v>
      </c>
      <c r="G24" s="26">
        <v>0.25</v>
      </c>
      <c r="H24" s="26">
        <v>0.25</v>
      </c>
      <c r="I24" s="26">
        <v>0.25</v>
      </c>
      <c r="J24" s="26">
        <v>0.25</v>
      </c>
      <c r="K24" s="27">
        <v>0.25</v>
      </c>
    </row>
    <row r="25" spans="1:11" ht="13.5" thickTop="1" x14ac:dyDescent="0.2"/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K60"/>
  <sheetViews>
    <sheetView workbookViewId="0">
      <selection activeCell="B10" sqref="B10"/>
    </sheetView>
  </sheetViews>
  <sheetFormatPr defaultRowHeight="12.75" x14ac:dyDescent="0.2"/>
  <cols>
    <col min="1" max="1" width="76.140625" customWidth="1"/>
    <col min="2" max="11" width="17.85546875" customWidth="1"/>
  </cols>
  <sheetData>
    <row r="2" spans="1:11" ht="13.5" thickBot="1" x14ac:dyDescent="0.25"/>
    <row r="3" spans="1:11" ht="16.5" thickTop="1" x14ac:dyDescent="0.25">
      <c r="A3" s="6" t="s">
        <v>60</v>
      </c>
      <c r="B3" s="7"/>
      <c r="C3" s="7"/>
      <c r="D3" s="7"/>
      <c r="E3" s="7"/>
      <c r="F3" s="7"/>
      <c r="G3" s="7"/>
      <c r="H3" s="7"/>
      <c r="I3" s="7"/>
      <c r="J3" s="7"/>
      <c r="K3" s="9"/>
    </row>
    <row r="4" spans="1:11" ht="13.5" thickBot="1" x14ac:dyDescent="0.25">
      <c r="A4" s="10"/>
      <c r="B4" s="11" t="s">
        <v>22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120</v>
      </c>
      <c r="J4" s="11" t="s">
        <v>121</v>
      </c>
      <c r="K4" s="12" t="s">
        <v>122</v>
      </c>
    </row>
    <row r="5" spans="1:11" ht="14.25" thickTop="1" thickBot="1" x14ac:dyDescent="0.25">
      <c r="A5" s="13"/>
      <c r="B5" s="14" t="s">
        <v>31</v>
      </c>
      <c r="C5" s="14" t="s">
        <v>32</v>
      </c>
      <c r="D5" s="14" t="s">
        <v>32</v>
      </c>
      <c r="E5" s="14" t="s">
        <v>32</v>
      </c>
      <c r="F5" s="14" t="s">
        <v>32</v>
      </c>
      <c r="G5" s="14" t="s">
        <v>32</v>
      </c>
      <c r="H5" s="14" t="s">
        <v>32</v>
      </c>
      <c r="I5" s="14" t="s">
        <v>32</v>
      </c>
      <c r="J5" s="14" t="s">
        <v>32</v>
      </c>
      <c r="K5" s="15" t="s">
        <v>32</v>
      </c>
    </row>
    <row r="6" spans="1:11" ht="16.5" thickTop="1" x14ac:dyDescent="0.25">
      <c r="A6" s="16" t="s">
        <v>34</v>
      </c>
      <c r="B6" s="35"/>
      <c r="C6" s="36"/>
      <c r="D6" s="36"/>
      <c r="E6" s="36"/>
      <c r="F6" s="36"/>
      <c r="G6" s="36"/>
      <c r="H6" s="36"/>
      <c r="I6" s="36"/>
      <c r="J6" s="36"/>
      <c r="K6" s="37"/>
    </row>
    <row r="7" spans="1:11" ht="15.75" x14ac:dyDescent="0.25">
      <c r="A7" s="38" t="s">
        <v>85</v>
      </c>
      <c r="B7" s="46">
        <f>'[1]Transition '!B$30-1</f>
        <v>-5.1909862460461476E-2</v>
      </c>
      <c r="C7" s="21">
        <f>'[1]Transition '!C$30-1</f>
        <v>0.92922336892219826</v>
      </c>
      <c r="D7" s="21">
        <f>'[1]Transition '!D$30-1</f>
        <v>2.123397949541312</v>
      </c>
      <c r="E7" s="21">
        <f>'[1]Transition '!E$30-1</f>
        <v>3.1465737157088958</v>
      </c>
      <c r="F7" s="21">
        <f>'[1]Transition '!F$30-1</f>
        <v>3.48351564957657</v>
      </c>
      <c r="G7" s="21">
        <f>'[1]Transition '!G$30-1</f>
        <v>3.8558252426324851</v>
      </c>
      <c r="H7" s="21">
        <f>'[1]Transition '!H$30-1</f>
        <v>4.2294284789181615</v>
      </c>
      <c r="I7" s="21">
        <f>'[1]Transition '!I$30-1</f>
        <v>4.5298819820419149</v>
      </c>
      <c r="J7" s="21">
        <f>'[1]Transition '!J$30-1</f>
        <v>4.8442434518179809</v>
      </c>
      <c r="K7" s="22">
        <f>'[1]Transition '!K$30-1</f>
        <v>5.1897779032082072</v>
      </c>
    </row>
    <row r="8" spans="1:11" ht="15.75" x14ac:dyDescent="0.25">
      <c r="A8" s="38" t="s">
        <v>87</v>
      </c>
      <c r="B8" s="51">
        <f ca="1">'Total Trip Tables Sup #2'!B22</f>
        <v>10.038805999999999</v>
      </c>
      <c r="C8" s="44">
        <f ca="1">'Total Trip Tables Sup #2'!C22</f>
        <v>22.03284733780578</v>
      </c>
      <c r="D8" s="44">
        <f ca="1">'Total Trip Tables Sup #2'!D22</f>
        <v>37.104098421184098</v>
      </c>
      <c r="E8" s="44">
        <f ca="1">'Total Trip Tables Sup #2'!E22</f>
        <v>50.732680029228447</v>
      </c>
      <c r="F8" s="44">
        <f ca="1">'Total Trip Tables Sup #2'!F22</f>
        <v>55.79573454376483</v>
      </c>
      <c r="G8" s="44">
        <f ca="1">'Total Trip Tables Sup #2'!G22</f>
        <v>60.481612939156975</v>
      </c>
      <c r="H8" s="44">
        <f ca="1">'Total Trip Tables Sup #2'!H22</f>
        <v>64.727157349204333</v>
      </c>
      <c r="I8" s="44">
        <f ca="1">'Total Trip Tables Sup #2'!I22</f>
        <v>70.704731254743265</v>
      </c>
      <c r="J8" s="44">
        <f ca="1">'Total Trip Tables Sup #2'!J22</f>
        <v>76.961398901852064</v>
      </c>
      <c r="K8" s="45">
        <f ca="1">'Total Trip Tables Sup #2'!K22</f>
        <v>83.7899387338189</v>
      </c>
    </row>
    <row r="9" spans="1:11" ht="15.75" x14ac:dyDescent="0.25">
      <c r="A9" s="38" t="s">
        <v>94</v>
      </c>
      <c r="B9" s="46">
        <f>'[1]Transition '!B$31-1</f>
        <v>0.25664940432640004</v>
      </c>
      <c r="C9" s="21">
        <f>'[1]Transition '!C$31-1</f>
        <v>1.2936556106006964</v>
      </c>
      <c r="D9" s="21">
        <f>'[1]Transition '!D$31-1</f>
        <v>3.3203624402873233</v>
      </c>
      <c r="E9" s="21">
        <f>'[1]Transition '!E$31-1</f>
        <v>5.0760797357522387</v>
      </c>
      <c r="F9" s="21">
        <f>'[1]Transition '!F$31-1</f>
        <v>5.6819455632741089</v>
      </c>
      <c r="G9" s="21">
        <f>'[1]Transition '!G$31-1</f>
        <v>6.312884286797189</v>
      </c>
      <c r="H9" s="21">
        <f>'[1]Transition '!H$31-1</f>
        <v>6.934249919146402</v>
      </c>
      <c r="I9" s="21">
        <f>'[1]Transition '!I$31-1</f>
        <v>7.468889343292652</v>
      </c>
      <c r="J9" s="21">
        <f>'[1]Transition '!J$31-1</f>
        <v>8.0276532051720597</v>
      </c>
      <c r="K9" s="22">
        <f>'[1]Transition '!K$31-1</f>
        <v>8.6440090170115429</v>
      </c>
    </row>
    <row r="10" spans="1:11" ht="15.75" x14ac:dyDescent="0.25">
      <c r="A10" s="38" t="s">
        <v>89</v>
      </c>
      <c r="B10" s="51">
        <f ca="1">'Total Distance Tables Sup #2'!B22</f>
        <v>158.68929399999999</v>
      </c>
      <c r="C10" s="44">
        <f ca="1">'Total Distance Tables Sup #2'!C22</f>
        <v>316.60247944885913</v>
      </c>
      <c r="D10" s="44">
        <f ca="1">'Total Distance Tables Sup #2'!D22</f>
        <v>622.77958371507737</v>
      </c>
      <c r="E10" s="44">
        <f ca="1">'Total Distance Tables Sup #2'!E22</f>
        <v>902.05050670302876</v>
      </c>
      <c r="F10" s="44">
        <f ca="1">'Total Distance Tables Sup #2'!F22</f>
        <v>1014.5348551085546</v>
      </c>
      <c r="G10" s="44">
        <f ca="1">'Total Distance Tables Sup #2'!G22</f>
        <v>1118.5366655347614</v>
      </c>
      <c r="H10" s="44">
        <f ca="1">'Total Distance Tables Sup #2'!H22</f>
        <v>1213.9221684860038</v>
      </c>
      <c r="I10" s="44">
        <f ca="1">'Total Distance Tables Sup #2'!I22</f>
        <v>1338.4795222561095</v>
      </c>
      <c r="J10" s="44">
        <f ca="1">'Total Distance Tables Sup #2'!J22</f>
        <v>1469.5087670610669</v>
      </c>
      <c r="K10" s="45">
        <f ca="1">'Total Distance Tables Sup #2'!K22</f>
        <v>1613.7158850488663</v>
      </c>
    </row>
    <row r="11" spans="1:11" ht="15.75" x14ac:dyDescent="0.25">
      <c r="A11" s="38" t="s">
        <v>95</v>
      </c>
      <c r="B11" s="46">
        <f>'[1]Transition '!B$32-1</f>
        <v>0.25664940432640004</v>
      </c>
      <c r="C11" s="21">
        <f>'[1]Transition '!C$32-1</f>
        <v>1.2925800761473454</v>
      </c>
      <c r="D11" s="21">
        <f>'[1]Transition '!D$32-1</f>
        <v>3.30712661223588</v>
      </c>
      <c r="E11" s="21">
        <f>'[1]Transition '!E$32-1</f>
        <v>5.0634122924469587</v>
      </c>
      <c r="F11" s="21">
        <f>'[1]Transition '!F$32-1</f>
        <v>5.6970856810023145</v>
      </c>
      <c r="G11" s="21">
        <f>'[1]Transition '!G$32-1</f>
        <v>6.3312050555085744</v>
      </c>
      <c r="H11" s="21">
        <f>'[1]Transition '!H$32-1</f>
        <v>6.9587296700766048</v>
      </c>
      <c r="I11" s="21">
        <f>'[1]Transition '!I$32-1</f>
        <v>7.4950186313654861</v>
      </c>
      <c r="J11" s="21">
        <f>'[1]Transition '!J$32-1</f>
        <v>8.0555064621527315</v>
      </c>
      <c r="K11" s="22">
        <f>'[1]Transition '!K$32-1</f>
        <v>8.6737639328650715</v>
      </c>
    </row>
    <row r="12" spans="1:11" ht="15.75" x14ac:dyDescent="0.25">
      <c r="A12" s="38" t="s">
        <v>92</v>
      </c>
      <c r="B12" s="51">
        <f ca="1">'Total Duration Tables Sup #2'!B22</f>
        <v>5.3839181294388831</v>
      </c>
      <c r="C12" s="44">
        <f ca="1">'Total Duration Tables Sup #2'!C22</f>
        <v>10.741581901885192</v>
      </c>
      <c r="D12" s="44">
        <f ca="1">'Total Duration Tables Sup #2'!D22</f>
        <v>21.123809927385704</v>
      </c>
      <c r="E12" s="44">
        <f ca="1">'Total Duration Tables Sup #2'!E22</f>
        <v>30.572710417109107</v>
      </c>
      <c r="F12" s="44">
        <f ca="1">'Total Duration Tables Sup #2'!F22</f>
        <v>34.362811318382597</v>
      </c>
      <c r="G12" s="44">
        <f ca="1">'Total Duration Tables Sup #2'!G22</f>
        <v>37.848390141106812</v>
      </c>
      <c r="H12" s="44">
        <f ca="1">'Total Duration Tables Sup #2'!H22</f>
        <v>41.031745457375322</v>
      </c>
      <c r="I12" s="44">
        <f ca="1">'Total Duration Tables Sup #2'!I22</f>
        <v>45.241904697743571</v>
      </c>
      <c r="J12" s="44">
        <f ca="1">'Total Duration Tables Sup #2'!J22</f>
        <v>49.670820125669664</v>
      </c>
      <c r="K12" s="45">
        <f ca="1">'Total Duration Tables Sup #2'!K22</f>
        <v>54.545160435145014</v>
      </c>
    </row>
    <row r="13" spans="1:11" ht="15.75" x14ac:dyDescent="0.25">
      <c r="A13" s="38" t="s">
        <v>61</v>
      </c>
      <c r="B13" s="39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.75" x14ac:dyDescent="0.25">
      <c r="A14" s="42" t="s">
        <v>62</v>
      </c>
      <c r="B14" s="46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v>0</v>
      </c>
    </row>
    <row r="15" spans="1:11" ht="15.75" x14ac:dyDescent="0.25">
      <c r="A15" s="42" t="s">
        <v>63</v>
      </c>
      <c r="B15" s="46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2">
        <v>0</v>
      </c>
    </row>
    <row r="16" spans="1:11" ht="15.75" x14ac:dyDescent="0.25">
      <c r="A16" s="42" t="s">
        <v>64</v>
      </c>
      <c r="B16" s="46">
        <v>0.25</v>
      </c>
      <c r="C16" s="21">
        <v>0.25</v>
      </c>
      <c r="D16" s="21">
        <v>0.25</v>
      </c>
      <c r="E16" s="21">
        <v>0.25</v>
      </c>
      <c r="F16" s="21">
        <v>0.25</v>
      </c>
      <c r="G16" s="21">
        <v>0.25</v>
      </c>
      <c r="H16" s="21">
        <v>0.25</v>
      </c>
      <c r="I16" s="21">
        <v>0.25</v>
      </c>
      <c r="J16" s="21">
        <v>0.25</v>
      </c>
      <c r="K16" s="22">
        <v>0.25</v>
      </c>
    </row>
    <row r="17" spans="1:11" ht="15.75" x14ac:dyDescent="0.25">
      <c r="A17" s="42" t="s">
        <v>65</v>
      </c>
      <c r="B17" s="46">
        <v>0.25</v>
      </c>
      <c r="C17" s="21">
        <v>0.25</v>
      </c>
      <c r="D17" s="21">
        <v>0.25</v>
      </c>
      <c r="E17" s="21">
        <v>0.25</v>
      </c>
      <c r="F17" s="21">
        <v>0.25</v>
      </c>
      <c r="G17" s="21">
        <v>0.25</v>
      </c>
      <c r="H17" s="21">
        <v>0.25</v>
      </c>
      <c r="I17" s="21">
        <v>0.25</v>
      </c>
      <c r="J17" s="21">
        <v>0.25</v>
      </c>
      <c r="K17" s="22">
        <v>0.25</v>
      </c>
    </row>
    <row r="18" spans="1:11" ht="15.75" x14ac:dyDescent="0.25">
      <c r="A18" s="42" t="s">
        <v>66</v>
      </c>
      <c r="B18" s="46">
        <v>0.5</v>
      </c>
      <c r="C18" s="21">
        <v>0.5</v>
      </c>
      <c r="D18" s="21">
        <v>0.5</v>
      </c>
      <c r="E18" s="21">
        <v>0.5</v>
      </c>
      <c r="F18" s="21">
        <v>0.5</v>
      </c>
      <c r="G18" s="21">
        <v>0.5</v>
      </c>
      <c r="H18" s="21">
        <v>0.5</v>
      </c>
      <c r="I18" s="21">
        <v>0.5</v>
      </c>
      <c r="J18" s="21">
        <v>0.5</v>
      </c>
      <c r="K18" s="22">
        <v>0.5</v>
      </c>
    </row>
    <row r="19" spans="1:11" ht="15.75" x14ac:dyDescent="0.25">
      <c r="A19" s="38" t="s">
        <v>96</v>
      </c>
      <c r="B19" s="46">
        <f>'[1]Transition '!B$33-1</f>
        <v>-1.6053243572075382E-2</v>
      </c>
      <c r="C19" s="21">
        <f>'[1]Transition '!C$33-1</f>
        <v>8.3007539104317685E-2</v>
      </c>
      <c r="D19" s="21">
        <f>'[1]Transition '!D$33-1</f>
        <v>0.1584383991115319</v>
      </c>
      <c r="E19" s="21">
        <f>'[1]Transition '!E$33-1</f>
        <v>0.21301294727609377</v>
      </c>
      <c r="F19" s="21">
        <f>'[1]Transition '!F$33-1</f>
        <v>0.28089776340169403</v>
      </c>
      <c r="G19" s="21">
        <f>'[1]Transition '!G$33-1</f>
        <v>0.34574086129613635</v>
      </c>
      <c r="H19" s="21">
        <f>'[1]Transition '!H$33-1</f>
        <v>0.41451693086053498</v>
      </c>
      <c r="I19" s="21">
        <f>'[1]Transition '!I$33-1</f>
        <v>0.45987702580468892</v>
      </c>
      <c r="J19" s="21">
        <f>'[1]Transition '!J$33-1</f>
        <v>0.50827594099222151</v>
      </c>
      <c r="K19" s="22">
        <f>'[1]Transition '!K$33-1</f>
        <v>0.56163546803384534</v>
      </c>
    </row>
    <row r="20" spans="1:11" ht="15.75" x14ac:dyDescent="0.25">
      <c r="A20" s="38" t="s">
        <v>88</v>
      </c>
      <c r="B20" s="51">
        <f ca="1">'Total Trip Tables Sup #2'!B23</f>
        <v>53.530078000000003</v>
      </c>
      <c r="C20" s="44">
        <f ca="1">'Total Trip Tables Sup #2'!C23</f>
        <v>61.624517005150125</v>
      </c>
      <c r="D20" s="44">
        <f ca="1">'Total Trip Tables Sup #2'!D23</f>
        <v>66.847426174675689</v>
      </c>
      <c r="E20" s="44">
        <f ca="1">'Total Trip Tables Sup #2'!E23</f>
        <v>69.563767239539956</v>
      </c>
      <c r="F20" s="44">
        <f ca="1">'Total Trip Tables Sup #2'!F23</f>
        <v>71.671871356209266</v>
      </c>
      <c r="G20" s="44">
        <f ca="1">'Total Trip Tables Sup #2'!G23</f>
        <v>73.164047926744217</v>
      </c>
      <c r="H20" s="44">
        <f ca="1">'Total Trip Tables Sup #2'!H23</f>
        <v>74.116068053665586</v>
      </c>
      <c r="I20" s="44">
        <f ca="1">'Total Trip Tables Sup #2'!I23</f>
        <v>79.017048199945251</v>
      </c>
      <c r="J20" s="44">
        <f ca="1">'Total Trip Tables Sup #2'!J23</f>
        <v>84.080904013683906</v>
      </c>
      <c r="K20" s="45">
        <f ca="1">'Total Trip Tables Sup #2'!K23</f>
        <v>89.488738393923171</v>
      </c>
    </row>
    <row r="21" spans="1:11" ht="15.75" x14ac:dyDescent="0.25">
      <c r="A21" s="38" t="s">
        <v>97</v>
      </c>
      <c r="B21" s="46">
        <f>'[1]Transition '!B$34-1</f>
        <v>-1.105176939772301E-3</v>
      </c>
      <c r="C21" s="21">
        <f>'[1]Transition '!C$34-1</f>
        <v>4.661368971355051E-3</v>
      </c>
      <c r="D21" s="21">
        <f>'[1]Transition '!D$34-1</f>
        <v>0.2907847563447119</v>
      </c>
      <c r="E21" s="21">
        <f>'[1]Transition '!E$34-1</f>
        <v>0.53917285241550417</v>
      </c>
      <c r="F21" s="21">
        <f>'[1]Transition '!F$34-1</f>
        <v>0.67393462136734361</v>
      </c>
      <c r="G21" s="21">
        <f>'[1]Transition '!G$34-1</f>
        <v>0.79975702617632272</v>
      </c>
      <c r="H21" s="21">
        <f>'[1]Transition '!H$34-1</f>
        <v>0.92891868394525856</v>
      </c>
      <c r="I21" s="21">
        <f>'[1]Transition '!I$34-1</f>
        <v>1.0200758711641384</v>
      </c>
      <c r="J21" s="21">
        <f>'[1]Transition '!J$34-1</f>
        <v>1.1158111479412391</v>
      </c>
      <c r="K21" s="22">
        <f>'[1]Transition '!K$34-1</f>
        <v>1.2208562669733793</v>
      </c>
    </row>
    <row r="22" spans="1:11" ht="15.75" x14ac:dyDescent="0.25">
      <c r="A22" s="38" t="s">
        <v>90</v>
      </c>
      <c r="B22" s="51">
        <f ca="1">'Total Distance Tables Sup #2'!B23</f>
        <v>438.79018300000001</v>
      </c>
      <c r="C22" s="44">
        <f ca="1">'Total Distance Tables Sup #2'!C23</f>
        <v>466.70233909568009</v>
      </c>
      <c r="D22" s="44">
        <f ca="1">'Total Distance Tables Sup #2'!D23</f>
        <v>612.34079847648843</v>
      </c>
      <c r="E22" s="44">
        <f ca="1">'Total Distance Tables Sup #2'!E23</f>
        <v>733.22808150172034</v>
      </c>
      <c r="F22" s="44">
        <f ca="1">'Total Distance Tables Sup #2'!F23</f>
        <v>784.25600785752545</v>
      </c>
      <c r="G22" s="44">
        <f ca="1">'Total Distance Tables Sup #2'!G23</f>
        <v>826.72232102138798</v>
      </c>
      <c r="H22" s="44">
        <f ca="1">'Total Distance Tables Sup #2'!H23</f>
        <v>862.28223910927261</v>
      </c>
      <c r="I22" s="44">
        <f ca="1">'Total Distance Tables Sup #2'!I23</f>
        <v>932.83215667246668</v>
      </c>
      <c r="J22" s="44">
        <f ca="1">'Total Distance Tables Sup #2'!J23</f>
        <v>1006.293736752051</v>
      </c>
      <c r="K22" s="45">
        <f ca="1">'Total Distance Tables Sup #2'!K23</f>
        <v>1085.776588110223</v>
      </c>
    </row>
    <row r="23" spans="1:11" ht="15.75" x14ac:dyDescent="0.25">
      <c r="A23" s="38" t="s">
        <v>98</v>
      </c>
      <c r="B23" s="46">
        <f>'[1]Transition '!B$35-1</f>
        <v>-1.105176939772412E-3</v>
      </c>
      <c r="C23" s="21">
        <f>'[1]Transition '!C$35-1</f>
        <v>6.1853723655385107E-3</v>
      </c>
      <c r="D23" s="21">
        <f>'[1]Transition '!D$35-1</f>
        <v>0.2974079117855295</v>
      </c>
      <c r="E23" s="21">
        <f>'[1]Transition '!E$35-1</f>
        <v>0.54739864059758503</v>
      </c>
      <c r="F23" s="21">
        <f>'[1]Transition '!F$35-1</f>
        <v>0.68054375504779108</v>
      </c>
      <c r="G23" s="21">
        <f>'[1]Transition '!G$35-1</f>
        <v>0.8045473728694712</v>
      </c>
      <c r="H23" s="21">
        <f>'[1]Transition '!H$35-1</f>
        <v>0.93118676803981226</v>
      </c>
      <c r="I23" s="21">
        <f>'[1]Transition '!I$35-1</f>
        <v>1.0224511407860848</v>
      </c>
      <c r="J23" s="21">
        <f>'[1]Transition '!J$35-1</f>
        <v>1.1182989861542576</v>
      </c>
      <c r="K23" s="22">
        <f>'[1]Transition '!K$35-1</f>
        <v>1.2234676205868502</v>
      </c>
    </row>
    <row r="24" spans="1:11" ht="15.75" x14ac:dyDescent="0.25">
      <c r="A24" s="38" t="s">
        <v>91</v>
      </c>
      <c r="B24" s="51">
        <f ca="1">'Total Duration Tables Sup #2'!B23</f>
        <v>22.597670440041398</v>
      </c>
      <c r="C24" s="44">
        <f ca="1">'Total Duration Tables Sup #2'!C23</f>
        <v>24.032137116452621</v>
      </c>
      <c r="D24" s="44">
        <f ca="1">'Total Duration Tables Sup #2'!D23</f>
        <v>31.523641717779523</v>
      </c>
      <c r="E24" s="44">
        <f ca="1">'Total Duration Tables Sup #2'!E23</f>
        <v>37.510431204569102</v>
      </c>
      <c r="F24" s="44">
        <f ca="1">'Total Duration Tables Sup #2'!F23</f>
        <v>39.849532943535117</v>
      </c>
      <c r="G24" s="44">
        <f ca="1">'Total Duration Tables Sup #2'!G23</f>
        <v>41.722534068270086</v>
      </c>
      <c r="H24" s="44">
        <f ca="1">'Total Duration Tables Sup #2'!H23</f>
        <v>43.20734485658479</v>
      </c>
      <c r="I24" s="44">
        <f ca="1">'Total Duration Tables Sup #2'!I23</f>
        <v>46.742468832819526</v>
      </c>
      <c r="J24" s="44">
        <f ca="1">'Total Duration Tables Sup #2'!J23</f>
        <v>50.423490753770821</v>
      </c>
      <c r="K24" s="45">
        <f ca="1">'Total Duration Tables Sup #2'!K23</f>
        <v>54.406227279069945</v>
      </c>
    </row>
    <row r="25" spans="1:11" ht="15.75" x14ac:dyDescent="0.25">
      <c r="A25" s="38" t="s">
        <v>61</v>
      </c>
      <c r="B25" s="39"/>
      <c r="C25" s="40"/>
      <c r="D25" s="40"/>
      <c r="E25" s="40"/>
      <c r="F25" s="40"/>
      <c r="G25" s="40"/>
      <c r="H25" s="40"/>
      <c r="I25" s="40"/>
      <c r="J25" s="40"/>
      <c r="K25" s="41"/>
    </row>
    <row r="26" spans="1:11" ht="15.75" x14ac:dyDescent="0.25">
      <c r="A26" s="42" t="s">
        <v>62</v>
      </c>
      <c r="B26" s="46">
        <v>0.05</v>
      </c>
      <c r="C26" s="21">
        <v>0.05</v>
      </c>
      <c r="D26" s="21">
        <v>0.05</v>
      </c>
      <c r="E26" s="21">
        <v>0.05</v>
      </c>
      <c r="F26" s="21">
        <v>0.05</v>
      </c>
      <c r="G26" s="21">
        <v>0.05</v>
      </c>
      <c r="H26" s="21">
        <v>0.05</v>
      </c>
      <c r="I26" s="21">
        <v>0.05</v>
      </c>
      <c r="J26" s="21">
        <v>0.05</v>
      </c>
      <c r="K26" s="22">
        <v>0.05</v>
      </c>
    </row>
    <row r="27" spans="1:11" ht="15.75" x14ac:dyDescent="0.25">
      <c r="A27" s="42" t="s">
        <v>63</v>
      </c>
      <c r="B27" s="46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2">
        <v>0</v>
      </c>
    </row>
    <row r="28" spans="1:11" ht="15.75" x14ac:dyDescent="0.25">
      <c r="A28" s="42" t="s">
        <v>64</v>
      </c>
      <c r="B28" s="46">
        <v>0.4</v>
      </c>
      <c r="C28" s="21">
        <v>0.4</v>
      </c>
      <c r="D28" s="21">
        <v>0.4</v>
      </c>
      <c r="E28" s="21">
        <v>0.4</v>
      </c>
      <c r="F28" s="21">
        <v>0.4</v>
      </c>
      <c r="G28" s="21">
        <v>0.4</v>
      </c>
      <c r="H28" s="21">
        <v>0.4</v>
      </c>
      <c r="I28" s="21">
        <v>0.4</v>
      </c>
      <c r="J28" s="21">
        <v>0.4</v>
      </c>
      <c r="K28" s="22">
        <v>0.4</v>
      </c>
    </row>
    <row r="29" spans="1:11" ht="15.75" x14ac:dyDescent="0.25">
      <c r="A29" s="42" t="s">
        <v>65</v>
      </c>
      <c r="B29" s="46">
        <v>0.4</v>
      </c>
      <c r="C29" s="21">
        <v>0.4</v>
      </c>
      <c r="D29" s="21">
        <v>0.4</v>
      </c>
      <c r="E29" s="21">
        <v>0.4</v>
      </c>
      <c r="F29" s="21">
        <v>0.4</v>
      </c>
      <c r="G29" s="21">
        <v>0.4</v>
      </c>
      <c r="H29" s="21">
        <v>0.4</v>
      </c>
      <c r="I29" s="21">
        <v>0.4</v>
      </c>
      <c r="J29" s="21">
        <v>0.4</v>
      </c>
      <c r="K29" s="22">
        <v>0.4</v>
      </c>
    </row>
    <row r="30" spans="1:11" ht="15.75" x14ac:dyDescent="0.25">
      <c r="A30" s="47" t="s">
        <v>86</v>
      </c>
      <c r="B30" s="46">
        <f>'[1]Summary Data'!$B$32-1</f>
        <v>0.15049422239561072</v>
      </c>
      <c r="C30" s="21">
        <f>B30</f>
        <v>0.15049422239561072</v>
      </c>
      <c r="D30" s="21">
        <f t="shared" ref="D30:K30" si="0">C30</f>
        <v>0.15049422239561072</v>
      </c>
      <c r="E30" s="21">
        <f t="shared" si="0"/>
        <v>0.15049422239561072</v>
      </c>
      <c r="F30" s="21">
        <f t="shared" si="0"/>
        <v>0.15049422239561072</v>
      </c>
      <c r="G30" s="21">
        <f t="shared" si="0"/>
        <v>0.15049422239561072</v>
      </c>
      <c r="H30" s="21">
        <f t="shared" si="0"/>
        <v>0.15049422239561072</v>
      </c>
      <c r="I30" s="21">
        <f t="shared" si="0"/>
        <v>0.15049422239561072</v>
      </c>
      <c r="J30" s="21">
        <f t="shared" si="0"/>
        <v>0.15049422239561072</v>
      </c>
      <c r="K30" s="22">
        <f t="shared" si="0"/>
        <v>0.15049422239561072</v>
      </c>
    </row>
    <row r="31" spans="1:11" ht="15.75" x14ac:dyDescent="0.25">
      <c r="A31" s="38" t="s">
        <v>93</v>
      </c>
      <c r="B31" s="51">
        <f ca="1">'Total Trip Tables Sup #2'!B24</f>
        <v>4.957052</v>
      </c>
      <c r="C31" s="44">
        <f ca="1">'Total Trip Tables Sup #2'!C24</f>
        <v>5.6404350470327929</v>
      </c>
      <c r="D31" s="44">
        <f ca="1">'Total Trip Tables Sup #2'!D24</f>
        <v>6.1350555884060851</v>
      </c>
      <c r="E31" s="44">
        <f ca="1">'Total Trip Tables Sup #2'!E24</f>
        <v>6.4136043961802409</v>
      </c>
      <c r="F31" s="44">
        <f ca="1">'Total Trip Tables Sup #2'!F24</f>
        <v>6.604893210879224</v>
      </c>
      <c r="G31" s="44">
        <f ca="1">'Total Trip Tables Sup #2'!G24</f>
        <v>6.9270268933354311</v>
      </c>
      <c r="H31" s="44">
        <f ca="1">'Total Trip Tables Sup #2'!H24</f>
        <v>7.1959772938394666</v>
      </c>
      <c r="I31" s="44">
        <f ca="1">'Total Trip Tables Sup #2'!I24</f>
        <v>7.3788279842046185</v>
      </c>
      <c r="J31" s="44">
        <f ca="1">'Total Trip Tables Sup #2'!J24</f>
        <v>7.5444579695540117</v>
      </c>
      <c r="K31" s="45">
        <f ca="1">'Total Trip Tables Sup #2'!K24</f>
        <v>7.6994705040497822</v>
      </c>
    </row>
    <row r="32" spans="1:11" ht="15.75" x14ac:dyDescent="0.25">
      <c r="A32" s="47" t="s">
        <v>99</v>
      </c>
      <c r="B32" s="46">
        <f>'[1]Summary Data'!$B$32-1</f>
        <v>0.15049422239561072</v>
      </c>
      <c r="C32" s="21">
        <f>B32</f>
        <v>0.15049422239561072</v>
      </c>
      <c r="D32" s="21">
        <f t="shared" ref="D32:K32" si="1">C32</f>
        <v>0.15049422239561072</v>
      </c>
      <c r="E32" s="21">
        <f t="shared" si="1"/>
        <v>0.15049422239561072</v>
      </c>
      <c r="F32" s="21">
        <f t="shared" si="1"/>
        <v>0.15049422239561072</v>
      </c>
      <c r="G32" s="21">
        <f t="shared" si="1"/>
        <v>0.15049422239561072</v>
      </c>
      <c r="H32" s="21">
        <f t="shared" si="1"/>
        <v>0.15049422239561072</v>
      </c>
      <c r="I32" s="21">
        <f t="shared" si="1"/>
        <v>0.15049422239561072</v>
      </c>
      <c r="J32" s="21">
        <f t="shared" si="1"/>
        <v>0.15049422239561072</v>
      </c>
      <c r="K32" s="22">
        <f t="shared" si="1"/>
        <v>0.15049422239561072</v>
      </c>
    </row>
    <row r="33" spans="1:11" ht="15.75" x14ac:dyDescent="0.25">
      <c r="A33" s="38" t="s">
        <v>100</v>
      </c>
      <c r="B33" s="51">
        <f ca="1">'Total Distance Tables Sup #2'!B24</f>
        <v>0</v>
      </c>
      <c r="C33" s="44">
        <f ca="1">'Total Distance Tables Sup #2'!C24</f>
        <v>0</v>
      </c>
      <c r="D33" s="44">
        <f ca="1">'Total Distance Tables Sup #2'!D24</f>
        <v>0</v>
      </c>
      <c r="E33" s="44">
        <f ca="1">'Total Distance Tables Sup #2'!E24</f>
        <v>0</v>
      </c>
      <c r="F33" s="44">
        <f ca="1">'Total Distance Tables Sup #2'!F24</f>
        <v>0</v>
      </c>
      <c r="G33" s="44">
        <f ca="1">'Total Distance Tables Sup #2'!G24</f>
        <v>0</v>
      </c>
      <c r="H33" s="44">
        <f ca="1">'Total Distance Tables Sup #2'!H24</f>
        <v>0</v>
      </c>
      <c r="I33" s="44">
        <f ca="1">'Total Distance Tables Sup #2'!I24</f>
        <v>0</v>
      </c>
      <c r="J33" s="44">
        <f ca="1">'Total Distance Tables Sup #2'!J24</f>
        <v>0</v>
      </c>
      <c r="K33" s="45">
        <f ca="1">'Total Distance Tables Sup #2'!K24</f>
        <v>0</v>
      </c>
    </row>
    <row r="34" spans="1:11" ht="15.75" x14ac:dyDescent="0.25">
      <c r="A34" s="47" t="s">
        <v>101</v>
      </c>
      <c r="B34" s="46">
        <f>'[1]Summary Data'!$B$32-1</f>
        <v>0.15049422239561072</v>
      </c>
      <c r="C34" s="21">
        <f>B34</f>
        <v>0.15049422239561072</v>
      </c>
      <c r="D34" s="21">
        <f t="shared" ref="D34:K34" si="2">C34</f>
        <v>0.15049422239561072</v>
      </c>
      <c r="E34" s="21">
        <f t="shared" si="2"/>
        <v>0.15049422239561072</v>
      </c>
      <c r="F34" s="21">
        <f t="shared" si="2"/>
        <v>0.15049422239561072</v>
      </c>
      <c r="G34" s="21">
        <f t="shared" si="2"/>
        <v>0.15049422239561072</v>
      </c>
      <c r="H34" s="21">
        <f t="shared" si="2"/>
        <v>0.15049422239561072</v>
      </c>
      <c r="I34" s="21">
        <f t="shared" si="2"/>
        <v>0.15049422239561072</v>
      </c>
      <c r="J34" s="21">
        <f t="shared" si="2"/>
        <v>0.15049422239561072</v>
      </c>
      <c r="K34" s="22">
        <f t="shared" si="2"/>
        <v>0.15049422239561072</v>
      </c>
    </row>
    <row r="35" spans="1:11" ht="16.5" thickBot="1" x14ac:dyDescent="0.3">
      <c r="A35" s="48" t="s">
        <v>102</v>
      </c>
      <c r="B35" s="52">
        <f ca="1">'Total Duration Tables Sup #2'!B24</f>
        <v>1.3948644118033415</v>
      </c>
      <c r="C35" s="49">
        <f ca="1">'Total Duration Tables Sup #2'!C24</f>
        <v>1.593763278897623</v>
      </c>
      <c r="D35" s="49">
        <f ca="1">'Total Duration Tables Sup #2'!D24</f>
        <v>1.7277670426595511</v>
      </c>
      <c r="E35" s="49">
        <f ca="1">'Total Duration Tables Sup #2'!E24</f>
        <v>1.8145321084922603</v>
      </c>
      <c r="F35" s="49">
        <f ca="1">'Total Duration Tables Sup #2'!F24</f>
        <v>1.8780721537815597</v>
      </c>
      <c r="G35" s="49">
        <f ca="1">'Total Duration Tables Sup #2'!G24</f>
        <v>1.971621469119837</v>
      </c>
      <c r="H35" s="49">
        <f ca="1">'Total Duration Tables Sup #2'!H24</f>
        <v>2.0502848652743397</v>
      </c>
      <c r="I35" s="49">
        <f ca="1">'Total Duration Tables Sup #2'!I24</f>
        <v>2.1022886037371458</v>
      </c>
      <c r="J35" s="49">
        <f ca="1">'Total Duration Tables Sup #2'!J24</f>
        <v>2.1494065368097606</v>
      </c>
      <c r="K35" s="50">
        <f ca="1">'Total Duration Tables Sup #2'!K24</f>
        <v>2.1935211788828273</v>
      </c>
    </row>
    <row r="36" spans="1:11" ht="16.5" thickTop="1" x14ac:dyDescent="0.25">
      <c r="A36" s="16" t="s">
        <v>41</v>
      </c>
      <c r="B36" s="35"/>
      <c r="C36" s="36"/>
      <c r="D36" s="36"/>
      <c r="E36" s="36"/>
      <c r="F36" s="36"/>
      <c r="G36" s="36"/>
      <c r="H36" s="36"/>
      <c r="I36" s="36"/>
      <c r="J36" s="36"/>
      <c r="K36" s="37"/>
    </row>
    <row r="37" spans="1:11" ht="15.75" x14ac:dyDescent="0.25">
      <c r="A37" s="38" t="s">
        <v>85</v>
      </c>
      <c r="B37" s="46">
        <f>'[2]Transition '!B30-1</f>
        <v>0.21688989289779315</v>
      </c>
      <c r="C37" s="21">
        <f>'[2]Transition '!C30-1</f>
        <v>0.24326786449309079</v>
      </c>
      <c r="D37" s="21">
        <f>'[2]Transition '!D30-1</f>
        <v>0.32787008316285227</v>
      </c>
      <c r="E37" s="21">
        <f>'[2]Transition '!E30-1</f>
        <v>0.40370877883460654</v>
      </c>
      <c r="F37" s="21">
        <f>'[2]Transition '!F30-1</f>
        <v>0.4638936117321586</v>
      </c>
      <c r="G37" s="21">
        <f>'[2]Transition '!G30-1</f>
        <v>0.51438571516721865</v>
      </c>
      <c r="H37" s="21">
        <f>'[2]Transition '!H30-1</f>
        <v>0.56740220237371664</v>
      </c>
      <c r="I37" s="21">
        <f>'[2]Transition '!I30-1</f>
        <v>0.64674793236411343</v>
      </c>
      <c r="J37" s="21">
        <f>'[2]Transition '!J30-1</f>
        <v>0.73497933165071916</v>
      </c>
      <c r="K37" s="22">
        <f>'[2]Transition '!K30-1</f>
        <v>0.83187491421515847</v>
      </c>
    </row>
    <row r="38" spans="1:11" ht="15.75" x14ac:dyDescent="0.25">
      <c r="A38" s="38" t="s">
        <v>87</v>
      </c>
      <c r="B38" s="51">
        <f ca="1">'Total Trip Tables Sup #2'!B99</f>
        <v>12.37</v>
      </c>
      <c r="C38" s="44">
        <f ca="1">'Total Trip Tables Sup #2'!C99</f>
        <v>13.79711369222052</v>
      </c>
      <c r="D38" s="44">
        <f ca="1">'Total Trip Tables Sup #2'!D99</f>
        <v>15.537263366839877</v>
      </c>
      <c r="E38" s="44">
        <f ca="1">'Total Trip Tables Sup #2'!E99</f>
        <v>16.902138366255024</v>
      </c>
      <c r="F38" s="44">
        <f ca="1">'Total Trip Tables Sup #2'!F99</f>
        <v>17.934247414016191</v>
      </c>
      <c r="G38" s="44">
        <f ca="1">'Total Trip Tables Sup #2'!G99</f>
        <v>18.999414299139286</v>
      </c>
      <c r="H38" s="44">
        <f ca="1">'Total Trip Tables Sup #2'!H99</f>
        <v>20.0314184363524</v>
      </c>
      <c r="I38" s="44">
        <f ca="1">'Total Trip Tables Sup #2'!I99</f>
        <v>21.509555460638186</v>
      </c>
      <c r="J38" s="44">
        <f ca="1">'Total Trip Tables Sup #2'!J99</f>
        <v>23.093506466158725</v>
      </c>
      <c r="K38" s="45">
        <f ca="1">'Total Trip Tables Sup #2'!K99</f>
        <v>24.800120091214417</v>
      </c>
    </row>
    <row r="39" spans="1:11" ht="15.75" x14ac:dyDescent="0.25">
      <c r="A39" s="38" t="s">
        <v>94</v>
      </c>
      <c r="B39" s="46">
        <f>'[2]Transition '!B31-1</f>
        <v>0.18597231373895151</v>
      </c>
      <c r="C39" s="21">
        <f>'[2]Transition '!C31-1</f>
        <v>0.19272604318867237</v>
      </c>
      <c r="D39" s="21">
        <f>'[2]Transition '!D31-1</f>
        <v>0.27324302632957087</v>
      </c>
      <c r="E39" s="21">
        <f>'[2]Transition '!E31-1</f>
        <v>0.33711388299144951</v>
      </c>
      <c r="F39" s="21">
        <f>'[2]Transition '!F31-1</f>
        <v>0.40032631324222034</v>
      </c>
      <c r="G39" s="21">
        <f>'[2]Transition '!G31-1</f>
        <v>0.45833529879723467</v>
      </c>
      <c r="H39" s="21">
        <f>'[2]Transition '!H31-1</f>
        <v>0.52117472509026519</v>
      </c>
      <c r="I39" s="21">
        <f>'[2]Transition '!I31-1</f>
        <v>0.59804208218257049</v>
      </c>
      <c r="J39" s="21">
        <f>'[2]Transition '!J31-1</f>
        <v>0.68352021354437431</v>
      </c>
      <c r="K39" s="22">
        <f>'[2]Transition '!K31-1</f>
        <v>0.77739023560247134</v>
      </c>
    </row>
    <row r="40" spans="1:11" ht="15.75" x14ac:dyDescent="0.25">
      <c r="A40" s="38" t="s">
        <v>89</v>
      </c>
      <c r="B40" s="51">
        <f ca="1">'Total Distance Tables Sup #2'!B99</f>
        <v>297.83</v>
      </c>
      <c r="C40" s="44">
        <f ca="1">'Total Distance Tables Sup #2'!C99</f>
        <v>324.78049150726702</v>
      </c>
      <c r="D40" s="44">
        <f ca="1">'Total Distance Tables Sup #2'!D99</f>
        <v>366.15528051041457</v>
      </c>
      <c r="E40" s="44">
        <f ca="1">'Total Distance Tables Sup #2'!E99</f>
        <v>400.27584528851054</v>
      </c>
      <c r="F40" s="44">
        <f ca="1">'Total Distance Tables Sup #2'!F99</f>
        <v>426.50039659791315</v>
      </c>
      <c r="G40" s="44">
        <f ca="1">'Total Distance Tables Sup #2'!G99</f>
        <v>453.8487535348242</v>
      </c>
      <c r="H40" s="44">
        <f ca="1">'Total Distance Tables Sup #2'!H99</f>
        <v>480.60422540597466</v>
      </c>
      <c r="I40" s="44">
        <f ca="1">'Total Distance Tables Sup #2'!I99</f>
        <v>516.02382460040496</v>
      </c>
      <c r="J40" s="44">
        <f ca="1">'Total Distance Tables Sup #2'!J99</f>
        <v>553.97624661640032</v>
      </c>
      <c r="K40" s="45">
        <f ca="1">'Total Distance Tables Sup #2'!K99</f>
        <v>594.86441755539499</v>
      </c>
    </row>
    <row r="41" spans="1:11" ht="15.75" x14ac:dyDescent="0.25">
      <c r="A41" s="38" t="s">
        <v>95</v>
      </c>
      <c r="B41" s="46">
        <f>'[2]Transition '!B32-1</f>
        <v>0.18597231373895151</v>
      </c>
      <c r="C41" s="21">
        <f>'[2]Transition '!C32-1</f>
        <v>0.19676938260007093</v>
      </c>
      <c r="D41" s="21">
        <f>'[2]Transition '!D32-1</f>
        <v>0.28091481415917241</v>
      </c>
      <c r="E41" s="21">
        <f>'[2]Transition '!E32-1</f>
        <v>0.34866558591175623</v>
      </c>
      <c r="F41" s="21">
        <f>'[2]Transition '!F32-1</f>
        <v>0.41127750927894091</v>
      </c>
      <c r="G41" s="21">
        <f>'[2]Transition '!G32-1</f>
        <v>0.47021763915535231</v>
      </c>
      <c r="H41" s="21">
        <f>'[2]Transition '!H32-1</f>
        <v>0.53372809632637197</v>
      </c>
      <c r="I41" s="21">
        <f>'[2]Transition '!I32-1</f>
        <v>0.61122979505846531</v>
      </c>
      <c r="J41" s="21">
        <f>'[2]Transition '!J32-1</f>
        <v>0.69741332777742748</v>
      </c>
      <c r="K41" s="22">
        <f>'[2]Transition '!K32-1</f>
        <v>0.79205800459108966</v>
      </c>
    </row>
    <row r="42" spans="1:11" ht="15.75" x14ac:dyDescent="0.25">
      <c r="A42" s="38" t="s">
        <v>92</v>
      </c>
      <c r="B42" s="44">
        <f ca="1">'Total Duration Tables Sup #2'!B99</f>
        <v>6.554720885672368</v>
      </c>
      <c r="C42" s="44">
        <f ca="1">'Total Duration Tables Sup #2'!C99</f>
        <v>7.147347666394003</v>
      </c>
      <c r="D42" s="44">
        <f ca="1">'Total Duration Tables Sup #2'!D99</f>
        <v>8.0577295993677467</v>
      </c>
      <c r="E42" s="44">
        <f ca="1">'Total Duration Tables Sup #2'!E99</f>
        <v>8.8151474128649614</v>
      </c>
      <c r="F42" s="44">
        <f ca="1">'Total Duration Tables Sup #2'!F99</f>
        <v>9.4038995195463997</v>
      </c>
      <c r="G42" s="44">
        <f ca="1">'Total Duration Tables Sup #2'!G99</f>
        <v>10.023222923134959</v>
      </c>
      <c r="H42" s="44">
        <f ca="1">'Total Duration Tables Sup #2'!H99</f>
        <v>10.636520862586156</v>
      </c>
      <c r="I42" s="44">
        <f ca="1">'Total Duration Tables Sup #2'!I99</f>
        <v>11.42041181872113</v>
      </c>
      <c r="J42" s="44">
        <f ca="1">'Total Duration Tables Sup #2'!J99</f>
        <v>12.260358093054887</v>
      </c>
      <c r="K42" s="45">
        <f ca="1">'Total Duration Tables Sup #2'!K99</f>
        <v>13.165277068451392</v>
      </c>
    </row>
    <row r="43" spans="1:11" ht="15.75" x14ac:dyDescent="0.25">
      <c r="A43" s="38" t="s">
        <v>61</v>
      </c>
      <c r="B43" s="39"/>
      <c r="C43" s="40"/>
      <c r="D43" s="40"/>
      <c r="E43" s="40"/>
      <c r="F43" s="40"/>
      <c r="G43" s="40"/>
      <c r="H43" s="40"/>
      <c r="I43" s="40"/>
      <c r="J43" s="40"/>
      <c r="K43" s="41"/>
    </row>
    <row r="44" spans="1:11" ht="15.75" x14ac:dyDescent="0.25">
      <c r="A44" s="42" t="s">
        <v>62</v>
      </c>
      <c r="B44" s="46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2">
        <v>0</v>
      </c>
    </row>
    <row r="45" spans="1:11" ht="15.75" x14ac:dyDescent="0.25">
      <c r="A45" s="42" t="s">
        <v>63</v>
      </c>
      <c r="B45" s="46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2">
        <v>0</v>
      </c>
    </row>
    <row r="46" spans="1:11" ht="15.75" x14ac:dyDescent="0.25">
      <c r="A46" s="42" t="s">
        <v>64</v>
      </c>
      <c r="B46" s="46">
        <v>0.25</v>
      </c>
      <c r="C46" s="21">
        <v>0.25</v>
      </c>
      <c r="D46" s="21">
        <v>0.25</v>
      </c>
      <c r="E46" s="21">
        <v>0.25</v>
      </c>
      <c r="F46" s="21">
        <v>0.25</v>
      </c>
      <c r="G46" s="21">
        <v>0.25</v>
      </c>
      <c r="H46" s="21">
        <v>0.25</v>
      </c>
      <c r="I46" s="21">
        <v>0.25</v>
      </c>
      <c r="J46" s="21">
        <v>0.25</v>
      </c>
      <c r="K46" s="22">
        <v>0.25</v>
      </c>
    </row>
    <row r="47" spans="1:11" ht="15.75" x14ac:dyDescent="0.25">
      <c r="A47" s="42" t="s">
        <v>65</v>
      </c>
      <c r="B47" s="46">
        <v>0.25</v>
      </c>
      <c r="C47" s="21">
        <v>0.25</v>
      </c>
      <c r="D47" s="21">
        <v>0.25</v>
      </c>
      <c r="E47" s="21">
        <v>0.25</v>
      </c>
      <c r="F47" s="21">
        <v>0.25</v>
      </c>
      <c r="G47" s="21">
        <v>0.25</v>
      </c>
      <c r="H47" s="21">
        <v>0.25</v>
      </c>
      <c r="I47" s="21">
        <v>0.25</v>
      </c>
      <c r="J47" s="21">
        <v>0.25</v>
      </c>
      <c r="K47" s="22">
        <v>0.25</v>
      </c>
    </row>
    <row r="48" spans="1:11" ht="15.75" x14ac:dyDescent="0.25">
      <c r="A48" s="42" t="s">
        <v>66</v>
      </c>
      <c r="B48" s="46">
        <v>0.5</v>
      </c>
      <c r="C48" s="21">
        <v>0.5</v>
      </c>
      <c r="D48" s="21">
        <v>0.5</v>
      </c>
      <c r="E48" s="21">
        <v>0.5</v>
      </c>
      <c r="F48" s="21">
        <v>0.5</v>
      </c>
      <c r="G48" s="21">
        <v>0.5</v>
      </c>
      <c r="H48" s="21">
        <v>0.5</v>
      </c>
      <c r="I48" s="21">
        <v>0.5</v>
      </c>
      <c r="J48" s="21">
        <v>0.5</v>
      </c>
      <c r="K48" s="22">
        <v>0.5</v>
      </c>
    </row>
    <row r="49" spans="1:11" ht="15.75" x14ac:dyDescent="0.25">
      <c r="A49" s="38" t="s">
        <v>96</v>
      </c>
      <c r="B49" s="46">
        <f>'[2]Transition '!B33-1</f>
        <v>-5.7262664658125351E-2</v>
      </c>
      <c r="C49" s="21">
        <f>'[2]Transition '!C33-1</f>
        <v>-4.1275347842180565E-2</v>
      </c>
      <c r="D49" s="21">
        <f>'[2]Transition '!D33-1</f>
        <v>5.965398973517555E-2</v>
      </c>
      <c r="E49" s="21">
        <f>'[2]Transition '!E33-1</f>
        <v>0.12788121362425175</v>
      </c>
      <c r="F49" s="21">
        <f>'[2]Transition '!F33-1</f>
        <v>0.16347609997135715</v>
      </c>
      <c r="G49" s="21">
        <f>'[2]Transition '!G33-1</f>
        <v>0.20679801001209097</v>
      </c>
      <c r="H49" s="21">
        <f>'[2]Transition '!H33-1</f>
        <v>0.25672453548627572</v>
      </c>
      <c r="I49" s="21">
        <f>'[2]Transition '!I33-1</f>
        <v>0.28483024391039469</v>
      </c>
      <c r="J49" s="21">
        <f>'[2]Transition '!J33-1</f>
        <v>0.31762849148373817</v>
      </c>
      <c r="K49" s="22">
        <f>'[2]Transition '!K33-1</f>
        <v>0.35417419758311741</v>
      </c>
    </row>
    <row r="50" spans="1:11" ht="15.75" x14ac:dyDescent="0.25">
      <c r="A50" s="38" t="s">
        <v>88</v>
      </c>
      <c r="B50" s="51">
        <f ca="1">'Total Trip Tables Sup #2'!B100</f>
        <v>23.4</v>
      </c>
      <c r="C50" s="44">
        <f ca="1">'Total Trip Tables Sup #2'!C100</f>
        <v>25.098634765165087</v>
      </c>
      <c r="D50" s="44">
        <f ca="1">'Total Trip Tables Sup #2'!D100</f>
        <v>28.379933006646507</v>
      </c>
      <c r="E50" s="44">
        <f ca="1">'Total Trip Tables Sup #2'!E100</f>
        <v>30.313883251437677</v>
      </c>
      <c r="F50" s="44">
        <f ca="1">'Total Trip Tables Sup #2'!F100</f>
        <v>30.91391876318129</v>
      </c>
      <c r="G50" s="44">
        <f ca="1">'Total Trip Tables Sup #2'!G100</f>
        <v>31.490893460074211</v>
      </c>
      <c r="H50" s="44">
        <f ca="1">'Total Trip Tables Sup #2'!H100</f>
        <v>32.023362300221578</v>
      </c>
      <c r="I50" s="44">
        <f ca="1">'Total Trip Tables Sup #2'!I100</f>
        <v>33.461518339996175</v>
      </c>
      <c r="J50" s="44">
        <f ca="1">'Total Trip Tables Sup #2'!J100</f>
        <v>34.969074334057126</v>
      </c>
      <c r="K50" s="45">
        <f ca="1">'Total Trip Tables Sup #2'!K100</f>
        <v>36.553425957839139</v>
      </c>
    </row>
    <row r="51" spans="1:11" ht="15.75" x14ac:dyDescent="0.25">
      <c r="A51" s="38" t="s">
        <v>97</v>
      </c>
      <c r="B51" s="46">
        <f>'[2]Transition '!B34-1</f>
        <v>-0.12295023299365704</v>
      </c>
      <c r="C51" s="21">
        <f>'[2]Transition '!C34-1</f>
        <v>-0.12526660564561831</v>
      </c>
      <c r="D51" s="21">
        <f>'[2]Transition '!D34-1</f>
        <v>-3.6996870613136945E-2</v>
      </c>
      <c r="E51" s="21">
        <f>'[2]Transition '!E34-1</f>
        <v>2.2112421034643281E-2</v>
      </c>
      <c r="F51" s="21">
        <f>'[2]Transition '!F34-1</f>
        <v>4.4697090162222564E-2</v>
      </c>
      <c r="G51" s="21">
        <f>'[2]Transition '!G34-1</f>
        <v>7.1720286844437986E-2</v>
      </c>
      <c r="H51" s="21">
        <f>'[2]Transition '!H34-1</f>
        <v>0.10456723251494005</v>
      </c>
      <c r="I51" s="21">
        <f>'[2]Transition '!I34-1</f>
        <v>0.12523251677199609</v>
      </c>
      <c r="J51" s="21">
        <f>'[2]Transition '!J34-1</f>
        <v>0.14985756984372456</v>
      </c>
      <c r="K51" s="22">
        <f>'[2]Transition '!K34-1</f>
        <v>0.17755216339592073</v>
      </c>
    </row>
    <row r="52" spans="1:11" ht="15.75" x14ac:dyDescent="0.25">
      <c r="A52" s="38" t="s">
        <v>90</v>
      </c>
      <c r="B52" s="51">
        <f ca="1">'Total Distance Tables Sup #2'!B100</f>
        <v>164.37</v>
      </c>
      <c r="C52" s="44">
        <f ca="1">'Total Distance Tables Sup #2'!C100</f>
        <v>174.39558784017379</v>
      </c>
      <c r="D52" s="44">
        <f ca="1">'Total Distance Tables Sup #2'!D100</f>
        <v>197.20907957759067</v>
      </c>
      <c r="E52" s="44">
        <f ca="1">'Total Distance Tables Sup #2'!E100</f>
        <v>213.21414160503357</v>
      </c>
      <c r="F52" s="44">
        <f ca="1">'Total Distance Tables Sup #2'!F100</f>
        <v>219.84479072405438</v>
      </c>
      <c r="G52" s="44">
        <f ca="1">'Total Distance Tables Sup #2'!G100</f>
        <v>226.62148035142309</v>
      </c>
      <c r="H52" s="44">
        <f ca="1">'Total Distance Tables Sup #2'!H100</f>
        <v>233.37796432273598</v>
      </c>
      <c r="I52" s="44">
        <f ca="1">'Total Distance Tables Sup #2'!I100</f>
        <v>242.98699116711211</v>
      </c>
      <c r="J52" s="44">
        <f ca="1">'Total Distance Tables Sup #2'!J100</f>
        <v>253.03235921202543</v>
      </c>
      <c r="K52" s="45">
        <f ca="1">'Total Distance Tables Sup #2'!K100</f>
        <v>263.5570054908315</v>
      </c>
    </row>
    <row r="53" spans="1:11" ht="15.75" x14ac:dyDescent="0.25">
      <c r="A53" s="38" t="s">
        <v>98</v>
      </c>
      <c r="B53" s="46">
        <f>'[2]Transition '!B35-1</f>
        <v>-0.12295023299365715</v>
      </c>
      <c r="C53" s="21">
        <f>'[2]Transition '!C35-1</f>
        <v>-0.12159281487784546</v>
      </c>
      <c r="D53" s="21">
        <f>'[2]Transition '!D35-1</f>
        <v>-3.2721088832094458E-2</v>
      </c>
      <c r="E53" s="21">
        <f>'[2]Transition '!E35-1</f>
        <v>2.4563734492759615E-2</v>
      </c>
      <c r="F53" s="21">
        <f>'[2]Transition '!F35-1</f>
        <v>4.7792124096006416E-2</v>
      </c>
      <c r="G53" s="21">
        <f>'[2]Transition '!G35-1</f>
        <v>7.6227487873787192E-2</v>
      </c>
      <c r="H53" s="21">
        <f>'[2]Transition '!H35-1</f>
        <v>0.11041176137005126</v>
      </c>
      <c r="I53" s="21">
        <f>'[2]Transition '!I35-1</f>
        <v>0.13118639057831016</v>
      </c>
      <c r="J53" s="21">
        <f>'[2]Transition '!J35-1</f>
        <v>0.1559417406831205</v>
      </c>
      <c r="K53" s="22">
        <f>'[2]Transition '!K35-1</f>
        <v>0.1837828729396902</v>
      </c>
    </row>
    <row r="54" spans="1:11" ht="15.75" x14ac:dyDescent="0.25">
      <c r="A54" s="38" t="s">
        <v>91</v>
      </c>
      <c r="B54" s="51">
        <f ca="1">'Total Duration Tables Sup #2'!B100</f>
        <v>8.2404499312721509</v>
      </c>
      <c r="C54" s="44">
        <f ca="1">'Total Duration Tables Sup #2'!C100</f>
        <v>8.7422869707199293</v>
      </c>
      <c r="D54" s="44">
        <f ca="1">'Total Duration Tables Sup #2'!D100</f>
        <v>9.8871524641073947</v>
      </c>
      <c r="E54" s="44">
        <f ca="1">'Total Duration Tables Sup #2'!E100</f>
        <v>10.530305994499781</v>
      </c>
      <c r="F54" s="44">
        <f ca="1">'Total Duration Tables Sup #2'!F100</f>
        <v>10.678862673644721</v>
      </c>
      <c r="G54" s="44">
        <f ca="1">'Total Duration Tables Sup #2'!G100</f>
        <v>10.823977825714833</v>
      </c>
      <c r="H54" s="44">
        <f ca="1">'Total Duration Tables Sup #2'!H100</f>
        <v>10.953220719362616</v>
      </c>
      <c r="I54" s="44">
        <f ca="1">'Total Duration Tables Sup #2'!I100</f>
        <v>11.404204993864143</v>
      </c>
      <c r="J54" s="44">
        <f ca="1">'Total Duration Tables Sup #2'!J100</f>
        <v>11.875668243286478</v>
      </c>
      <c r="K54" s="45">
        <f ca="1">'Total Duration Tables Sup #2'!K100</f>
        <v>12.369625648474756</v>
      </c>
    </row>
    <row r="55" spans="1:11" ht="15.75" x14ac:dyDescent="0.25">
      <c r="A55" s="38" t="s">
        <v>61</v>
      </c>
      <c r="B55" s="39"/>
      <c r="C55" s="40"/>
      <c r="D55" s="40"/>
      <c r="E55" s="40"/>
      <c r="F55" s="40"/>
      <c r="G55" s="40"/>
      <c r="H55" s="40"/>
      <c r="I55" s="40"/>
      <c r="J55" s="40"/>
      <c r="K55" s="41"/>
    </row>
    <row r="56" spans="1:11" ht="15.75" x14ac:dyDescent="0.25">
      <c r="A56" s="42" t="s">
        <v>62</v>
      </c>
      <c r="B56" s="46">
        <v>0.05</v>
      </c>
      <c r="C56" s="21">
        <v>0.05</v>
      </c>
      <c r="D56" s="21">
        <v>0.05</v>
      </c>
      <c r="E56" s="21">
        <v>0.05</v>
      </c>
      <c r="F56" s="21">
        <v>0.05</v>
      </c>
      <c r="G56" s="21">
        <v>0.05</v>
      </c>
      <c r="H56" s="21">
        <v>0.05</v>
      </c>
      <c r="I56" s="21">
        <v>0.05</v>
      </c>
      <c r="J56" s="21">
        <v>0.05</v>
      </c>
      <c r="K56" s="22">
        <v>0.05</v>
      </c>
    </row>
    <row r="57" spans="1:11" ht="15.75" x14ac:dyDescent="0.25">
      <c r="A57" s="42" t="s">
        <v>63</v>
      </c>
      <c r="B57" s="46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2">
        <v>0</v>
      </c>
    </row>
    <row r="58" spans="1:11" ht="15.75" x14ac:dyDescent="0.25">
      <c r="A58" s="42" t="s">
        <v>64</v>
      </c>
      <c r="B58" s="46">
        <v>0.4</v>
      </c>
      <c r="C58" s="21">
        <v>0.4</v>
      </c>
      <c r="D58" s="21">
        <v>0.4</v>
      </c>
      <c r="E58" s="21">
        <v>0.4</v>
      </c>
      <c r="F58" s="21">
        <v>0.4</v>
      </c>
      <c r="G58" s="21">
        <v>0.4</v>
      </c>
      <c r="H58" s="21">
        <v>0.4</v>
      </c>
      <c r="I58" s="21">
        <v>0.4</v>
      </c>
      <c r="J58" s="21">
        <v>0.4</v>
      </c>
      <c r="K58" s="22">
        <v>0.4</v>
      </c>
    </row>
    <row r="59" spans="1:11" ht="16.5" thickBot="1" x14ac:dyDescent="0.3">
      <c r="A59" s="43" t="s">
        <v>65</v>
      </c>
      <c r="B59" s="57">
        <v>0.4</v>
      </c>
      <c r="C59" s="26">
        <v>0.4</v>
      </c>
      <c r="D59" s="26">
        <v>0.4</v>
      </c>
      <c r="E59" s="26">
        <v>0.4</v>
      </c>
      <c r="F59" s="26">
        <v>0.4</v>
      </c>
      <c r="G59" s="26">
        <v>0.4</v>
      </c>
      <c r="H59" s="26">
        <v>0.4</v>
      </c>
      <c r="I59" s="26">
        <v>0.4</v>
      </c>
      <c r="J59" s="26">
        <v>0.4</v>
      </c>
      <c r="K59" s="27">
        <v>0.4</v>
      </c>
    </row>
    <row r="60" spans="1:11" ht="13.5" thickTop="1" x14ac:dyDescent="0.2"/>
  </sheetData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168"/>
  <sheetViews>
    <sheetView tabSelected="1" topLeftCell="A106" zoomScaleNormal="100" workbookViewId="0">
      <selection activeCell="K24" sqref="K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11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  <c r="B4" s="4">
        <f ca="1">SUM(B5:B14)</f>
        <v>166.40069163299998</v>
      </c>
      <c r="C4" s="4">
        <f t="shared" ref="C4:H4" ca="1" si="0">SUM(C5:C14)</f>
        <v>178.53444912416751</v>
      </c>
      <c r="D4" s="4">
        <f t="shared" ca="1" si="0"/>
        <v>185.91504651683294</v>
      </c>
      <c r="E4" s="4">
        <f t="shared" ca="1" si="0"/>
        <v>191.80743225643008</v>
      </c>
      <c r="F4" s="4">
        <f t="shared" ca="1" si="0"/>
        <v>196.32021350403491</v>
      </c>
      <c r="G4" s="4">
        <f t="shared" ca="1" si="0"/>
        <v>198.94664314194759</v>
      </c>
      <c r="H4" s="4">
        <f t="shared" ca="1" si="0"/>
        <v>200.35954825141206</v>
      </c>
      <c r="I4" s="1">
        <f t="shared" ref="I4:K4" ca="1" si="1">SUM(I5:I14)</f>
        <v>203.12585681291628</v>
      </c>
      <c r="J4" s="1">
        <f t="shared" ca="1" si="1"/>
        <v>205.35778131171708</v>
      </c>
      <c r="K4" s="1">
        <f t="shared" ca="1" si="1"/>
        <v>207.25326683321552</v>
      </c>
    </row>
    <row r="5" spans="1:11" x14ac:dyDescent="0.2">
      <c r="A5" t="str">
        <f ca="1">OFFSET(Northland_Reference,0,2)</f>
        <v>Pedestrian</v>
      </c>
      <c r="B5" s="4">
        <f ca="1">'Total Trip Tables Sup #2'!B5</f>
        <v>23.706864376999999</v>
      </c>
      <c r="C5" s="4">
        <f ca="1">'Total Trip Tables Sup #2'!C5</f>
        <v>25.28007157418369</v>
      </c>
      <c r="D5" s="4">
        <f ca="1">'Total Trip Tables Sup #2'!D5</f>
        <v>27.159507870317302</v>
      </c>
      <c r="E5" s="4">
        <f ca="1">'Total Trip Tables Sup #2'!E5</f>
        <v>28.626659482793105</v>
      </c>
      <c r="F5" s="4">
        <f ca="1">'Total Trip Tables Sup #2'!F5</f>
        <v>29.787691068408215</v>
      </c>
      <c r="G5" s="4">
        <f ca="1">'Total Trip Tables Sup #2'!G5</f>
        <v>30.768158420126909</v>
      </c>
      <c r="H5" s="4">
        <f ca="1">'Total Trip Tables Sup #2'!H5</f>
        <v>31.575799847981834</v>
      </c>
      <c r="I5" s="1">
        <f ca="1">'Total Trip Tables Sup #2'!I5</f>
        <v>31.981246335656497</v>
      </c>
      <c r="J5" s="1">
        <f ca="1">'Total Trip Tables Sup #2'!J5</f>
        <v>32.302334072291913</v>
      </c>
      <c r="K5" s="1">
        <f ca="1">'Total Trip Tables Sup #2'!K5</f>
        <v>32.570412449233842</v>
      </c>
    </row>
    <row r="6" spans="1:11" x14ac:dyDescent="0.2">
      <c r="A6" t="str">
        <f ca="1">OFFSET(Northland_Reference,7,2)</f>
        <v>Cyclist</v>
      </c>
      <c r="B6" s="4">
        <f ca="1">'Total Trip Tables Sup #2'!B6</f>
        <v>0.66592947719999995</v>
      </c>
      <c r="C6" s="4">
        <f ca="1">'Total Trip Tables Sup #2'!C6</f>
        <v>0.71010479276696237</v>
      </c>
      <c r="D6" s="4">
        <f ca="1">'Total Trip Tables Sup #2'!D6</f>
        <v>0.87475075874841102</v>
      </c>
      <c r="E6" s="4">
        <f ca="1">'Total Trip Tables Sup #2'!E6</f>
        <v>1.0270210501590318</v>
      </c>
      <c r="F6" s="4">
        <f ca="1">'Total Trip Tables Sup #2'!F6</f>
        <v>1.1775122294303728</v>
      </c>
      <c r="G6" s="4">
        <f ca="1">'Total Trip Tables Sup #2'!G6</f>
        <v>1.3254053138440185</v>
      </c>
      <c r="H6" s="4">
        <f ca="1">'Total Trip Tables Sup #2'!H6</f>
        <v>1.4696313111315831</v>
      </c>
      <c r="I6" s="1">
        <f ca="1">'Total Trip Tables Sup #2'!I6</f>
        <v>1.4905465366555382</v>
      </c>
      <c r="J6" s="1">
        <f ca="1">'Total Trip Tables Sup #2'!J6</f>
        <v>1.5075810357298969</v>
      </c>
      <c r="K6" s="1">
        <f ca="1">'Total Trip Tables Sup #2'!K6</f>
        <v>1.5221851871990155</v>
      </c>
    </row>
    <row r="7" spans="1:11" x14ac:dyDescent="0.2">
      <c r="A7" t="str">
        <f ca="1">OFFSET(Northland_Reference,14,2)</f>
        <v>Light Vehicle Driver</v>
      </c>
      <c r="B7" s="4">
        <f ca="1">'Total Trip Tables Sup #2'!B7</f>
        <v>86.333691700000003</v>
      </c>
      <c r="C7" s="4">
        <f ca="1">'Total Trip Tables Sup #2'!C7*(1-'Other Assumptions'!G6)</f>
        <v>94.467058616822868</v>
      </c>
      <c r="D7" s="4">
        <f ca="1">'Total Trip Tables Sup #2'!D7*(1-'Other Assumptions'!H6)</f>
        <v>98.909612107016329</v>
      </c>
      <c r="E7" s="4">
        <f ca="1">'Total Trip Tables Sup #2'!E7*(1-'Other Assumptions'!I6)</f>
        <v>92.480672998877452</v>
      </c>
      <c r="F7" s="4">
        <f ca="1">'Total Trip Tables Sup #2'!F7*(1-'Other Assumptions'!J6)</f>
        <v>84.711528659843381</v>
      </c>
      <c r="G7" s="4">
        <f ca="1">'Total Trip Tables Sup #2'!G7*(1-'Other Assumptions'!K6)</f>
        <v>75.417865595478972</v>
      </c>
      <c r="H7" s="4">
        <f ca="1">'Total Trip Tables Sup #2'!H7*(1-'Other Assumptions'!L6)</f>
        <v>65.361650444502061</v>
      </c>
      <c r="I7" s="1">
        <f ca="1">'Total Trip Tables Sup #2'!I7*(1-'Other Assumptions'!M6)</f>
        <v>55.225412339555774</v>
      </c>
      <c r="J7" s="1">
        <f ca="1">'Total Trip Tables Sup #2'!J7*(1-'Other Assumptions'!N6)</f>
        <v>44.67001843587591</v>
      </c>
      <c r="K7" s="1">
        <f ca="1">'Total Trip Tables Sup #2'!K7*(1-'Other Assumptions'!O6)</f>
        <v>33.814898076819858</v>
      </c>
    </row>
    <row r="8" spans="1:11" x14ac:dyDescent="0.2">
      <c r="A8" t="str">
        <f ca="1">OFFSET(Northland_Reference,21,2)</f>
        <v>Light Vehicle Passenger</v>
      </c>
      <c r="B8" s="4">
        <f ca="1">'Total Trip Tables Sup #2'!B8</f>
        <v>50.299563868000014</v>
      </c>
      <c r="C8" s="4">
        <f ca="1">'Total Trip Tables Sup #2'!C8*(1-'Other Assumptions'!G6)</f>
        <v>52.523312322395199</v>
      </c>
      <c r="D8" s="4">
        <f ca="1">'Total Trip Tables Sup #2'!D8*(1-'Other Assumptions'!H6)</f>
        <v>53.358457726966968</v>
      </c>
      <c r="E8" s="4">
        <f ca="1">'Total Trip Tables Sup #2'!E8*(1-'Other Assumptions'!I6)</f>
        <v>48.355235578832641</v>
      </c>
      <c r="F8" s="4">
        <f ca="1">'Total Trip Tables Sup #2'!F8*(1-'Other Assumptions'!J6)</f>
        <v>43.052067232612409</v>
      </c>
      <c r="G8" s="4">
        <f ca="1">'Total Trip Tables Sup #2'!G8*(1-'Other Assumptions'!K6)</f>
        <v>37.45322009024342</v>
      </c>
      <c r="H8" s="4">
        <f ca="1">'Total Trip Tables Sup #2'!H8*(1-'Other Assumptions'!L6)</f>
        <v>31.710840140090923</v>
      </c>
      <c r="I8" s="1">
        <f ca="1">'Total Trip Tables Sup #2'!I8*(1-'Other Assumptions'!M6)</f>
        <v>26.797088057388379</v>
      </c>
      <c r="J8" s="1">
        <f ca="1">'Total Trip Tables Sup #2'!J8*(1-'Other Assumptions'!N6)</f>
        <v>21.678402806312178</v>
      </c>
      <c r="K8" s="1">
        <f ca="1">'Total Trip Tables Sup #2'!K8*(1-'Other Assumptions'!O6)</f>
        <v>16.412710983518931</v>
      </c>
    </row>
    <row r="9" spans="1:11" x14ac:dyDescent="0.2">
      <c r="A9" t="str">
        <f ca="1">OFFSET(Northland_Reference,28,2)</f>
        <v>Taxi/Vehicle Share</v>
      </c>
      <c r="B9" s="4">
        <f ca="1">'Total Trip Tables Sup #2'!B9</f>
        <v>0.18126348840000001</v>
      </c>
      <c r="C9" s="4">
        <f ca="1">'Total Trip Tables Sup #2'!C9+((C7+C8)*'Other Assumptions'!G6/(1-'Other Assumptions'!G6))</f>
        <v>0.20708241329203658</v>
      </c>
      <c r="D9" s="4">
        <f ca="1">'Total Trip Tables Sup #2'!D9+((D7+D8)*'Other Assumptions'!H6/(1-'Other Assumptions'!H6))</f>
        <v>0.22505605381098495</v>
      </c>
      <c r="E9" s="4">
        <f ca="1">'Total Trip Tables Sup #2'!E9+((E7+E8)*'Other Assumptions'!I6/(1-'Other Assumptions'!I6))</f>
        <v>15.886540852734948</v>
      </c>
      <c r="F9" s="4">
        <f ca="1">'Total Trip Tables Sup #2'!F9+((F7+F8)*'Other Assumptions'!J6/(1-'Other Assumptions'!J6))</f>
        <v>32.188975722579485</v>
      </c>
      <c r="G9" s="4">
        <f ca="1">'Total Trip Tables Sup #2'!G9+((G7+G8)*'Other Assumptions'!K6/(1-'Other Assumptions'!K6))</f>
        <v>48.627237898107509</v>
      </c>
      <c r="H9" s="4">
        <f ca="1">'Total Trip Tables Sup #2'!H9+((H7+H8)*'Other Assumptions'!L6/(1-'Other Assumptions'!L6))</f>
        <v>64.973548082030348</v>
      </c>
      <c r="I9" s="1">
        <f ca="1">'Total Trip Tables Sup #2'!I9+((I7+I8)*'Other Assumptions'!M6/(1-'Other Assumptions'!M6))</f>
        <v>82.284241235233495</v>
      </c>
      <c r="J9" s="1">
        <f ca="1">'Total Trip Tables Sup #2'!J9+((J7+J8)*'Other Assumptions'!N6/(1-'Other Assumptions'!N6))</f>
        <v>99.786852205254789</v>
      </c>
      <c r="K9" s="1">
        <f ca="1">'Total Trip Tables Sup #2'!K9+((K7+K8)*'Other Assumptions'!O6/(1-'Other Assumptions'!O6))</f>
        <v>117.46400502215869</v>
      </c>
    </row>
    <row r="10" spans="1:11" x14ac:dyDescent="0.2">
      <c r="A10" t="str">
        <f ca="1">OFFSET(Northland_Reference,35,2)</f>
        <v>Motorcyclist</v>
      </c>
      <c r="B10" s="4">
        <f ca="1">'Total Trip Tables Sup #2'!B10</f>
        <v>1.4141085707000001</v>
      </c>
      <c r="C10" s="4">
        <f ca="1">'Total Trip Tables Sup #2'!C10</f>
        <v>1.5129123824858592</v>
      </c>
      <c r="D10" s="4">
        <f ca="1">'Total Trip Tables Sup #2'!D10</f>
        <v>1.5542462633358842</v>
      </c>
      <c r="E10" s="4">
        <f ca="1">'Total Trip Tables Sup #2'!E10</f>
        <v>1.5819213471590947</v>
      </c>
      <c r="F10" s="4">
        <f ca="1">'Total Trip Tables Sup #2'!F10</f>
        <v>1.5955609366193981</v>
      </c>
      <c r="G10" s="4">
        <f ca="1">'Total Trip Tables Sup #2'!G10</f>
        <v>1.5802326973731082</v>
      </c>
      <c r="H10" s="4">
        <f ca="1">'Total Trip Tables Sup #2'!H10</f>
        <v>1.55247045527243</v>
      </c>
      <c r="I10" s="1">
        <f ca="1">'Total Trip Tables Sup #2'!I10</f>
        <v>1.5780826606269143</v>
      </c>
      <c r="J10" s="1">
        <f ca="1">'Total Trip Tables Sup #2'!J10</f>
        <v>1.5996445767006076</v>
      </c>
      <c r="K10" s="1">
        <f ca="1">'Total Trip Tables Sup #2'!K10</f>
        <v>1.618666269323086</v>
      </c>
    </row>
    <row r="11" spans="1:11" x14ac:dyDescent="0.2">
      <c r="A11" t="str">
        <f ca="1">OFFSET(Auckland_Reference,42,2)</f>
        <v>Local Train</v>
      </c>
      <c r="B11" s="4">
        <f ca="1">'Total Trip Tables Sup #2'!B11</f>
        <v>0</v>
      </c>
      <c r="C11" s="4">
        <f ca="1">'Total Trip Tables Sup #2'!C11</f>
        <v>0</v>
      </c>
      <c r="D11" s="4">
        <f ca="1">'Total Trip Tables Sup #2'!D11</f>
        <v>0</v>
      </c>
      <c r="E11" s="4">
        <f ca="1">'Total Trip Tables Sup #2'!E11</f>
        <v>0</v>
      </c>
      <c r="F11" s="4">
        <f ca="1">'Total Trip Tables Sup #2'!F11</f>
        <v>0</v>
      </c>
      <c r="G11" s="4">
        <f ca="1">'Total Trip Tables Sup #2'!G11</f>
        <v>0</v>
      </c>
      <c r="H11" s="4">
        <f ca="1">'Total Trip Tables Sup #2'!H11</f>
        <v>0</v>
      </c>
      <c r="I11" s="1">
        <f ca="1">'Total Trip Tables Sup #2'!I11</f>
        <v>0</v>
      </c>
      <c r="J11" s="1">
        <f ca="1">'Total Trip Tables Sup #2'!J11</f>
        <v>0</v>
      </c>
      <c r="K11" s="1">
        <f ca="1">'Total Trip Tables Sup #2'!K11</f>
        <v>0</v>
      </c>
    </row>
    <row r="12" spans="1:11" x14ac:dyDescent="0.2">
      <c r="A12" t="str">
        <f ca="1">OFFSET(Northland_Reference,42,2)</f>
        <v>Local Bus</v>
      </c>
      <c r="B12" s="4">
        <f ca="1">'Total Trip Tables Sup #2'!B12</f>
        <v>3.6339219343</v>
      </c>
      <c r="C12" s="4">
        <f ca="1">'Total Trip Tables Sup #2'!C12</f>
        <v>3.6538672087138879</v>
      </c>
      <c r="D12" s="4">
        <f ca="1">'Total Trip Tables Sup #2'!D12</f>
        <v>3.642083367388592</v>
      </c>
      <c r="E12" s="4">
        <f ca="1">'Total Trip Tables Sup #2'!E12</f>
        <v>3.6505199866533364</v>
      </c>
      <c r="F12" s="4">
        <f ca="1">'Total Trip Tables Sup #2'!F12</f>
        <v>3.6028842110644725</v>
      </c>
      <c r="G12" s="4">
        <f ca="1">'Total Trip Tables Sup #2'!G12</f>
        <v>3.565622053862346</v>
      </c>
      <c r="H12" s="4">
        <f ca="1">'Total Trip Tables Sup #2'!H12</f>
        <v>3.5046789879360269</v>
      </c>
      <c r="I12" s="1">
        <f ca="1">'Total Trip Tables Sup #2'!I12</f>
        <v>3.5553632897537324</v>
      </c>
      <c r="J12" s="1">
        <f ca="1">'Total Trip Tables Sup #2'!J12</f>
        <v>3.5966740375657453</v>
      </c>
      <c r="K12" s="1">
        <f ca="1">'Total Trip Tables Sup #2'!K12</f>
        <v>3.6320580318501716</v>
      </c>
    </row>
    <row r="13" spans="1:11" x14ac:dyDescent="0.2">
      <c r="A13" t="str">
        <f ca="1">OFFSET(Northland_Reference,49,2)</f>
        <v>Local Ferry</v>
      </c>
      <c r="B13" s="4">
        <f ca="1">'Total Trip Tables Sup #2'!B13</f>
        <v>4.69171767E-2</v>
      </c>
      <c r="C13" s="4">
        <f ca="1">'Total Trip Tables Sup #2'!C13</f>
        <v>5.2098539013833545E-2</v>
      </c>
      <c r="D13" s="4">
        <f ca="1">'Total Trip Tables Sup #2'!D13</f>
        <v>5.5488081882362247E-2</v>
      </c>
      <c r="E13" s="4">
        <f ca="1">'Total Trip Tables Sup #2'!E13</f>
        <v>5.7055812127634324E-2</v>
      </c>
      <c r="F13" s="4">
        <f ca="1">'Total Trip Tables Sup #2'!F13</f>
        <v>5.7716117226480561E-2</v>
      </c>
      <c r="G13" s="4">
        <f ca="1">'Total Trip Tables Sup #2'!G13</f>
        <v>5.9455404604353126E-2</v>
      </c>
      <c r="H13" s="4">
        <f ca="1">'Total Trip Tables Sup #2'!H13</f>
        <v>6.0608684402115594E-2</v>
      </c>
      <c r="I13" s="1">
        <f ca="1">'Total Trip Tables Sup #2'!I13</f>
        <v>6.0996590199787197E-2</v>
      </c>
      <c r="J13" s="1">
        <f ca="1">'Total Trip Tables Sup #2'!J13</f>
        <v>6.1220532200123814E-2</v>
      </c>
      <c r="K13" s="1">
        <f ca="1">'Total Trip Tables Sup #2'!K13</f>
        <v>6.1342824672288347E-2</v>
      </c>
    </row>
    <row r="14" spans="1:11" x14ac:dyDescent="0.2">
      <c r="A14" t="str">
        <f ca="1">OFFSET(Northland_Reference,56,2)</f>
        <v>Other Household Travel</v>
      </c>
      <c r="B14" s="4">
        <f ca="1">'Total Trip Tables Sup #2'!B14</f>
        <v>0.1184310407</v>
      </c>
      <c r="C14" s="4">
        <f ca="1">'Total Trip Tables Sup #2'!C14</f>
        <v>0.12794127449319642</v>
      </c>
      <c r="D14" s="4">
        <f ca="1">'Total Trip Tables Sup #2'!D14</f>
        <v>0.1358442873660875</v>
      </c>
      <c r="E14" s="4">
        <f ca="1">'Total Trip Tables Sup #2'!E14</f>
        <v>0.14180514709283717</v>
      </c>
      <c r="F14" s="4">
        <f ca="1">'Total Trip Tables Sup #2'!F14</f>
        <v>0.14627732625070003</v>
      </c>
      <c r="G14" s="4">
        <f ca="1">'Total Trip Tables Sup #2'!G14</f>
        <v>0.14944566830691408</v>
      </c>
      <c r="H14" s="4">
        <f ca="1">'Total Trip Tables Sup #2'!H14</f>
        <v>0.15032029806475228</v>
      </c>
      <c r="I14" s="1">
        <f ca="1">'Total Trip Tables Sup #2'!I14</f>
        <v>0.15287976784618584</v>
      </c>
      <c r="J14" s="1">
        <f ca="1">'Total Trip Tables Sup #2'!J14</f>
        <v>0.15505360978594726</v>
      </c>
      <c r="K14" s="1">
        <f ca="1">'Total Trip Tables Sup #2'!K14</f>
        <v>0.1569879884396321</v>
      </c>
    </row>
    <row r="15" spans="1:11" x14ac:dyDescent="0.2">
      <c r="A15" t="str">
        <f ca="1">OFFSET(Auckland_Reference,0,0)</f>
        <v>02 AUCKLAND</v>
      </c>
      <c r="B15" s="4">
        <f ca="1">SUM(B16:B25)</f>
        <v>1882.0466248072</v>
      </c>
      <c r="C15" s="4">
        <f t="shared" ref="C15" ca="1" si="2">SUM(C16:C25)</f>
        <v>2077.5113272311396</v>
      </c>
      <c r="D15" s="4">
        <f t="shared" ref="D15" ca="1" si="3">SUM(D16:D25)</f>
        <v>2217.6600354341658</v>
      </c>
      <c r="E15" s="4">
        <f t="shared" ref="E15" ca="1" si="4">SUM(E16:E25)</f>
        <v>2330.3722975502747</v>
      </c>
      <c r="F15" s="4">
        <f t="shared" ref="F15" ca="1" si="5">SUM(F16:F25)</f>
        <v>2426.8754219365305</v>
      </c>
      <c r="G15" s="4">
        <f t="shared" ref="G15" ca="1" si="6">SUM(G16:G25)</f>
        <v>2501.889814340846</v>
      </c>
      <c r="H15" s="4">
        <f t="shared" ref="H15:K15" ca="1" si="7">SUM(H16:H25)</f>
        <v>2564.9788691346826</v>
      </c>
      <c r="I15" s="1">
        <f t="shared" ca="1" si="7"/>
        <v>2649.5472718562651</v>
      </c>
      <c r="J15" s="1">
        <f t="shared" ca="1" si="7"/>
        <v>2728.7390081367707</v>
      </c>
      <c r="K15" s="1">
        <f t="shared" ca="1" si="7"/>
        <v>2804.8556867691082</v>
      </c>
    </row>
    <row r="16" spans="1:11" x14ac:dyDescent="0.2">
      <c r="A16" t="str">
        <f ca="1">OFFSET(Auckland_Reference,0,2)</f>
        <v>Pedestrian</v>
      </c>
      <c r="B16" s="4">
        <f ca="1">'Total Trip Tables Sup #2'!B16</f>
        <v>324.81096006000001</v>
      </c>
      <c r="C16" s="4">
        <f ca="1">'Total Trip Tables Sup #2'!C16+'Total Trip Tables Sup #2'!C18*'Other Assumptions'!G66*'Other Assumptions'!G73+'Total Trip Tables Sup #2'!C19*'Other Assumptions'!G66*'Other Assumptions'!G73</f>
        <v>354.62595394608798</v>
      </c>
      <c r="D16" s="4">
        <f ca="1">'Total Trip Tables Sup #2'!D16+'Total Trip Tables Sup #2'!D18*'Other Assumptions'!H66*'Other Assumptions'!H73+'Total Trip Tables Sup #2'!D19*'Other Assumptions'!H66*'Other Assumptions'!H73</f>
        <v>388.86562097932551</v>
      </c>
      <c r="E16" s="4">
        <f ca="1">'Total Trip Tables Sup #2'!E16+'Total Trip Tables Sup #2'!E18*'Other Assumptions'!I66*'Other Assumptions'!I73+'Total Trip Tables Sup #2'!E19*'Other Assumptions'!I66*'Other Assumptions'!I73</f>
        <v>416.53503394202818</v>
      </c>
      <c r="F16" s="4">
        <f ca="1">'Total Trip Tables Sup #2'!F16+'Total Trip Tables Sup #2'!F18*'Other Assumptions'!J66*'Other Assumptions'!J73+'Total Trip Tables Sup #2'!F19*'Other Assumptions'!J66*'Other Assumptions'!J73</f>
        <v>441.03044044475257</v>
      </c>
      <c r="G16" s="4">
        <f ca="1">'Total Trip Tables Sup #2'!G16+'Total Trip Tables Sup #2'!G18*'Other Assumptions'!K66*'Other Assumptions'!K73+'Total Trip Tables Sup #2'!G19*'Other Assumptions'!K66*'Other Assumptions'!K73</f>
        <v>463.57196981598833</v>
      </c>
      <c r="H16" s="4">
        <f ca="1">'Total Trip Tables Sup #2'!H16+'Total Trip Tables Sup #2'!H18*'Other Assumptions'!L66*'Other Assumptions'!L73+'Total Trip Tables Sup #2'!H19*'Other Assumptions'!L66*'Other Assumptions'!L73</f>
        <v>484.57564684073463</v>
      </c>
      <c r="I16" s="1">
        <f ca="1">'Total Trip Tables Sup #2'!I16+'Total Trip Tables Sup #2'!I18*'Other Assumptions'!M66*'Other Assumptions'!M73+'Total Trip Tables Sup #2'!I19*'Other Assumptions'!M66*'Other Assumptions'!M73</f>
        <v>499.87767006557868</v>
      </c>
      <c r="J16" s="1">
        <f ca="1">'Total Trip Tables Sup #2'!J16+'Total Trip Tables Sup #2'!J18*'Other Assumptions'!N66*'Other Assumptions'!N73+'Total Trip Tables Sup #2'!J19*'Other Assumptions'!N66*'Other Assumptions'!N73</f>
        <v>514.12932301855699</v>
      </c>
      <c r="K16" s="1">
        <f ca="1">'Total Trip Tables Sup #2'!K16+'Total Trip Tables Sup #2'!K18*'Other Assumptions'!O66*'Other Assumptions'!O73+'Total Trip Tables Sup #2'!K19*'Other Assumptions'!O66*'Other Assumptions'!O73</f>
        <v>527.75075507094573</v>
      </c>
    </row>
    <row r="17" spans="1:11" x14ac:dyDescent="0.2">
      <c r="A17" t="str">
        <f ca="1">OFFSET(Auckland_Reference,7,2)</f>
        <v>Cyclist</v>
      </c>
      <c r="B17" s="4">
        <f ca="1">'Total Trip Tables Sup #2'!B17</f>
        <v>7.0506319707999996</v>
      </c>
      <c r="C17" s="4">
        <f ca="1">'Total Trip Tables Sup #2'!C17+'Total Trip Tables Sup #2'!C18*'Other Assumptions'!G66*'Other Assumptions'!G72+'Total Trip Tables Sup #2'!C19*'Other Assumptions'!G66*'Other Assumptions'!G72</f>
        <v>7.7040253583442011</v>
      </c>
      <c r="D17" s="4">
        <f ca="1">'Total Trip Tables Sup #2'!D17+'Total Trip Tables Sup #2'!D18*'Other Assumptions'!H66*'Other Assumptions'!H72+'Total Trip Tables Sup #2'!D19*'Other Assumptions'!H66*'Other Assumptions'!H72</f>
        <v>9.6919534512520347</v>
      </c>
      <c r="E17" s="4">
        <f ca="1">'Total Trip Tables Sup #2'!E17+'Total Trip Tables Sup #2'!E18*'Other Assumptions'!I66*'Other Assumptions'!I72+'Total Trip Tables Sup #2'!E19*'Other Assumptions'!I66*'Other Assumptions'!I72</f>
        <v>11.568840245479468</v>
      </c>
      <c r="F17" s="4">
        <f ca="1">'Total Trip Tables Sup #2'!F17+'Total Trip Tables Sup #2'!F18*'Other Assumptions'!J66*'Other Assumptions'!J72+'Total Trip Tables Sup #2'!F19*'Other Assumptions'!J66*'Other Assumptions'!J72</f>
        <v>13.50337478820596</v>
      </c>
      <c r="G17" s="4">
        <f ca="1">'Total Trip Tables Sup #2'!G17+'Total Trip Tables Sup #2'!G18*'Other Assumptions'!K66*'Other Assumptions'!K72+'Total Trip Tables Sup #2'!G19*'Other Assumptions'!K66*'Other Assumptions'!K72</f>
        <v>15.474351023143099</v>
      </c>
      <c r="H17" s="4">
        <f ca="1">'Total Trip Tables Sup #2'!H17+'Total Trip Tables Sup #2'!H18*'Other Assumptions'!L66*'Other Assumptions'!L72+'Total Trip Tables Sup #2'!H19*'Other Assumptions'!L66*'Other Assumptions'!L72</f>
        <v>17.485237086348114</v>
      </c>
      <c r="I17" s="1">
        <f ca="1">'Total Trip Tables Sup #2'!I17+'Total Trip Tables Sup #2'!I18*'Other Assumptions'!M66*'Other Assumptions'!M72+'Total Trip Tables Sup #2'!I19*'Other Assumptions'!M66*'Other Assumptions'!M72</f>
        <v>18.069060413020729</v>
      </c>
      <c r="J17" s="1">
        <f ca="1">'Total Trip Tables Sup #2'!J17+'Total Trip Tables Sup #2'!J18*'Other Assumptions'!N66*'Other Assumptions'!N72+'Total Trip Tables Sup #2'!J19*'Other Assumptions'!N66*'Other Assumptions'!N72</f>
        <v>18.617433464589244</v>
      </c>
      <c r="K17" s="1">
        <f ca="1">'Total Trip Tables Sup #2'!K17+'Total Trip Tables Sup #2'!K18*'Other Assumptions'!O66*'Other Assumptions'!O72+'Total Trip Tables Sup #2'!K19*'Other Assumptions'!O66*'Other Assumptions'!O72</f>
        <v>19.145767591228935</v>
      </c>
    </row>
    <row r="18" spans="1:11" x14ac:dyDescent="0.2">
      <c r="A18" t="str">
        <f ca="1">OFFSET(Auckland_Reference,14,2)</f>
        <v>Light Vehicle Driver</v>
      </c>
      <c r="B18" s="4">
        <f ca="1">'Total Trip Tables Sup #2'!B18</f>
        <v>981.24355252999999</v>
      </c>
      <c r="C18" s="4">
        <f ca="1">'Total Trip Tables Sup #2'!C18*(1-'Other Assumptions'!G7)*(1-'Other Assumptions'!G66)</f>
        <v>1094.9224163777762</v>
      </c>
      <c r="D18" s="4">
        <f ca="1">'Total Trip Tables Sup #2'!D18*(1-'Other Assumptions'!H7)*(1-'Other Assumptions'!H66)</f>
        <v>1164.4661264923914</v>
      </c>
      <c r="E18" s="4">
        <f ca="1">'Total Trip Tables Sup #2'!E18*(1-'Other Assumptions'!I7)*(1-'Other Assumptions'!I66)</f>
        <v>1101.7750627692367</v>
      </c>
      <c r="F18" s="4">
        <f ca="1">'Total Trip Tables Sup #2'!F18*(1-'Other Assumptions'!J7)*(1-'Other Assumptions'!J66)</f>
        <v>1024.3806784746916</v>
      </c>
      <c r="G18" s="4">
        <f ca="1">'Total Trip Tables Sup #2'!G18*(1-'Other Assumptions'!K7)*(1-'Other Assumptions'!K66)</f>
        <v>925.70140608001088</v>
      </c>
      <c r="H18" s="4">
        <f ca="1">'Total Trip Tables Sup #2'!H18*(1-'Other Assumptions'!L7)*(1-'Other Assumptions'!L66)</f>
        <v>815.05432841621143</v>
      </c>
      <c r="I18" s="1">
        <f ca="1">'Total Trip Tables Sup #2'!I18*(1-'Other Assumptions'!M7)*(1-'Other Assumptions'!M66)</f>
        <v>700.20376971873611</v>
      </c>
      <c r="J18" s="1">
        <f ca="1">'Total Trip Tables Sup #2'!J18*(1-'Other Assumptions'!N7)*(1-'Other Assumptions'!N66)</f>
        <v>575.68189375680947</v>
      </c>
      <c r="K18" s="1">
        <f ca="1">'Total Trip Tables Sup #2'!K18*(1-'Other Assumptions'!O7)*(1-'Other Assumptions'!O66)</f>
        <v>442.75820431284131</v>
      </c>
    </row>
    <row r="19" spans="1:11" x14ac:dyDescent="0.2">
      <c r="A19" t="str">
        <f ca="1">OFFSET(Auckland_Reference,21,2)</f>
        <v>Light Vehicle Passenger</v>
      </c>
      <c r="B19" s="4">
        <f ca="1">'Total Trip Tables Sup #2'!B19</f>
        <v>488.06073575000011</v>
      </c>
      <c r="C19" s="4">
        <f ca="1">'Total Trip Tables Sup #2'!C19*(1-'Other Assumptions'!G7)*(1-'Other Assumptions'!G66+'Other Assumptions'!G66*'Other Assumptions'!G69)+'Total Trip Tables Sup #2'!C18*(1-'Other Assumptions'!G7)*'Other Assumptions'!G66*'Other Assumptions'!G69</f>
        <v>516.94507992248896</v>
      </c>
      <c r="D19" s="4">
        <f ca="1">'Total Trip Tables Sup #2'!D19*(1-'Other Assumptions'!H7)*(1-'Other Assumptions'!H66+'Other Assumptions'!H66*'Other Assumptions'!H69)+'Total Trip Tables Sup #2'!D18*(1-'Other Assumptions'!H7)*'Other Assumptions'!H66*'Other Assumptions'!H69</f>
        <v>529.33028922819574</v>
      </c>
      <c r="E19" s="4">
        <f ca="1">'Total Trip Tables Sup #2'!E19*(1-'Other Assumptions'!I7)*(1-'Other Assumptions'!I66+'Other Assumptions'!I66*'Other Assumptions'!I69)+'Total Trip Tables Sup #2'!E18*(1-'Other Assumptions'!I7)*'Other Assumptions'!I66*'Other Assumptions'!I69</f>
        <v>481.70238214030837</v>
      </c>
      <c r="F19" s="4">
        <f ca="1">'Total Trip Tables Sup #2'!F19*(1-'Other Assumptions'!J7)*(1-'Other Assumptions'!J66+'Other Assumptions'!J66*'Other Assumptions'!J69)+'Total Trip Tables Sup #2'!F18*(1-'Other Assumptions'!J7)*'Other Assumptions'!J66*'Other Assumptions'!J69</f>
        <v>432.69650943698798</v>
      </c>
      <c r="G19" s="4">
        <f ca="1">'Total Trip Tables Sup #2'!G19*(1-'Other Assumptions'!K7)*(1-'Other Assumptions'!K66+'Other Assumptions'!K66*'Other Assumptions'!K69)+'Total Trip Tables Sup #2'!G18*(1-'Other Assumptions'!K7)*'Other Assumptions'!K66*'Other Assumptions'!K69</f>
        <v>379.66696709296554</v>
      </c>
      <c r="H19" s="4">
        <f ca="1">'Total Trip Tables Sup #2'!H19*(1-'Other Assumptions'!L7)*(1-'Other Assumptions'!L66+'Other Assumptions'!L66*'Other Assumptions'!L69)+'Total Trip Tables Sup #2'!H18*(1-'Other Assumptions'!L7)*'Other Assumptions'!L66*'Other Assumptions'!L69</f>
        <v>324.33752148596051</v>
      </c>
      <c r="I19" s="1">
        <f ca="1">'Total Trip Tables Sup #2'!I19*(1-'Other Assumptions'!M7)*(1-'Other Assumptions'!M66+'Other Assumptions'!M66*'Other Assumptions'!M69)+'Total Trip Tables Sup #2'!I18*(1-'Other Assumptions'!M7)*'Other Assumptions'!M66*'Other Assumptions'!M69</f>
        <v>277.80032589327914</v>
      </c>
      <c r="J19" s="1">
        <f ca="1">'Total Trip Tables Sup #2'!J19*(1-'Other Assumptions'!N7)*(1-'Other Assumptions'!N66+'Other Assumptions'!N66*'Other Assumptions'!N69)+'Total Trip Tables Sup #2'!J18*(1-'Other Assumptions'!N7)*'Other Assumptions'!N66*'Other Assumptions'!N69</f>
        <v>227.65854596811019</v>
      </c>
      <c r="K19" s="1">
        <f ca="1">'Total Trip Tables Sup #2'!K19*(1-'Other Assumptions'!O7)*(1-'Other Assumptions'!O66+'Other Assumptions'!O66*'Other Assumptions'!O69)+'Total Trip Tables Sup #2'!K18*(1-'Other Assumptions'!O7)*'Other Assumptions'!O66*'Other Assumptions'!O69</f>
        <v>174.45729212546942</v>
      </c>
    </row>
    <row r="20" spans="1:11" x14ac:dyDescent="0.2">
      <c r="A20" t="str">
        <f ca="1">OFFSET(Auckland_Reference,28,2)</f>
        <v>Taxi/Vehicle Share</v>
      </c>
      <c r="B20" s="4">
        <f ca="1">'Total Trip Tables Sup #2'!B20</f>
        <v>6.0232688673999997</v>
      </c>
      <c r="C20" s="4">
        <f ca="1">'Total Trip Tables Sup #2'!C20+((C18+C19)*'Other Assumptions'!G7/(1-'Other Assumptions'!G7))</f>
        <v>7.0511602771454802</v>
      </c>
      <c r="D20" s="4">
        <f ca="1">'Total Trip Tables Sup #2'!D20+((D18+D19)*'Other Assumptions'!H7/(1-'Other Assumptions'!H7))</f>
        <v>7.8259992266779834</v>
      </c>
      <c r="E20" s="4">
        <f ca="1">'Total Trip Tables Sup #2'!E20+((E18+E19)*'Other Assumptions'!I7/(1-'Other Assumptions'!I7))</f>
        <v>184.35984216208891</v>
      </c>
      <c r="F20" s="4">
        <f ca="1">'Total Trip Tables Sup #2'!F20+((F18+F19)*'Other Assumptions'!J7/(1-'Other Assumptions'!J7))</f>
        <v>373.19793193568933</v>
      </c>
      <c r="G20" s="4">
        <f ca="1">'Total Trip Tables Sup #2'!G20+((G18+G19)*'Other Assumptions'!K7/(1-'Other Assumptions'!K7))</f>
        <v>568.74770185479019</v>
      </c>
      <c r="H20" s="4">
        <f ca="1">'Total Trip Tables Sup #2'!H20+((H18+H19)*'Other Assumptions'!L7/(1-'Other Assumptions'!L7))</f>
        <v>769.24922922904682</v>
      </c>
      <c r="I20" s="1">
        <f ca="1">'Total Trip Tables Sup #2'!I20+((I18+I19)*'Other Assumptions'!M7/(1-'Other Assumptions'!M7))</f>
        <v>987.96235945051706</v>
      </c>
      <c r="J20" s="1">
        <f ca="1">'Total Trip Tables Sup #2'!J20+((J18+J19)*'Other Assumptions'!N7/(1-'Other Assumptions'!N7))</f>
        <v>1215.2513091407809</v>
      </c>
      <c r="K20" s="1">
        <f ca="1">'Total Trip Tables Sup #2'!K20+((K18+K19)*'Other Assumptions'!O7/(1-'Other Assumptions'!O7))</f>
        <v>1450.6798594176228</v>
      </c>
    </row>
    <row r="21" spans="1:11" x14ac:dyDescent="0.2">
      <c r="A21" t="str">
        <f ca="1">OFFSET(Auckland_Reference,35,2)</f>
        <v>Motorcyclist</v>
      </c>
      <c r="B21" s="4">
        <f ca="1">'Total Trip Tables Sup #2'!B21</f>
        <v>4.1170216905999997</v>
      </c>
      <c r="C21" s="4">
        <f ca="1">'Total Trip Tables Sup #2'!C21</f>
        <v>4.5134603444322625</v>
      </c>
      <c r="D21" s="4">
        <f ca="1">'Total Trip Tables Sup #2'!D21</f>
        <v>4.7352991183576636</v>
      </c>
      <c r="E21" s="4">
        <f ca="1">'Total Trip Tables Sup #2'!E21</f>
        <v>4.8999986387630994</v>
      </c>
      <c r="F21" s="4">
        <f ca="1">'Total Trip Tables Sup #2'!F21</f>
        <v>5.0314236228015625</v>
      </c>
      <c r="G21" s="4">
        <f ca="1">'Total Trip Tables Sup #2'!G21</f>
        <v>5.0732396086647666</v>
      </c>
      <c r="H21" s="4">
        <f ca="1">'Total Trip Tables Sup #2'!H21</f>
        <v>5.0791035496185382</v>
      </c>
      <c r="I21" s="1">
        <f ca="1">'Total Trip Tables Sup #2'!I21</f>
        <v>5.2604194162362647</v>
      </c>
      <c r="J21" s="1">
        <f ca="1">'Total Trip Tables Sup #2'!J21</f>
        <v>5.4320434683579171</v>
      </c>
      <c r="K21" s="1">
        <f ca="1">'Total Trip Tables Sup #2'!K21</f>
        <v>5.5983906785010937</v>
      </c>
    </row>
    <row r="22" spans="1:11" x14ac:dyDescent="0.2">
      <c r="A22" t="str">
        <f ca="1">OFFSET(Auckland_Reference,42,2)</f>
        <v>Local Train</v>
      </c>
      <c r="B22" s="4">
        <f ca="1">'Total Trip Tables Sup #2'!B22</f>
        <v>10.038805999999999</v>
      </c>
      <c r="C22" s="4">
        <f ca="1">'Total Trip Tables Sup #2'!C22+'Total Trip Tables Sup #2'!C18*'Other Assumptions'!G66*'Other Assumptions'!G71+'Total Trip Tables Sup #2'!C19*'Other Assumptions'!G66*'Other Assumptions'!G71</f>
        <v>22.03284733780578</v>
      </c>
      <c r="D22" s="4">
        <f ca="1">'Total Trip Tables Sup #2'!D22+'Total Trip Tables Sup #2'!D18*'Other Assumptions'!H66*'Other Assumptions'!H71+'Total Trip Tables Sup #2'!D19*'Other Assumptions'!H66*'Other Assumptions'!H71</f>
        <v>37.104098421184098</v>
      </c>
      <c r="E22" s="4">
        <f ca="1">'Total Trip Tables Sup #2'!E22+'Total Trip Tables Sup #2'!E18*'Other Assumptions'!I66*'Other Assumptions'!I71+'Total Trip Tables Sup #2'!E19*'Other Assumptions'!I66*'Other Assumptions'!I71</f>
        <v>50.732680029228447</v>
      </c>
      <c r="F22" s="4">
        <f ca="1">'Total Trip Tables Sup #2'!F22+'Total Trip Tables Sup #2'!F18*'Other Assumptions'!J66*'Other Assumptions'!J71+'Total Trip Tables Sup #2'!F19*'Other Assumptions'!J66*'Other Assumptions'!J71</f>
        <v>55.79573454376483</v>
      </c>
      <c r="G22" s="4">
        <f ca="1">'Total Trip Tables Sup #2'!G22+'Total Trip Tables Sup #2'!G18*'Other Assumptions'!K66*'Other Assumptions'!K71+'Total Trip Tables Sup #2'!G19*'Other Assumptions'!K66*'Other Assumptions'!K71</f>
        <v>60.481612939156975</v>
      </c>
      <c r="H22" s="4">
        <f ca="1">'Total Trip Tables Sup #2'!H22+'Total Trip Tables Sup #2'!H18*'Other Assumptions'!L66*'Other Assumptions'!L71+'Total Trip Tables Sup #2'!H19*'Other Assumptions'!L66*'Other Assumptions'!L71</f>
        <v>64.727157349204333</v>
      </c>
      <c r="I22" s="1">
        <f ca="1">'Total Trip Tables Sup #2'!I22+'Total Trip Tables Sup #2'!I18*'Other Assumptions'!M66*'Other Assumptions'!M71+'Total Trip Tables Sup #2'!I19*'Other Assumptions'!M66*'Other Assumptions'!M71</f>
        <v>70.704731254743265</v>
      </c>
      <c r="J22" s="1">
        <f ca="1">'Total Trip Tables Sup #2'!J22+'Total Trip Tables Sup #2'!J18*'Other Assumptions'!N66*'Other Assumptions'!N71+'Total Trip Tables Sup #2'!J19*'Other Assumptions'!N66*'Other Assumptions'!N71</f>
        <v>76.961398901852064</v>
      </c>
      <c r="K22" s="1">
        <f ca="1">'Total Trip Tables Sup #2'!K22+'Total Trip Tables Sup #2'!K18*'Other Assumptions'!O66*'Other Assumptions'!O71+'Total Trip Tables Sup #2'!K19*'Other Assumptions'!O66*'Other Assumptions'!O71</f>
        <v>83.7899387338189</v>
      </c>
    </row>
    <row r="23" spans="1:11" x14ac:dyDescent="0.2">
      <c r="A23" t="str">
        <f ca="1">OFFSET(Auckland_Reference,49,2)</f>
        <v>Local Bus</v>
      </c>
      <c r="B23" s="4">
        <f ca="1">'Total Trip Tables Sup #2'!B23</f>
        <v>53.530078000000003</v>
      </c>
      <c r="C23" s="4">
        <f ca="1">'Total Trip Tables Sup #2'!C23+'Total Trip Tables Sup #2'!C18*'Other Assumptions'!G66*'Other Assumptions'!G70+'Total Trip Tables Sup #2'!C19*'Other Assumptions'!G66*'Other Assumptions'!G70</f>
        <v>61.624517005150125</v>
      </c>
      <c r="D23" s="4">
        <f ca="1">'Total Trip Tables Sup #2'!D23+'Total Trip Tables Sup #2'!D18*'Other Assumptions'!H66*'Other Assumptions'!H70+'Total Trip Tables Sup #2'!D19*'Other Assumptions'!H66*'Other Assumptions'!H70</f>
        <v>66.847426174675689</v>
      </c>
      <c r="E23" s="4">
        <f ca="1">'Total Trip Tables Sup #2'!E23+'Total Trip Tables Sup #2'!E18*'Other Assumptions'!I66*'Other Assumptions'!I70+'Total Trip Tables Sup #2'!E19*'Other Assumptions'!I66*'Other Assumptions'!I70</f>
        <v>69.563767239539956</v>
      </c>
      <c r="F23" s="4">
        <f ca="1">'Total Trip Tables Sup #2'!F23+'Total Trip Tables Sup #2'!F18*'Other Assumptions'!J66*'Other Assumptions'!J70+'Total Trip Tables Sup #2'!F19*'Other Assumptions'!J66*'Other Assumptions'!J70</f>
        <v>71.671871356209266</v>
      </c>
      <c r="G23" s="4">
        <f ca="1">'Total Trip Tables Sup #2'!G23+'Total Trip Tables Sup #2'!G18*'Other Assumptions'!K66*'Other Assumptions'!K70+'Total Trip Tables Sup #2'!G19*'Other Assumptions'!K66*'Other Assumptions'!K70</f>
        <v>73.164047926744217</v>
      </c>
      <c r="H23" s="4">
        <f ca="1">'Total Trip Tables Sup #2'!H23+'Total Trip Tables Sup #2'!H18*'Other Assumptions'!L66*'Other Assumptions'!L70+'Total Trip Tables Sup #2'!H19*'Other Assumptions'!L66*'Other Assumptions'!L70</f>
        <v>74.116068053665586</v>
      </c>
      <c r="I23" s="1">
        <f ca="1">'Total Trip Tables Sup #2'!I23+'Total Trip Tables Sup #2'!I18*'Other Assumptions'!M66*'Other Assumptions'!M70+'Total Trip Tables Sup #2'!I19*'Other Assumptions'!M66*'Other Assumptions'!M70</f>
        <v>79.017048199945251</v>
      </c>
      <c r="J23" s="1">
        <f ca="1">'Total Trip Tables Sup #2'!J23+'Total Trip Tables Sup #2'!J18*'Other Assumptions'!N66*'Other Assumptions'!N70+'Total Trip Tables Sup #2'!J19*'Other Assumptions'!N66*'Other Assumptions'!N70</f>
        <v>84.080904013683906</v>
      </c>
      <c r="K23" s="1">
        <f ca="1">'Total Trip Tables Sup #2'!K23+'Total Trip Tables Sup #2'!K18*'Other Assumptions'!O66*'Other Assumptions'!O70+'Total Trip Tables Sup #2'!K19*'Other Assumptions'!O66*'Other Assumptions'!O70</f>
        <v>89.488738393923171</v>
      </c>
    </row>
    <row r="24" spans="1:11" x14ac:dyDescent="0.2">
      <c r="A24" t="str">
        <f ca="1">OFFSET(Auckland_Reference,56,2)</f>
        <v>Local Ferry</v>
      </c>
      <c r="B24" s="4">
        <f ca="1">'Total Trip Tables Sup #2'!B24</f>
        <v>4.957052</v>
      </c>
      <c r="C24" s="4">
        <f ca="1">'Total Trip Tables Sup #2'!C24</f>
        <v>5.6404350470327929</v>
      </c>
      <c r="D24" s="4">
        <f ca="1">'Total Trip Tables Sup #2'!D24</f>
        <v>6.1350555884060851</v>
      </c>
      <c r="E24" s="4">
        <f ca="1">'Total Trip Tables Sup #2'!E24</f>
        <v>6.4136043961802409</v>
      </c>
      <c r="F24" s="4">
        <f ca="1">'Total Trip Tables Sup #2'!F24</f>
        <v>6.604893210879224</v>
      </c>
      <c r="G24" s="4">
        <f ca="1">'Total Trip Tables Sup #2'!G24</f>
        <v>6.9270268933354311</v>
      </c>
      <c r="H24" s="4">
        <f ca="1">'Total Trip Tables Sup #2'!H24</f>
        <v>7.1959772938394666</v>
      </c>
      <c r="I24" s="1">
        <f ca="1">'Total Trip Tables Sup #2'!I24</f>
        <v>7.3788279842046185</v>
      </c>
      <c r="J24" s="1">
        <f ca="1">'Total Trip Tables Sup #2'!J24</f>
        <v>7.5444579695540117</v>
      </c>
      <c r="K24" s="1">
        <f ca="1">'Total Trip Tables Sup #2'!K24</f>
        <v>7.6994705040497822</v>
      </c>
    </row>
    <row r="25" spans="1:11" x14ac:dyDescent="0.2">
      <c r="A25" t="str">
        <f ca="1">OFFSET(Auckland_Reference,63,2)</f>
        <v>Other Household Travel</v>
      </c>
      <c r="B25" s="4">
        <f ca="1">'Total Trip Tables Sup #2'!B25</f>
        <v>2.2145179384000002</v>
      </c>
      <c r="C25" s="4">
        <f ca="1">'Total Trip Tables Sup #2'!C25</f>
        <v>2.4514316148755575</v>
      </c>
      <c r="D25" s="4">
        <f ca="1">'Total Trip Tables Sup #2'!D25</f>
        <v>2.65816675369999</v>
      </c>
      <c r="E25" s="4">
        <f ca="1">'Total Trip Tables Sup #2'!E25</f>
        <v>2.8210859874210987</v>
      </c>
      <c r="F25" s="4">
        <f ca="1">'Total Trip Tables Sup #2'!F25</f>
        <v>2.9625641225485078</v>
      </c>
      <c r="G25" s="4">
        <f ca="1">'Total Trip Tables Sup #2'!G25</f>
        <v>3.0814911060463173</v>
      </c>
      <c r="H25" s="4">
        <f ca="1">'Total Trip Tables Sup #2'!H25</f>
        <v>3.1585998300532832</v>
      </c>
      <c r="I25" s="1">
        <f ca="1">'Total Trip Tables Sup #2'!I25</f>
        <v>3.27305946000399</v>
      </c>
      <c r="J25" s="1">
        <f ca="1">'Total Trip Tables Sup #2'!J25</f>
        <v>3.3816984344760823</v>
      </c>
      <c r="K25" s="1">
        <f ca="1">'Total Trip Tables Sup #2'!K25</f>
        <v>3.4872699407075012</v>
      </c>
    </row>
    <row r="26" spans="1:11" x14ac:dyDescent="0.2">
      <c r="A26" t="str">
        <f ca="1">OFFSET(Waikato_Reference,0,0)</f>
        <v>03 WAIKATO</v>
      </c>
      <c r="B26" s="4">
        <f ca="1">SUM(B27:B36)</f>
        <v>529.4809706353002</v>
      </c>
      <c r="C26" s="4">
        <f t="shared" ref="C26" ca="1" si="8">SUM(C27:C36)</f>
        <v>576.34171962758546</v>
      </c>
      <c r="D26" s="4">
        <f t="shared" ref="D26" ca="1" si="9">SUM(D27:D36)</f>
        <v>603.18088620784431</v>
      </c>
      <c r="E26" s="4">
        <f t="shared" ref="E26" ca="1" si="10">SUM(E27:E36)</f>
        <v>624.84181168720772</v>
      </c>
      <c r="F26" s="4">
        <f t="shared" ref="F26" ca="1" si="11">SUM(F27:F36)</f>
        <v>642.68526425488915</v>
      </c>
      <c r="G26" s="4">
        <f t="shared" ref="G26" ca="1" si="12">SUM(G27:G36)</f>
        <v>654.14070505955021</v>
      </c>
      <c r="H26" s="4">
        <f t="shared" ref="H26:K26" ca="1" si="13">SUM(H27:H36)</f>
        <v>662.13836050128987</v>
      </c>
      <c r="I26" s="1">
        <f t="shared" ca="1" si="13"/>
        <v>673.22139812383989</v>
      </c>
      <c r="J26" s="1">
        <f t="shared" ca="1" si="13"/>
        <v>682.26327810912892</v>
      </c>
      <c r="K26" s="1">
        <f t="shared" ca="1" si="13"/>
        <v>689.89000068324242</v>
      </c>
    </row>
    <row r="27" spans="1:11" x14ac:dyDescent="0.2">
      <c r="A27" t="str">
        <f ca="1">OFFSET(Waikato_Reference,0,2)</f>
        <v>Pedestrian</v>
      </c>
      <c r="B27" s="4">
        <f ca="1">'Total Trip Tables Sup #2'!B27</f>
        <v>68.689195601999998</v>
      </c>
      <c r="C27" s="4">
        <f ca="1">'Total Trip Tables Sup #2'!C27</f>
        <v>74.089677858917369</v>
      </c>
      <c r="D27" s="4">
        <f ca="1">'Total Trip Tables Sup #2'!D27</f>
        <v>79.817461805545719</v>
      </c>
      <c r="E27" s="4">
        <f ca="1">'Total Trip Tables Sup #2'!E27</f>
        <v>84.294547584278888</v>
      </c>
      <c r="F27" s="4">
        <f ca="1">'Total Trip Tables Sup #2'!F27</f>
        <v>87.959190314553823</v>
      </c>
      <c r="G27" s="4">
        <f ca="1">'Total Trip Tables Sup #2'!G27</f>
        <v>91.093776192158259</v>
      </c>
      <c r="H27" s="4">
        <f ca="1">'Total Trip Tables Sup #2'!H27</f>
        <v>93.798336175061081</v>
      </c>
      <c r="I27" s="1">
        <f ca="1">'Total Trip Tables Sup #2'!I27</f>
        <v>95.277080679372702</v>
      </c>
      <c r="J27" s="1">
        <f ca="1">'Total Trip Tables Sup #2'!J27</f>
        <v>96.465772811663257</v>
      </c>
      <c r="K27" s="1">
        <f ca="1">'Total Trip Tables Sup #2'!K27</f>
        <v>97.453680037901535</v>
      </c>
    </row>
    <row r="28" spans="1:11" x14ac:dyDescent="0.2">
      <c r="A28" t="str">
        <f ca="1">OFFSET(Waikato_Reference,7,2)</f>
        <v>Cyclist</v>
      </c>
      <c r="B28" s="4">
        <f ca="1">'Total Trip Tables Sup #2'!B28</f>
        <v>5.8956498267999997</v>
      </c>
      <c r="C28" s="4">
        <f ca="1">'Total Trip Tables Sup #2'!C28</f>
        <v>6.3590315127992909</v>
      </c>
      <c r="D28" s="4">
        <f ca="1">'Total Trip Tables Sup #2'!D28</f>
        <v>7.8550593492685916</v>
      </c>
      <c r="E28" s="4">
        <f ca="1">'Total Trip Tables Sup #2'!E28</f>
        <v>9.2405385506789433</v>
      </c>
      <c r="F28" s="4">
        <f ca="1">'Total Trip Tables Sup #2'!F28</f>
        <v>10.624265965820975</v>
      </c>
      <c r="G28" s="4">
        <f ca="1">'Total Trip Tables Sup #2'!G28</f>
        <v>11.990161590950834</v>
      </c>
      <c r="H28" s="4">
        <f ca="1">'Total Trip Tables Sup #2'!H28</f>
        <v>13.339461457833011</v>
      </c>
      <c r="I28" s="1">
        <f ca="1">'Total Trip Tables Sup #2'!I28</f>
        <v>13.568371406620793</v>
      </c>
      <c r="J28" s="1">
        <f ca="1">'Total Trip Tables Sup #2'!J28</f>
        <v>13.756537466219374</v>
      </c>
      <c r="K28" s="1">
        <f ca="1">'Total Trip Tables Sup #2'!K28</f>
        <v>13.916550592007821</v>
      </c>
    </row>
    <row r="29" spans="1:11" x14ac:dyDescent="0.2">
      <c r="A29" t="str">
        <f ca="1">OFFSET(Waikato_Reference,14,2)</f>
        <v>Light Vehicle Driver</v>
      </c>
      <c r="B29" s="4">
        <f ca="1">'Total Trip Tables Sup #2'!B29</f>
        <v>305.41478153000003</v>
      </c>
      <c r="C29" s="4">
        <f ca="1">'Total Trip Tables Sup #2'!C29*(1-'Other Assumptions'!G8)</f>
        <v>338.02998431032995</v>
      </c>
      <c r="D29" s="4">
        <f ca="1">'Total Trip Tables Sup #2'!D29*(1-'Other Assumptions'!H8)</f>
        <v>354.87627585665268</v>
      </c>
      <c r="E29" s="4">
        <f ca="1">'Total Trip Tables Sup #2'!E29*(1-'Other Assumptions'!I8)</f>
        <v>332.44115647124158</v>
      </c>
      <c r="F29" s="4">
        <f ca="1">'Total Trip Tables Sup #2'!F29*(1-'Other Assumptions'!J8)</f>
        <v>305.34736539741084</v>
      </c>
      <c r="G29" s="4">
        <f ca="1">'Total Trip Tables Sup #2'!G29*(1-'Other Assumptions'!K8)</f>
        <v>272.54534995499813</v>
      </c>
      <c r="H29" s="4">
        <f ca="1">'Total Trip Tables Sup #2'!H29*(1-'Other Assumptions'!L8)</f>
        <v>236.97791593390423</v>
      </c>
      <c r="I29" s="1">
        <f ca="1">'Total Trip Tables Sup #2'!I29*(1-'Other Assumptions'!M8)</f>
        <v>200.80511183675867</v>
      </c>
      <c r="J29" s="1">
        <f ca="1">'Total Trip Tables Sup #2'!J29*(1-'Other Assumptions'!N8)</f>
        <v>162.81591739955729</v>
      </c>
      <c r="K29" s="1">
        <f ca="1">'Total Trip Tables Sup #2'!K29*(1-'Other Assumptions'!O8)</f>
        <v>123.48752743232461</v>
      </c>
    </row>
    <row r="30" spans="1:11" x14ac:dyDescent="0.2">
      <c r="A30" t="str">
        <f ca="1">OFFSET(Waikato_Reference,21,2)</f>
        <v>Light Vehicle Passenger</v>
      </c>
      <c r="B30" s="4">
        <f ca="1">'Total Trip Tables Sup #2'!B30</f>
        <v>139.07206360000004</v>
      </c>
      <c r="C30" s="4">
        <f ca="1">'Total Trip Tables Sup #2'!C30*(1-'Other Assumptions'!G8)</f>
        <v>146.89021888254251</v>
      </c>
      <c r="D30" s="4">
        <f ca="1">'Total Trip Tables Sup #2'!D30*(1-'Other Assumptions'!H8)</f>
        <v>149.37737728836416</v>
      </c>
      <c r="E30" s="4">
        <f ca="1">'Total Trip Tables Sup #2'!E30*(1-'Other Assumptions'!I8)</f>
        <v>135.40036659165759</v>
      </c>
      <c r="F30" s="4">
        <f ca="1">'Total Trip Tables Sup #2'!F30*(1-'Other Assumptions'!J8)</f>
        <v>120.6766730586571</v>
      </c>
      <c r="G30" s="4">
        <f ca="1">'Total Trip Tables Sup #2'!G30*(1-'Other Assumptions'!K8)</f>
        <v>105.07075709457609</v>
      </c>
      <c r="H30" s="4">
        <f ca="1">'Total Trip Tables Sup #2'!H30*(1-'Other Assumptions'!L8)</f>
        <v>89.094388950788598</v>
      </c>
      <c r="I30" s="1">
        <f ca="1">'Total Trip Tables Sup #2'!I30*(1-'Other Assumptions'!M8)</f>
        <v>75.50618541928435</v>
      </c>
      <c r="J30" s="1">
        <f ca="1">'Total Trip Tables Sup #2'!J30*(1-'Other Assumptions'!N8)</f>
        <v>61.230590731350333</v>
      </c>
      <c r="K30" s="1">
        <f ca="1">'Total Trip Tables Sup #2'!K30*(1-'Other Assumptions'!O8)</f>
        <v>46.44692856368836</v>
      </c>
    </row>
    <row r="31" spans="1:11" x14ac:dyDescent="0.2">
      <c r="A31" t="str">
        <f ca="1">OFFSET(Waikato_Reference,28,2)</f>
        <v>Taxi/Vehicle Share</v>
      </c>
      <c r="B31" s="4">
        <f ca="1">'Total Trip Tables Sup #2'!B31</f>
        <v>0.69122996950000004</v>
      </c>
      <c r="C31" s="4">
        <f ca="1">'Total Trip Tables Sup #2'!C31+((C29+C30)*'Other Assumptions'!G8/(1-'Other Assumptions'!G8))</f>
        <v>0.79876777425641654</v>
      </c>
      <c r="D31" s="4">
        <f ca="1">'Total Trip Tables Sup #2'!D31+((D29+D30)*'Other Assumptions'!H8/(1-'Other Assumptions'!H8))</f>
        <v>0.87049168460332882</v>
      </c>
      <c r="E31" s="4">
        <f ca="1">'Total Trip Tables Sup #2'!E31+((E29+E30)*'Other Assumptions'!I8/(1-'Other Assumptions'!I8))</f>
        <v>52.905171284657563</v>
      </c>
      <c r="F31" s="4">
        <f ca="1">'Total Trip Tables Sup #2'!F31+((F29+F30)*'Other Assumptions'!J8/(1-'Other Assumptions'!J8))</f>
        <v>107.47012353785315</v>
      </c>
      <c r="G31" s="4">
        <f ca="1">'Total Trip Tables Sup #2'!G31+((G29+G30)*'Other Assumptions'!K8/(1-'Other Assumptions'!K8))</f>
        <v>162.8248798120151</v>
      </c>
      <c r="H31" s="4">
        <f ca="1">'Total Trip Tables Sup #2'!H31+((H29+H30)*'Other Assumptions'!L8/(1-'Other Assumptions'!L8))</f>
        <v>218.39239551201379</v>
      </c>
      <c r="I31" s="1">
        <f ca="1">'Total Trip Tables Sup #2'!I31+((I29+I30)*'Other Assumptions'!M8/(1-'Other Assumptions'!M8))</f>
        <v>277.33756920063269</v>
      </c>
      <c r="J31" s="1">
        <f ca="1">'Total Trip Tables Sup #2'!J31+((J29+J30)*'Other Assumptions'!N8/(1-'Other Assumptions'!N8))</f>
        <v>337.10825503101313</v>
      </c>
      <c r="K31" s="1">
        <f ca="1">'Total Trip Tables Sup #2'!K31+((K29+K30)*'Other Assumptions'!O8/(1-'Other Assumptions'!O8))</f>
        <v>397.56221851703299</v>
      </c>
    </row>
    <row r="32" spans="1:11" x14ac:dyDescent="0.2">
      <c r="A32" t="str">
        <f ca="1">OFFSET(Waikato_Reference,35,2)</f>
        <v>Motorcyclist</v>
      </c>
      <c r="B32" s="4">
        <f ca="1">'Total Trip Tables Sup #2'!B32</f>
        <v>1.8680965575999999</v>
      </c>
      <c r="C32" s="4">
        <f ca="1">'Total Trip Tables Sup #2'!C32</f>
        <v>2.0216009593724888</v>
      </c>
      <c r="D32" s="4">
        <f ca="1">'Total Trip Tables Sup #2'!D32</f>
        <v>2.0825627645878213</v>
      </c>
      <c r="E32" s="4">
        <f ca="1">'Total Trip Tables Sup #2'!E32</f>
        <v>2.1238114069218694</v>
      </c>
      <c r="F32" s="4">
        <f ca="1">'Total Trip Tables Sup #2'!F32</f>
        <v>2.1481273635597242</v>
      </c>
      <c r="G32" s="4">
        <f ca="1">'Total Trip Tables Sup #2'!G32</f>
        <v>2.1330964686898937</v>
      </c>
      <c r="H32" s="4">
        <f ca="1">'Total Trip Tables Sup #2'!H32</f>
        <v>2.1026470035368963</v>
      </c>
      <c r="I32" s="1">
        <f ca="1">'Total Trip Tables Sup #2'!I32</f>
        <v>2.1435077375180103</v>
      </c>
      <c r="J32" s="1">
        <f ca="1">'Total Trip Tables Sup #2'!J32</f>
        <v>2.178036191070408</v>
      </c>
      <c r="K32" s="1">
        <f ca="1">'Total Trip Tables Sup #2'!K32</f>
        <v>2.2081804087021744</v>
      </c>
    </row>
    <row r="33" spans="1:11" x14ac:dyDescent="0.2">
      <c r="A33" t="str">
        <f ca="1">OFFSET(Waikato_Reference,42,2)</f>
        <v>Local Train</v>
      </c>
      <c r="B33" s="4">
        <f ca="1">'Total Trip Tables Sup #2'!B33</f>
        <v>0</v>
      </c>
      <c r="C33" s="4">
        <f ca="1">'Total Trip Tables Sup #2'!C33</f>
        <v>0</v>
      </c>
      <c r="D33" s="4">
        <f ca="1">'Total Trip Tables Sup #2'!D33</f>
        <v>0</v>
      </c>
      <c r="E33" s="4">
        <f ca="1">'Total Trip Tables Sup #2'!E33</f>
        <v>0</v>
      </c>
      <c r="F33" s="4">
        <f ca="1">'Total Trip Tables Sup #2'!F33</f>
        <v>0</v>
      </c>
      <c r="G33" s="4">
        <f ca="1">'Total Trip Tables Sup #2'!G33</f>
        <v>0</v>
      </c>
      <c r="H33" s="4">
        <f ca="1">'Total Trip Tables Sup #2'!H33</f>
        <v>0</v>
      </c>
      <c r="I33" s="1">
        <f ca="1">'Total Trip Tables Sup #2'!I33</f>
        <v>0</v>
      </c>
      <c r="J33" s="1">
        <f ca="1">'Total Trip Tables Sup #2'!J33</f>
        <v>0</v>
      </c>
      <c r="K33" s="1">
        <f ca="1">'Total Trip Tables Sup #2'!K33</f>
        <v>0</v>
      </c>
    </row>
    <row r="34" spans="1:11" x14ac:dyDescent="0.2">
      <c r="A34" t="str">
        <f ca="1">OFFSET(Waikato_Reference,49,2)</f>
        <v>Local Bus</v>
      </c>
      <c r="B34" s="4">
        <f ca="1">'Total Trip Tables Sup #2'!B34</f>
        <v>5.7199103379</v>
      </c>
      <c r="C34" s="4">
        <f ca="1">'Total Trip Tables Sup #2'!C34</f>
        <v>5.8174341974483124</v>
      </c>
      <c r="D34" s="4">
        <f ca="1">'Total Trip Tables Sup #2'!D34</f>
        <v>5.8146718688705832</v>
      </c>
      <c r="E34" s="4">
        <f ca="1">'Total Trip Tables Sup #2'!E34</f>
        <v>5.8395967072592896</v>
      </c>
      <c r="F34" s="4">
        <f ca="1">'Total Trip Tables Sup #2'!F34</f>
        <v>5.7795496548684735</v>
      </c>
      <c r="G34" s="4">
        <f ca="1">'Total Trip Tables Sup #2'!G34</f>
        <v>5.7348468211891195</v>
      </c>
      <c r="H34" s="4">
        <f ca="1">'Total Trip Tables Sup #2'!H34</f>
        <v>5.6557256124777915</v>
      </c>
      <c r="I34" s="1">
        <f ca="1">'Total Trip Tables Sup #2'!I34</f>
        <v>5.7540860657582327</v>
      </c>
      <c r="J34" s="1">
        <f ca="1">'Total Trip Tables Sup #2'!J34</f>
        <v>5.834984893082189</v>
      </c>
      <c r="K34" s="1">
        <f ca="1">'Total Trip Tables Sup #2'!K34</f>
        <v>5.9037380115531484</v>
      </c>
    </row>
    <row r="35" spans="1:11" x14ac:dyDescent="0.2">
      <c r="A35" t="str">
        <f ca="1">OFFSET(Waikato_Reference,56,2)</f>
        <v>Local Ferry</v>
      </c>
      <c r="B35" s="4">
        <f ca="1">'Total Trip Tables Sup #2'!B35</f>
        <v>0.2446181519</v>
      </c>
      <c r="C35" s="4">
        <f ca="1">'Total Trip Tables Sup #2'!C35</f>
        <v>0.27475616587354379</v>
      </c>
      <c r="D35" s="4">
        <f ca="1">'Total Trip Tables Sup #2'!D35</f>
        <v>0.29343926390521186</v>
      </c>
      <c r="E35" s="4">
        <f ca="1">'Total Trip Tables Sup #2'!E35</f>
        <v>0.30232300723444833</v>
      </c>
      <c r="F35" s="4">
        <f ca="1">'Total Trip Tables Sup #2'!F35</f>
        <v>0.30667896158503344</v>
      </c>
      <c r="G35" s="4">
        <f ca="1">'Total Trip Tables Sup #2'!G35</f>
        <v>0.31675321888549934</v>
      </c>
      <c r="H35" s="4">
        <f ca="1">'Total Trip Tables Sup #2'!H35</f>
        <v>0.3239799445988501</v>
      </c>
      <c r="I35" s="1">
        <f ca="1">'Total Trip Tables Sup #2'!I35</f>
        <v>0.32699499890607658</v>
      </c>
      <c r="J35" s="1">
        <f ca="1">'Total Trip Tables Sup #2'!J35</f>
        <v>0.32898715347348217</v>
      </c>
      <c r="K35" s="1">
        <f ca="1">'Total Trip Tables Sup #2'!K35</f>
        <v>0.33027922050261183</v>
      </c>
    </row>
    <row r="36" spans="1:11" x14ac:dyDescent="0.2">
      <c r="A36" t="str">
        <f ca="1">OFFSET(Waikato_Reference,63,2)</f>
        <v>Other Household Travel</v>
      </c>
      <c r="B36" s="4">
        <f ca="1">'Total Trip Tables Sup #2'!B36</f>
        <v>1.8854250596</v>
      </c>
      <c r="C36" s="4">
        <f ca="1">'Total Trip Tables Sup #2'!C36</f>
        <v>2.0602479660457589</v>
      </c>
      <c r="D36" s="4">
        <f ca="1">'Total Trip Tables Sup #2'!D36</f>
        <v>2.1935463260462651</v>
      </c>
      <c r="E36" s="4">
        <f ca="1">'Total Trip Tables Sup #2'!E36</f>
        <v>2.2943000832775118</v>
      </c>
      <c r="F36" s="4">
        <f ca="1">'Total Trip Tables Sup #2'!F36</f>
        <v>2.3732900005799973</v>
      </c>
      <c r="G36" s="4">
        <f ca="1">'Total Trip Tables Sup #2'!G36</f>
        <v>2.4310839060871845</v>
      </c>
      <c r="H36" s="4">
        <f ca="1">'Total Trip Tables Sup #2'!H36</f>
        <v>2.4535099110756406</v>
      </c>
      <c r="I36" s="1">
        <f ca="1">'Total Trip Tables Sup #2'!I36</f>
        <v>2.5024907789884008</v>
      </c>
      <c r="J36" s="1">
        <f ca="1">'Total Trip Tables Sup #2'!J36</f>
        <v>2.5441964316995174</v>
      </c>
      <c r="K36" s="1">
        <f ca="1">'Total Trip Tables Sup #2'!K36</f>
        <v>2.5808978995291039</v>
      </c>
    </row>
    <row r="37" spans="1:11" x14ac:dyDescent="0.2">
      <c r="A37" t="str">
        <f ca="1">OFFSET(BOP_Reference,0,0)</f>
        <v>04 BAY OF PLENTY</v>
      </c>
      <c r="B37" s="4">
        <f ca="1">SUM(B38:B47)</f>
        <v>334.99924989919998</v>
      </c>
      <c r="C37" s="4">
        <f t="shared" ref="C37" ca="1" si="14">SUM(C38:C47)</f>
        <v>358.28143421054818</v>
      </c>
      <c r="D37" s="4">
        <f t="shared" ref="D37" ca="1" si="15">SUM(D38:D47)</f>
        <v>371.18571470276606</v>
      </c>
      <c r="E37" s="4">
        <f t="shared" ref="E37" ca="1" si="16">SUM(E38:E47)</f>
        <v>381.29487370058831</v>
      </c>
      <c r="F37" s="4">
        <f t="shared" ref="F37" ca="1" si="17">SUM(F38:F47)</f>
        <v>388.96583125075779</v>
      </c>
      <c r="G37" s="4">
        <f t="shared" ref="G37" ca="1" si="18">SUM(G38:G47)</f>
        <v>392.70040771123956</v>
      </c>
      <c r="H37" s="4">
        <f t="shared" ref="H37:K37" ca="1" si="19">SUM(H38:H47)</f>
        <v>394.36597930185729</v>
      </c>
      <c r="I37" s="1">
        <f t="shared" ca="1" si="19"/>
        <v>398.01079459010299</v>
      </c>
      <c r="J37" s="1">
        <f t="shared" ca="1" si="19"/>
        <v>400.36049468520667</v>
      </c>
      <c r="K37" s="1">
        <f t="shared" ca="1" si="19"/>
        <v>401.80610509548524</v>
      </c>
    </row>
    <row r="38" spans="1:11" x14ac:dyDescent="0.2">
      <c r="A38" t="str">
        <f ca="1">OFFSET(BOP_Reference,0,2)</f>
        <v>Pedestrian</v>
      </c>
      <c r="B38" s="4">
        <f ca="1">'Total Trip Tables Sup #2'!B38</f>
        <v>43.402809341999998</v>
      </c>
      <c r="C38" s="4">
        <f ca="1">'Total Trip Tables Sup #2'!C38</f>
        <v>46.115219270517819</v>
      </c>
      <c r="D38" s="4">
        <f ca="1">'Total Trip Tables Sup #2'!D38</f>
        <v>49.235640458466712</v>
      </c>
      <c r="E38" s="4">
        <f ca="1">'Total Trip Tables Sup #2'!E38</f>
        <v>51.614989381745723</v>
      </c>
      <c r="F38" s="4">
        <f ca="1">'Total Trip Tables Sup #2'!F38</f>
        <v>53.468650971780868</v>
      </c>
      <c r="G38" s="4">
        <f ca="1">'Total Trip Tables Sup #2'!G38</f>
        <v>54.959758430890176</v>
      </c>
      <c r="H38" s="4">
        <f ca="1">'Total Trip Tables Sup #2'!H38</f>
        <v>56.176813097810928</v>
      </c>
      <c r="I38" s="1">
        <f ca="1">'Total Trip Tables Sup #2'!I38</f>
        <v>56.641298278422276</v>
      </c>
      <c r="J38" s="1">
        <f ca="1">'Total Trip Tables Sup #2'!J38</f>
        <v>56.92157855504216</v>
      </c>
      <c r="K38" s="1">
        <f ca="1">'Total Trip Tables Sup #2'!K38</f>
        <v>57.073715213711033</v>
      </c>
    </row>
    <row r="39" spans="1:11" x14ac:dyDescent="0.2">
      <c r="A39" t="str">
        <f ca="1">OFFSET(BOP_Reference,7,2)</f>
        <v>Cyclist</v>
      </c>
      <c r="B39" s="4">
        <f ca="1">'Total Trip Tables Sup #2'!B39</f>
        <v>5.1579391552000002</v>
      </c>
      <c r="C39" s="4">
        <f ca="1">'Total Trip Tables Sup #2'!C39</f>
        <v>5.4801528555277983</v>
      </c>
      <c r="D39" s="4">
        <f ca="1">'Total Trip Tables Sup #2'!D39</f>
        <v>6.7088220548949602</v>
      </c>
      <c r="E39" s="4">
        <f ca="1">'Total Trip Tables Sup #2'!E39</f>
        <v>7.8340937605677015</v>
      </c>
      <c r="F39" s="4">
        <f ca="1">'Total Trip Tables Sup #2'!F39</f>
        <v>8.9419463883798951</v>
      </c>
      <c r="G39" s="4">
        <f ca="1">'Total Trip Tables Sup #2'!G39</f>
        <v>10.016045048987497</v>
      </c>
      <c r="H39" s="4">
        <f ca="1">'Total Trip Tables Sup #2'!H39</f>
        <v>11.061534632986394</v>
      </c>
      <c r="I39" s="1">
        <f ca="1">'Total Trip Tables Sup #2'!I39</f>
        <v>11.168313700313334</v>
      </c>
      <c r="J39" s="1">
        <f ca="1">'Total Trip Tables Sup #2'!J39</f>
        <v>11.239007122975751</v>
      </c>
      <c r="K39" s="1">
        <f ca="1">'Total Trip Tables Sup #2'!K39</f>
        <v>11.284559912168659</v>
      </c>
    </row>
    <row r="40" spans="1:11" x14ac:dyDescent="0.2">
      <c r="A40" t="str">
        <f ca="1">OFFSET(BOP_Reference,14,2)</f>
        <v>Light Vehicle Driver</v>
      </c>
      <c r="B40" s="4">
        <f ca="1">'Total Trip Tables Sup #2'!B40</f>
        <v>178.59124365</v>
      </c>
      <c r="C40" s="4">
        <f ca="1">'Total Trip Tables Sup #2'!C40*(1-'Other Assumptions'!G9)</f>
        <v>194.70741700444171</v>
      </c>
      <c r="D40" s="4">
        <f ca="1">'Total Trip Tables Sup #2'!D40*(1-'Other Assumptions'!H9)</f>
        <v>202.45329146738919</v>
      </c>
      <c r="E40" s="4">
        <f ca="1">'Total Trip Tables Sup #2'!E40*(1-'Other Assumptions'!I9)</f>
        <v>188.1475568652385</v>
      </c>
      <c r="F40" s="4">
        <f ca="1">'Total Trip Tables Sup #2'!F40*(1-'Other Assumptions'!J9)</f>
        <v>171.46435719235274</v>
      </c>
      <c r="G40" s="4">
        <f ca="1">'Total Trip Tables Sup #2'!G40*(1-'Other Assumptions'!K9)</f>
        <v>151.81502127503032</v>
      </c>
      <c r="H40" s="4">
        <f ca="1">'Total Trip Tables Sup #2'!H40*(1-'Other Assumptions'!L9)</f>
        <v>130.96424010898338</v>
      </c>
      <c r="I40" s="1">
        <f ca="1">'Total Trip Tables Sup #2'!I40*(1-'Other Assumptions'!M9)</f>
        <v>110.154559167508</v>
      </c>
      <c r="J40" s="1">
        <f ca="1">'Total Trip Tables Sup #2'!J40*(1-'Other Assumptions'!N9)</f>
        <v>88.650981147475605</v>
      </c>
      <c r="K40" s="1">
        <f ca="1">'Total Trip Tables Sup #2'!K40*(1-'Other Assumptions'!O9)</f>
        <v>66.733516947889797</v>
      </c>
    </row>
    <row r="41" spans="1:11" x14ac:dyDescent="0.2">
      <c r="A41" t="str">
        <f ca="1">OFFSET(BOP_Reference,21,2)</f>
        <v>Light Vehicle Passenger</v>
      </c>
      <c r="B41" s="4">
        <f ca="1">'Total Trip Tables Sup #2'!B41</f>
        <v>98.719582360000032</v>
      </c>
      <c r="C41" s="4">
        <f ca="1">'Total Trip Tables Sup #2'!C41*(1-'Other Assumptions'!G9)</f>
        <v>102.7101703160786</v>
      </c>
      <c r="D41" s="4">
        <f ca="1">'Total Trip Tables Sup #2'!D41*(1-'Other Assumptions'!H9)</f>
        <v>103.52002872718533</v>
      </c>
      <c r="E41" s="4">
        <f ca="1">'Total Trip Tables Sup #2'!E41*(1-'Other Assumptions'!I9)</f>
        <v>93.149861594376532</v>
      </c>
      <c r="F41" s="4">
        <f ca="1">'Total Trip Tables Sup #2'!F41*(1-'Other Assumptions'!J9)</f>
        <v>82.424011705677103</v>
      </c>
      <c r="G41" s="4">
        <f ca="1">'Total Trip Tables Sup #2'!G41*(1-'Other Assumptions'!K9)</f>
        <v>71.231835852662329</v>
      </c>
      <c r="H41" s="4">
        <f ca="1">'Total Trip Tables Sup #2'!H41*(1-'Other Assumptions'!L9)</f>
        <v>59.960895971424506</v>
      </c>
      <c r="I41" s="1">
        <f ca="1">'Total Trip Tables Sup #2'!I41*(1-'Other Assumptions'!M9)</f>
        <v>50.440732386466586</v>
      </c>
      <c r="J41" s="1">
        <f ca="1">'Total Trip Tables Sup #2'!J41*(1-'Other Assumptions'!N9)</f>
        <v>40.599859922503242</v>
      </c>
      <c r="K41" s="1">
        <f ca="1">'Total Trip Tables Sup #2'!K41*(1-'Other Assumptions'!O9)</f>
        <v>30.566492250134239</v>
      </c>
    </row>
    <row r="42" spans="1:11" x14ac:dyDescent="0.2">
      <c r="A42" t="str">
        <f ca="1">OFFSET(BOP_Reference,28,2)</f>
        <v>Taxi/Vehicle Share</v>
      </c>
      <c r="B42" s="4">
        <f ca="1">'Total Trip Tables Sup #2'!B42</f>
        <v>0.15552198610000001</v>
      </c>
      <c r="C42" s="4">
        <f ca="1">'Total Trip Tables Sup #2'!C42+((C40+C41)*'Other Assumptions'!G9/(1-'Other Assumptions'!G9))</f>
        <v>0.17703002491342726</v>
      </c>
      <c r="D42" s="4">
        <f ca="1">'Total Trip Tables Sup #2'!D42+((D40+D41)*'Other Assumptions'!H9/(1-'Other Assumptions'!H9))</f>
        <v>0.19119922566523517</v>
      </c>
      <c r="E42" s="4">
        <f ca="1">'Total Trip Tables Sup #2'!E42+((E40+E41)*'Other Assumptions'!I9/(1-'Other Assumptions'!I9))</f>
        <v>31.456462371037027</v>
      </c>
      <c r="F42" s="4">
        <f ca="1">'Total Trip Tables Sup #2'!F42+((F40+F41)*'Other Assumptions'!J9/(1-'Other Assumptions'!J9))</f>
        <v>63.680774797463165</v>
      </c>
      <c r="G42" s="4">
        <f ca="1">'Total Trip Tables Sup #2'!G42+((G40+G41)*'Other Assumptions'!K9/(1-'Other Assumptions'!K9))</f>
        <v>95.804064643322761</v>
      </c>
      <c r="H42" s="4">
        <f ca="1">'Total Trip Tables Sup #2'!H42+((H40+H41)*'Other Assumptions'!L9/(1-'Other Assumptions'!L9))</f>
        <v>127.49899604604518</v>
      </c>
      <c r="I42" s="1">
        <f ca="1">'Total Trip Tables Sup #2'!I42+((I40+I41)*'Other Assumptions'!M9/(1-'Other Assumptions'!M9))</f>
        <v>160.81253517746052</v>
      </c>
      <c r="J42" s="1">
        <f ca="1">'Total Trip Tables Sup #2'!J42+((J40+J41)*'Other Assumptions'!N9/(1-'Other Assumptions'!N9))</f>
        <v>194.09445772097635</v>
      </c>
      <c r="K42" s="1">
        <f ca="1">'Total Trip Tables Sup #2'!K42+((K40+K41)*'Other Assumptions'!O9/(1-'Other Assumptions'!O9))</f>
        <v>227.25200059080871</v>
      </c>
    </row>
    <row r="43" spans="1:11" x14ac:dyDescent="0.2">
      <c r="A43" t="str">
        <f ca="1">OFFSET(BOP_Reference,35,2)</f>
        <v>Motorcyclist</v>
      </c>
      <c r="B43" s="4">
        <f ca="1">'Total Trip Tables Sup #2'!B43</f>
        <v>0.90641599910000004</v>
      </c>
      <c r="C43" s="4">
        <f ca="1">'Total Trip Tables Sup #2'!C43</f>
        <v>0.96623071387246828</v>
      </c>
      <c r="D43" s="4">
        <f ca="1">'Total Trip Tables Sup #2'!D43</f>
        <v>0.98645802340696653</v>
      </c>
      <c r="E43" s="4">
        <f ca="1">'Total Trip Tables Sup #2'!E43</f>
        <v>0.99859902845185899</v>
      </c>
      <c r="F43" s="4">
        <f ca="1">'Total Trip Tables Sup #2'!F43</f>
        <v>1.0027135025452922</v>
      </c>
      <c r="G43" s="4">
        <f ca="1">'Total Trip Tables Sup #2'!G43</f>
        <v>0.98824684874467472</v>
      </c>
      <c r="H43" s="4">
        <f ca="1">'Total Trip Tables Sup #2'!H43</f>
        <v>0.96700153578195935</v>
      </c>
      <c r="I43" s="1">
        <f ca="1">'Total Trip Tables Sup #2'!I43</f>
        <v>0.97851760794732978</v>
      </c>
      <c r="J43" s="1">
        <f ca="1">'Total Trip Tables Sup #2'!J43</f>
        <v>0.98688741632212429</v>
      </c>
      <c r="K43" s="1">
        <f ca="1">'Total Trip Tables Sup #2'!K43</f>
        <v>0.99305038624490227</v>
      </c>
    </row>
    <row r="44" spans="1:11" x14ac:dyDescent="0.2">
      <c r="A44" t="str">
        <f ca="1">OFFSET(Auckland_Reference,42,2)</f>
        <v>Local Train</v>
      </c>
      <c r="B44" s="4">
        <f ca="1">'Total Trip Tables Sup #2'!B44</f>
        <v>0</v>
      </c>
      <c r="C44" s="4">
        <f ca="1">'Total Trip Tables Sup #2'!C44</f>
        <v>0</v>
      </c>
      <c r="D44" s="4">
        <f ca="1">'Total Trip Tables Sup #2'!D44</f>
        <v>0</v>
      </c>
      <c r="E44" s="4">
        <f ca="1">'Total Trip Tables Sup #2'!E44</f>
        <v>0</v>
      </c>
      <c r="F44" s="4">
        <f ca="1">'Total Trip Tables Sup #2'!F44</f>
        <v>0</v>
      </c>
      <c r="G44" s="4">
        <f ca="1">'Total Trip Tables Sup #2'!G44</f>
        <v>0</v>
      </c>
      <c r="H44" s="4">
        <f ca="1">'Total Trip Tables Sup #2'!H44</f>
        <v>0</v>
      </c>
      <c r="I44" s="1">
        <f ca="1">'Total Trip Tables Sup #2'!I44</f>
        <v>0</v>
      </c>
      <c r="J44" s="1">
        <f ca="1">'Total Trip Tables Sup #2'!J44</f>
        <v>0</v>
      </c>
      <c r="K44" s="1">
        <f ca="1">'Total Trip Tables Sup #2'!K44</f>
        <v>0</v>
      </c>
    </row>
    <row r="45" spans="1:11" x14ac:dyDescent="0.2">
      <c r="A45" t="str">
        <f ca="1">OFFSET(BOP_Reference,42,2)</f>
        <v>Local Bus</v>
      </c>
      <c r="B45" s="4">
        <f ca="1">'Total Trip Tables Sup #2'!B45</f>
        <v>7.4672006229000001</v>
      </c>
      <c r="C45" s="4">
        <f ca="1">'Total Trip Tables Sup #2'!C45</f>
        <v>7.4809583904569354</v>
      </c>
      <c r="D45" s="4">
        <f ca="1">'Total Trip Tables Sup #2'!D45</f>
        <v>7.4104755454161308</v>
      </c>
      <c r="E45" s="4">
        <f ca="1">'Total Trip Tables Sup #2'!E45</f>
        <v>7.3875154362539117</v>
      </c>
      <c r="F45" s="4">
        <f ca="1">'Total Trip Tables Sup #2'!F45</f>
        <v>7.2585720383255588</v>
      </c>
      <c r="G45" s="4">
        <f ca="1">'Total Trip Tables Sup #2'!G45</f>
        <v>7.1485361862191823</v>
      </c>
      <c r="H45" s="4">
        <f ca="1">'Total Trip Tables Sup #2'!H45</f>
        <v>6.998250485130197</v>
      </c>
      <c r="I45" s="1">
        <f ca="1">'Total Trip Tables Sup #2'!I45</f>
        <v>7.0674102027599908</v>
      </c>
      <c r="J45" s="1">
        <f ca="1">'Total Trip Tables Sup #2'!J45</f>
        <v>7.1134881385416477</v>
      </c>
      <c r="K45" s="1">
        <f ca="1">'Total Trip Tables Sup #2'!K45</f>
        <v>7.1433867700194487</v>
      </c>
    </row>
    <row r="46" spans="1:11" x14ac:dyDescent="0.2">
      <c r="A46" t="str">
        <f ca="1">OFFSET(Waikato_Reference,56,2)</f>
        <v>Local Ferry</v>
      </c>
      <c r="B46" s="4">
        <f ca="1">'Total Trip Tables Sup #2'!B46</f>
        <v>0</v>
      </c>
      <c r="C46" s="4">
        <f ca="1">'Total Trip Tables Sup #2'!C46</f>
        <v>0</v>
      </c>
      <c r="D46" s="4">
        <f ca="1">'Total Trip Tables Sup #2'!D46</f>
        <v>0</v>
      </c>
      <c r="E46" s="4">
        <f ca="1">'Total Trip Tables Sup #2'!E46</f>
        <v>0</v>
      </c>
      <c r="F46" s="4">
        <f ca="1">'Total Trip Tables Sup #2'!F46</f>
        <v>0</v>
      </c>
      <c r="G46" s="4">
        <f ca="1">'Total Trip Tables Sup #2'!G46</f>
        <v>0</v>
      </c>
      <c r="H46" s="4">
        <f ca="1">'Total Trip Tables Sup #2'!H46</f>
        <v>0</v>
      </c>
      <c r="I46" s="1">
        <f ca="1">'Total Trip Tables Sup #2'!I46</f>
        <v>0</v>
      </c>
      <c r="J46" s="1">
        <f ca="1">'Total Trip Tables Sup #2'!J46</f>
        <v>0</v>
      </c>
      <c r="K46" s="1">
        <f ca="1">'Total Trip Tables Sup #2'!K46</f>
        <v>0</v>
      </c>
    </row>
    <row r="47" spans="1:11" x14ac:dyDescent="0.2">
      <c r="A47" t="str">
        <f ca="1">OFFSET(BOP_Reference,49,2)</f>
        <v>Other Household Travel</v>
      </c>
      <c r="B47" s="4">
        <f ca="1">'Total Trip Tables Sup #2'!B47</f>
        <v>0.59853678389999998</v>
      </c>
      <c r="C47" s="4">
        <f ca="1">'Total Trip Tables Sup #2'!C47</f>
        <v>0.64425563473946978</v>
      </c>
      <c r="D47" s="4">
        <f ca="1">'Total Trip Tables Sup #2'!D47</f>
        <v>0.67979920034158503</v>
      </c>
      <c r="E47" s="4">
        <f ca="1">'Total Trip Tables Sup #2'!E47</f>
        <v>0.7057952629170634</v>
      </c>
      <c r="F47" s="4">
        <f ca="1">'Total Trip Tables Sup #2'!F47</f>
        <v>0.72480465423314688</v>
      </c>
      <c r="G47" s="4">
        <f ca="1">'Total Trip Tables Sup #2'!G47</f>
        <v>0.73689942538268627</v>
      </c>
      <c r="H47" s="4">
        <f ca="1">'Total Trip Tables Sup #2'!H47</f>
        <v>0.73824742369478003</v>
      </c>
      <c r="I47" s="1">
        <f ca="1">'Total Trip Tables Sup #2'!I47</f>
        <v>0.74742806922502902</v>
      </c>
      <c r="J47" s="1">
        <f ca="1">'Total Trip Tables Sup #2'!J47</f>
        <v>0.75423466136979256</v>
      </c>
      <c r="K47" s="1">
        <f ca="1">'Total Trip Tables Sup #2'!K47</f>
        <v>0.75938302450851081</v>
      </c>
    </row>
    <row r="48" spans="1:11" x14ac:dyDescent="0.2">
      <c r="A48" t="str">
        <f ca="1">OFFSET(Gisborne_Reference,0,0)</f>
        <v>05 GISBORNE</v>
      </c>
      <c r="B48" s="4">
        <f ca="1">SUM(B49:B58)</f>
        <v>61.908168304900002</v>
      </c>
      <c r="C48" s="4">
        <f t="shared" ref="C48" ca="1" si="20">SUM(C49:C58)</f>
        <v>63.23828495134817</v>
      </c>
      <c r="D48" s="4">
        <f t="shared" ref="D48" ca="1" si="21">SUM(D49:D58)</f>
        <v>63.939954668683264</v>
      </c>
      <c r="E48" s="4">
        <f t="shared" ref="E48" ca="1" si="22">SUM(E49:E58)</f>
        <v>64.396329015829707</v>
      </c>
      <c r="F48" s="4">
        <f t="shared" ref="F48" ca="1" si="23">SUM(F49:F58)</f>
        <v>64.453933591907401</v>
      </c>
      <c r="G48" s="4">
        <f t="shared" ref="G48" ca="1" si="24">SUM(G49:G58)</f>
        <v>63.822125422123051</v>
      </c>
      <c r="H48" s="4">
        <f t="shared" ref="H48:K48" ca="1" si="25">SUM(H49:H58)</f>
        <v>62.911195002153114</v>
      </c>
      <c r="I48" s="1">
        <f t="shared" ca="1" si="25"/>
        <v>62.313480449713204</v>
      </c>
      <c r="J48" s="1">
        <f t="shared" ca="1" si="25"/>
        <v>61.525257580002183</v>
      </c>
      <c r="K48" s="1">
        <f t="shared" ca="1" si="25"/>
        <v>60.616723592193388</v>
      </c>
    </row>
    <row r="49" spans="1:11" x14ac:dyDescent="0.2">
      <c r="A49" t="str">
        <f ca="1">OFFSET(Gisborne_Reference,0,2)</f>
        <v>Pedestrian</v>
      </c>
      <c r="B49" s="4">
        <f ca="1">'Total Trip Tables Sup #2'!B49</f>
        <v>12.564280467</v>
      </c>
      <c r="C49" s="4">
        <f ca="1">'Total Trip Tables Sup #2'!C49</f>
        <v>12.763724751926015</v>
      </c>
      <c r="D49" s="4">
        <f ca="1">'Total Trip Tables Sup #2'!D49</f>
        <v>13.28718007731486</v>
      </c>
      <c r="E49" s="4">
        <f ca="1">'Total Trip Tables Sup #2'!E49</f>
        <v>13.657623681793641</v>
      </c>
      <c r="F49" s="4">
        <f ca="1">'Total Trip Tables Sup #2'!F49</f>
        <v>13.884435197531605</v>
      </c>
      <c r="G49" s="4">
        <f ca="1">'Total Trip Tables Sup #2'!G49</f>
        <v>13.995884228416502</v>
      </c>
      <c r="H49" s="4">
        <f ca="1">'Total Trip Tables Sup #2'!H49</f>
        <v>14.039617928375458</v>
      </c>
      <c r="I49" s="1">
        <f ca="1">'Total Trip Tables Sup #2'!I49</f>
        <v>13.894009442493752</v>
      </c>
      <c r="J49" s="1">
        <f ca="1">'Total Trip Tables Sup #2'!J49</f>
        <v>13.706394441765326</v>
      </c>
      <c r="K49" s="1">
        <f ca="1">'Total Trip Tables Sup #2'!K49</f>
        <v>13.492495613515871</v>
      </c>
    </row>
    <row r="50" spans="1:11" x14ac:dyDescent="0.2">
      <c r="A50" t="str">
        <f ca="1">OFFSET(Gisborne_Reference,7,2)</f>
        <v>Cyclist</v>
      </c>
      <c r="B50" s="4">
        <f ca="1">'Total Trip Tables Sup #2'!B50</f>
        <v>1.1119455742</v>
      </c>
      <c r="C50" s="4">
        <f ca="1">'Total Trip Tables Sup #2'!C50</f>
        <v>1.1295705445659956</v>
      </c>
      <c r="D50" s="4">
        <f ca="1">'Total Trip Tables Sup #2'!D50</f>
        <v>1.3483015587813425</v>
      </c>
      <c r="E50" s="4">
        <f ca="1">'Total Trip Tables Sup #2'!E50</f>
        <v>1.5437451255884964</v>
      </c>
      <c r="F50" s="4">
        <f ca="1">'Total Trip Tables Sup #2'!F50</f>
        <v>1.7292133797803435</v>
      </c>
      <c r="G50" s="4">
        <f ca="1">'Total Trip Tables Sup #2'!G50</f>
        <v>1.899500140275123</v>
      </c>
      <c r="H50" s="4">
        <f ca="1">'Total Trip Tables Sup #2'!H50</f>
        <v>2.0587381337955009</v>
      </c>
      <c r="I50" s="1">
        <f ca="1">'Total Trip Tables Sup #2'!I50</f>
        <v>2.0401849005817128</v>
      </c>
      <c r="J50" s="1">
        <f ca="1">'Total Trip Tables Sup #2'!J50</f>
        <v>2.0154023993931642</v>
      </c>
      <c r="K50" s="1">
        <f ca="1">'Total Trip Tables Sup #2'!K50</f>
        <v>1.9866817525140283</v>
      </c>
    </row>
    <row r="51" spans="1:11" x14ac:dyDescent="0.2">
      <c r="A51" t="str">
        <f ca="1">OFFSET(Gisborne_Reference,14,2)</f>
        <v>Light Vehicle Driver</v>
      </c>
      <c r="B51" s="4">
        <f ca="1">'Total Trip Tables Sup #2'!B51</f>
        <v>28.776347379000001</v>
      </c>
      <c r="C51" s="4">
        <f ca="1">'Total Trip Tables Sup #2'!C51*(1-'Other Assumptions'!G10)</f>
        <v>29.99655443636232</v>
      </c>
      <c r="D51" s="4">
        <f ca="1">'Total Trip Tables Sup #2'!D51*(1-'Other Assumptions'!H10)</f>
        <v>30.340379951795207</v>
      </c>
      <c r="E51" s="4">
        <f ca="1">'Total Trip Tables Sup #2'!E51*(1-'Other Assumptions'!I10)</f>
        <v>27.585098104416691</v>
      </c>
      <c r="F51" s="4">
        <f ca="1">'Total Trip Tables Sup #2'!F51*(1-'Other Assumptions'!J10)</f>
        <v>24.618594114982258</v>
      </c>
      <c r="G51" s="4">
        <f ca="1">'Total Trip Tables Sup #2'!G51*(1-'Other Assumptions'!K10)</f>
        <v>21.332089587240251</v>
      </c>
      <c r="H51" s="4">
        <f ca="1">'Total Trip Tables Sup #2'!H51*(1-'Other Assumptions'!L10)</f>
        <v>18.023627084732272</v>
      </c>
      <c r="I51" s="1">
        <f ca="1">'Total Trip Tables Sup #2'!I51*(1-'Other Assumptions'!M10)</f>
        <v>14.879617317704231</v>
      </c>
      <c r="J51" s="1">
        <f ca="1">'Total Trip Tables Sup #2'!J51*(1-'Other Assumptions'!N10)</f>
        <v>11.755152427046248</v>
      </c>
      <c r="K51" s="1">
        <f ca="1">'Total Trip Tables Sup #2'!K51*(1-'Other Assumptions'!O10)</f>
        <v>8.6876443028937693</v>
      </c>
    </row>
    <row r="52" spans="1:11" x14ac:dyDescent="0.2">
      <c r="A52" t="str">
        <f ca="1">OFFSET(Gisborne_Reference,21,2)</f>
        <v>Light Vehicle Passenger</v>
      </c>
      <c r="B52" s="4">
        <f ca="1">'Total Trip Tables Sup #2'!B52</f>
        <v>18.791024854000003</v>
      </c>
      <c r="C52" s="4">
        <f ca="1">'Total Trip Tables Sup #2'!C52*(1-'Other Assumptions'!G10)</f>
        <v>18.692783576905349</v>
      </c>
      <c r="D52" s="4">
        <f ca="1">'Total Trip Tables Sup #2'!D52*(1-'Other Assumptions'!H10)</f>
        <v>18.319496249846011</v>
      </c>
      <c r="E52" s="4">
        <f ca="1">'Total Trip Tables Sup #2'!E52*(1-'Other Assumptions'!I10)</f>
        <v>16.117666783714014</v>
      </c>
      <c r="F52" s="4">
        <f ca="1">'Total Trip Tables Sup #2'!F52*(1-'Other Assumptions'!J10)</f>
        <v>13.956692248482582</v>
      </c>
      <c r="G52" s="4">
        <f ca="1">'Total Trip Tables Sup #2'!G52*(1-'Other Assumptions'!K10)</f>
        <v>11.794726237529407</v>
      </c>
      <c r="H52" s="4">
        <f ca="1">'Total Trip Tables Sup #2'!H52*(1-'Other Assumptions'!L10)</f>
        <v>9.7153022959922328</v>
      </c>
      <c r="I52" s="1">
        <f ca="1">'Total Trip Tables Sup #2'!I52*(1-'Other Assumptions'!M10)</f>
        <v>8.0218041249277405</v>
      </c>
      <c r="J52" s="1">
        <f ca="1">'Total Trip Tables Sup #2'!J52*(1-'Other Assumptions'!N10)</f>
        <v>6.3383064584221662</v>
      </c>
      <c r="K52" s="1">
        <f ca="1">'Total Trip Tables Sup #2'!K52*(1-'Other Assumptions'!O10)</f>
        <v>4.685005955264085</v>
      </c>
    </row>
    <row r="53" spans="1:11" x14ac:dyDescent="0.2">
      <c r="A53" t="str">
        <f ca="1">OFFSET(Gisborne_Reference,28,2)</f>
        <v>Taxi/Vehicle Share</v>
      </c>
      <c r="B53" s="4">
        <f ca="1">'Total Trip Tables Sup #2'!B53</f>
        <v>2.27015811E-2</v>
      </c>
      <c r="C53" s="4">
        <f ca="1">'Total Trip Tables Sup #2'!C53+((C51+C52)*'Other Assumptions'!G10/(1-'Other Assumptions'!G10))</f>
        <v>2.4707261574929248E-2</v>
      </c>
      <c r="D53" s="4">
        <f ca="1">'Total Trip Tables Sup #2'!D53+((D51+D52)*'Other Assumptions'!H10/(1-'Other Assumptions'!H10))</f>
        <v>2.6018597868601837E-2</v>
      </c>
      <c r="E53" s="4">
        <f ca="1">'Total Trip Tables Sup #2'!E53+((E51+E52)*'Other Assumptions'!I10/(1-'Other Assumptions'!I10))</f>
        <v>4.88270743765964</v>
      </c>
      <c r="F53" s="4">
        <f ca="1">'Total Trip Tables Sup #2'!F53+((F51+F52)*'Other Assumptions'!J10/(1-'Other Assumptions'!J10))</f>
        <v>9.6711465615204268</v>
      </c>
      <c r="G53" s="4">
        <f ca="1">'Total Trip Tables Sup #2'!G53+((G51+G52)*'Other Assumptions'!K10/(1-'Other Assumptions'!K10))</f>
        <v>14.224500974515429</v>
      </c>
      <c r="H53" s="4">
        <f ca="1">'Total Trip Tables Sup #2'!H53+((H51+H52)*'Other Assumptions'!L10/(1-'Other Assumptions'!L10))</f>
        <v>18.519786172700755</v>
      </c>
      <c r="I53" s="1">
        <f ca="1">'Total Trip Tables Sup #2'!I53+((I51+I52)*'Other Assumptions'!M10/(1-'Other Assumptions'!M10))</f>
        <v>22.928292574415604</v>
      </c>
      <c r="J53" s="1">
        <f ca="1">'Total Trip Tables Sup #2'!J53+((J51+J52)*'Other Assumptions'!N10/(1-'Other Assumptions'!N10))</f>
        <v>27.166681736737267</v>
      </c>
      <c r="K53" s="1">
        <f ca="1">'Total Trip Tables Sup #2'!K53+((K51+K52)*'Other Assumptions'!O10/(1-'Other Assumptions'!O10))</f>
        <v>31.228914646505842</v>
      </c>
    </row>
    <row r="54" spans="1:11" x14ac:dyDescent="0.2">
      <c r="A54" t="str">
        <f ca="1">OFFSET(Gisborne_Reference,35,2)</f>
        <v>Motorcyclist</v>
      </c>
      <c r="B54" s="4">
        <f ca="1">'Total Trip Tables Sup #2'!B54</f>
        <v>0.20072163900000001</v>
      </c>
      <c r="C54" s="4">
        <f ca="1">'Total Trip Tables Sup #2'!C54</f>
        <v>0.20457890096966022</v>
      </c>
      <c r="D54" s="4">
        <f ca="1">'Total Trip Tables Sup #2'!D54</f>
        <v>0.20364731545186615</v>
      </c>
      <c r="E54" s="4">
        <f ca="1">'Total Trip Tables Sup #2'!E54</f>
        <v>0.20213303159303761</v>
      </c>
      <c r="F54" s="4">
        <f ca="1">'Total Trip Tables Sup #2'!F54</f>
        <v>0.19918319976991108</v>
      </c>
      <c r="G54" s="4">
        <f ca="1">'Total Trip Tables Sup #2'!G54</f>
        <v>0.192516436852501</v>
      </c>
      <c r="H54" s="4">
        <f ca="1">'Total Trip Tables Sup #2'!H54</f>
        <v>0.18487245374168348</v>
      </c>
      <c r="I54" s="1">
        <f ca="1">'Total Trip Tables Sup #2'!I54</f>
        <v>0.18361573101011966</v>
      </c>
      <c r="J54" s="1">
        <f ca="1">'Total Trip Tables Sup #2'!J54</f>
        <v>0.18178613339963648</v>
      </c>
      <c r="K54" s="1">
        <f ca="1">'Total Trip Tables Sup #2'!K54</f>
        <v>0.17958674417233042</v>
      </c>
    </row>
    <row r="55" spans="1:11" x14ac:dyDescent="0.2">
      <c r="A55" t="str">
        <f ca="1">OFFSET(Gisborne_Reference,42,2)</f>
        <v>Local Train</v>
      </c>
      <c r="B55" s="4">
        <f ca="1">'Total Trip Tables Sup #2'!B55</f>
        <v>0</v>
      </c>
      <c r="C55" s="4">
        <f ca="1">'Total Trip Tables Sup #2'!C55</f>
        <v>0</v>
      </c>
      <c r="D55" s="4">
        <f ca="1">'Total Trip Tables Sup #2'!D55</f>
        <v>0</v>
      </c>
      <c r="E55" s="4">
        <f ca="1">'Total Trip Tables Sup #2'!E55</f>
        <v>0</v>
      </c>
      <c r="F55" s="4">
        <f ca="1">'Total Trip Tables Sup #2'!F55</f>
        <v>0</v>
      </c>
      <c r="G55" s="4">
        <f ca="1">'Total Trip Tables Sup #2'!G55</f>
        <v>0</v>
      </c>
      <c r="H55" s="4">
        <f ca="1">'Total Trip Tables Sup #2'!H55</f>
        <v>0</v>
      </c>
      <c r="I55" s="1">
        <f ca="1">'Total Trip Tables Sup #2'!I55</f>
        <v>0</v>
      </c>
      <c r="J55" s="1">
        <f ca="1">'Total Trip Tables Sup #2'!J55</f>
        <v>0</v>
      </c>
      <c r="K55" s="1">
        <f ca="1">'Total Trip Tables Sup #2'!K55</f>
        <v>0</v>
      </c>
    </row>
    <row r="56" spans="1:11" x14ac:dyDescent="0.2">
      <c r="A56" t="str">
        <f ca="1">OFFSET(Gisborne_Reference,49,2)</f>
        <v>Local Bus</v>
      </c>
      <c r="B56" s="4">
        <f ca="1">'Total Trip Tables Sup #2'!B56</f>
        <v>0.39415976190000002</v>
      </c>
      <c r="C56" s="4">
        <f ca="1">'Total Trip Tables Sup #2'!C56</f>
        <v>0.37755921734233144</v>
      </c>
      <c r="D56" s="4">
        <f ca="1">'Total Trip Tables Sup #2'!D56</f>
        <v>0.36466492543932588</v>
      </c>
      <c r="E56" s="4">
        <f ca="1">'Total Trip Tables Sup #2'!E56</f>
        <v>0.35644488502285671</v>
      </c>
      <c r="F56" s="4">
        <f ca="1">'Total Trip Tables Sup #2'!F56</f>
        <v>0.3436963089857934</v>
      </c>
      <c r="G56" s="4">
        <f ca="1">'Total Trip Tables Sup #2'!G56</f>
        <v>0.33194591769832343</v>
      </c>
      <c r="H56" s="4">
        <f ca="1">'Total Trip Tables Sup #2'!H56</f>
        <v>0.31892044382099211</v>
      </c>
      <c r="I56" s="1">
        <f ca="1">'Total Trip Tables Sup #2'!I56</f>
        <v>0.31611810901372395</v>
      </c>
      <c r="J56" s="1">
        <f ca="1">'Total Trip Tables Sup #2'!J56</f>
        <v>0.31233711019144278</v>
      </c>
      <c r="K56" s="1">
        <f ca="1">'Total Trip Tables Sup #2'!K56</f>
        <v>0.30793212046873414</v>
      </c>
    </row>
    <row r="57" spans="1:11" x14ac:dyDescent="0.2">
      <c r="A57" t="str">
        <f ca="1">OFFSET(Gisborne_Reference,56,2)</f>
        <v>Local Ferry</v>
      </c>
      <c r="B57" s="4">
        <f ca="1">'Total Trip Tables Sup #2'!B57</f>
        <v>1.5651153399999999E-2</v>
      </c>
      <c r="C57" s="4">
        <f ca="1">'Total Trip Tables Sup #2'!C57</f>
        <v>1.655677116741416E-2</v>
      </c>
      <c r="D57" s="4">
        <f ca="1">'Total Trip Tables Sup #2'!D57</f>
        <v>1.7086834297665356E-2</v>
      </c>
      <c r="E57" s="4">
        <f ca="1">'Total Trip Tables Sup #2'!E57</f>
        <v>1.7133864670384562E-2</v>
      </c>
      <c r="F57" s="4">
        <f ca="1">'Total Trip Tables Sup #2'!F57</f>
        <v>1.693321624089112E-2</v>
      </c>
      <c r="G57" s="4">
        <f ca="1">'Total Trip Tables Sup #2'!G57</f>
        <v>1.7023197906326181E-2</v>
      </c>
      <c r="H57" s="4">
        <f ca="1">'Total Trip Tables Sup #2'!H57</f>
        <v>1.6962378763369527E-2</v>
      </c>
      <c r="I57" s="1">
        <f ca="1">'Total Trip Tables Sup #2'!I57</f>
        <v>1.6679719155949575E-2</v>
      </c>
      <c r="J57" s="1">
        <f ca="1">'Total Trip Tables Sup #2'!J57</f>
        <v>1.6350739256710142E-2</v>
      </c>
      <c r="K57" s="1">
        <f ca="1">'Total Trip Tables Sup #2'!K57</f>
        <v>1.5994982467370807E-2</v>
      </c>
    </row>
    <row r="58" spans="1:11" x14ac:dyDescent="0.2">
      <c r="A58" t="str">
        <f ca="1">OFFSET(Gisborne_Reference,63,2)</f>
        <v>Other Household Travel</v>
      </c>
      <c r="B58" s="4">
        <f ca="1">'Total Trip Tables Sup #2'!B58</f>
        <v>3.13358953E-2</v>
      </c>
      <c r="C58" s="4">
        <f ca="1">'Total Trip Tables Sup #2'!C58</f>
        <v>3.2249490534155358E-2</v>
      </c>
      <c r="D58" s="4">
        <f ca="1">'Total Trip Tables Sup #2'!D58</f>
        <v>3.3179157888385172E-2</v>
      </c>
      <c r="E58" s="4">
        <f ca="1">'Total Trip Tables Sup #2'!E58</f>
        <v>3.3776101370946096E-2</v>
      </c>
      <c r="F58" s="4">
        <f ca="1">'Total Trip Tables Sup #2'!F58</f>
        <v>3.4039364613591264E-2</v>
      </c>
      <c r="G58" s="4">
        <f ca="1">'Total Trip Tables Sup #2'!G58</f>
        <v>3.3938701689190429E-2</v>
      </c>
      <c r="H58" s="4">
        <f ca="1">'Total Trip Tables Sup #2'!H58</f>
        <v>3.336811023085362E-2</v>
      </c>
      <c r="I58" s="1">
        <f ca="1">'Total Trip Tables Sup #2'!I58</f>
        <v>3.3158530410369924E-2</v>
      </c>
      <c r="J58" s="1">
        <f ca="1">'Total Trip Tables Sup #2'!J58</f>
        <v>3.2846133790230957E-2</v>
      </c>
      <c r="K58" s="1">
        <f ca="1">'Total Trip Tables Sup #2'!K58</f>
        <v>3.2467474391361884E-2</v>
      </c>
    </row>
    <row r="59" spans="1:11" x14ac:dyDescent="0.2">
      <c r="A59" t="str">
        <f ca="1">OFFSET(Hawkes_Bay_Reference,0,0)</f>
        <v>06 HAWKE`S BAY</v>
      </c>
      <c r="B59" s="4">
        <f ca="1">SUM(B60:B69)</f>
        <v>205.37636075960003</v>
      </c>
      <c r="C59" s="4">
        <f t="shared" ref="C59" ca="1" si="26">SUM(C60:C69)</f>
        <v>218.0995078123407</v>
      </c>
      <c r="D59" s="4">
        <f t="shared" ref="D59" ca="1" si="27">SUM(D60:D69)</f>
        <v>225.9054036528523</v>
      </c>
      <c r="E59" s="4">
        <f t="shared" ref="E59" ca="1" si="28">SUM(E60:E69)</f>
        <v>232.17988045675276</v>
      </c>
      <c r="F59" s="4">
        <f t="shared" ref="F59" ca="1" si="29">SUM(F60:F69)</f>
        <v>237.0092469036824</v>
      </c>
      <c r="G59" s="4">
        <f t="shared" ref="G59" ca="1" si="30">SUM(G60:G69)</f>
        <v>239.65038121647012</v>
      </c>
      <c r="H59" s="4">
        <f t="shared" ref="H59:K59" ca="1" si="31">SUM(H60:H69)</f>
        <v>241.29709189417702</v>
      </c>
      <c r="I59" s="1">
        <f t="shared" ca="1" si="31"/>
        <v>244.29864512975584</v>
      </c>
      <c r="J59" s="1">
        <f t="shared" ca="1" si="31"/>
        <v>246.70339602745358</v>
      </c>
      <c r="K59" s="1">
        <f t="shared" ca="1" si="31"/>
        <v>248.75170460386698</v>
      </c>
    </row>
    <row r="60" spans="1:11" x14ac:dyDescent="0.2">
      <c r="A60" t="str">
        <f ca="1">OFFSET(Hawkes_Bay_Reference,0,2)</f>
        <v>Pedestrian</v>
      </c>
      <c r="B60" s="4">
        <f ca="1">'Total Trip Tables Sup #2'!B60</f>
        <v>26.538300281000001</v>
      </c>
      <c r="C60" s="4">
        <f ca="1">'Total Trip Tables Sup #2'!C60</f>
        <v>27.983212392020185</v>
      </c>
      <c r="D60" s="4">
        <f ca="1">'Total Trip Tables Sup #2'!D60</f>
        <v>29.860492288124721</v>
      </c>
      <c r="E60" s="4">
        <f ca="1">'Total Trip Tables Sup #2'!E60</f>
        <v>31.310564030432229</v>
      </c>
      <c r="F60" s="4">
        <f ca="1">'Total Trip Tables Sup #2'!F60</f>
        <v>32.44819772535309</v>
      </c>
      <c r="G60" s="4">
        <f ca="1">'Total Trip Tables Sup #2'!G60</f>
        <v>33.397499103122733</v>
      </c>
      <c r="H60" s="4">
        <f ca="1">'Total Trip Tables Sup #2'!H60</f>
        <v>34.219964039156551</v>
      </c>
      <c r="I60" s="1">
        <f ca="1">'Total Trip Tables Sup #2'!I60</f>
        <v>34.612191543099428</v>
      </c>
      <c r="J60" s="1">
        <f ca="1">'Total Trip Tables Sup #2'!J60</f>
        <v>34.919693552658046</v>
      </c>
      <c r="K60" s="1">
        <f ca="1">'Total Trip Tables Sup #2'!K60</f>
        <v>35.1767036837538</v>
      </c>
    </row>
    <row r="61" spans="1:11" x14ac:dyDescent="0.2">
      <c r="A61" t="str">
        <f ca="1">OFFSET(Hawkes_Bay_Reference,7,2)</f>
        <v>Cyclist</v>
      </c>
      <c r="B61" s="4">
        <f ca="1">'Total Trip Tables Sup #2'!B61</f>
        <v>3.1819840940000002</v>
      </c>
      <c r="C61" s="4">
        <f ca="1">'Total Trip Tables Sup #2'!C61</f>
        <v>3.3551542398548229</v>
      </c>
      <c r="D61" s="4">
        <f ca="1">'Total Trip Tables Sup #2'!D61</f>
        <v>4.1051607831499641</v>
      </c>
      <c r="E61" s="4">
        <f ca="1">'Total Trip Tables Sup #2'!E61</f>
        <v>4.7947982776273079</v>
      </c>
      <c r="F61" s="4">
        <f ca="1">'Total Trip Tables Sup #2'!F61</f>
        <v>5.4750733454038114</v>
      </c>
      <c r="G61" s="4">
        <f ca="1">'Total Trip Tables Sup #2'!G61</f>
        <v>6.1408986213345385</v>
      </c>
      <c r="H61" s="4">
        <f ca="1">'Total Trip Tables Sup #2'!H61</f>
        <v>6.7983631709283063</v>
      </c>
      <c r="I61" s="1">
        <f ca="1">'Total Trip Tables Sup #2'!I61</f>
        <v>6.8857306465318704</v>
      </c>
      <c r="J61" s="1">
        <f ca="1">'Total Trip Tables Sup #2'!J61</f>
        <v>6.9564547044127787</v>
      </c>
      <c r="K61" s="1">
        <f ca="1">'Total Trip Tables Sup #2'!K61</f>
        <v>7.0173017198750918</v>
      </c>
    </row>
    <row r="62" spans="1:11" x14ac:dyDescent="0.2">
      <c r="A62" t="str">
        <f ca="1">OFFSET(Hawkes_Bay_Reference,14,2)</f>
        <v>Light Vehicle Driver</v>
      </c>
      <c r="B62" s="4">
        <f ca="1">'Total Trip Tables Sup #2'!B62</f>
        <v>111.16933473</v>
      </c>
      <c r="C62" s="4">
        <f ca="1">'Total Trip Tables Sup #2'!C62*(1-'Other Assumptions'!G11)</f>
        <v>120.28330944336443</v>
      </c>
      <c r="D62" s="4">
        <f ca="1">'Total Trip Tables Sup #2'!D62*(1-'Other Assumptions'!H11)</f>
        <v>125.00724019591672</v>
      </c>
      <c r="E62" s="4">
        <f ca="1">'Total Trip Tables Sup #2'!E62*(1-'Other Assumptions'!I11)</f>
        <v>116.20607188302814</v>
      </c>
      <c r="F62" s="4">
        <f ca="1">'Total Trip Tables Sup #2'!F62*(1-'Other Assumptions'!J11)</f>
        <v>105.95011673433262</v>
      </c>
      <c r="G62" s="4">
        <f ca="1">'Total Trip Tables Sup #2'!G62*(1-'Other Assumptions'!K11)</f>
        <v>93.937863468286324</v>
      </c>
      <c r="H62" s="4">
        <f ca="1">'Total Trip Tables Sup #2'!H62*(1-'Other Assumptions'!L11)</f>
        <v>81.236637462573739</v>
      </c>
      <c r="I62" s="1">
        <f ca="1">'Total Trip Tables Sup #2'!I62*(1-'Other Assumptions'!M11)</f>
        <v>68.544885965379422</v>
      </c>
      <c r="J62" s="1">
        <f ca="1">'Total Trip Tables Sup #2'!J62*(1-'Other Assumptions'!N11)</f>
        <v>55.380087896863522</v>
      </c>
      <c r="K62" s="1">
        <f ca="1">'Total Trip Tables Sup #2'!K62*(1-'Other Assumptions'!O11)</f>
        <v>41.883169684888834</v>
      </c>
    </row>
    <row r="63" spans="1:11" x14ac:dyDescent="0.2">
      <c r="A63" t="str">
        <f ca="1">OFFSET(Hawkes_Bay_Reference,21,2)</f>
        <v>Light Vehicle Passenger</v>
      </c>
      <c r="B63" s="4">
        <f ca="1">'Total Trip Tables Sup #2'!B63</f>
        <v>58.497679762000011</v>
      </c>
      <c r="C63" s="4">
        <f ca="1">'Total Trip Tables Sup #2'!C63*(1-'Other Assumptions'!G11)</f>
        <v>60.401372710488189</v>
      </c>
      <c r="D63" s="4">
        <f ca="1">'Total Trip Tables Sup #2'!D63*(1-'Other Assumptions'!H11)</f>
        <v>60.828954756767232</v>
      </c>
      <c r="E63" s="4">
        <f ca="1">'Total Trip Tables Sup #2'!E63*(1-'Other Assumptions'!I11)</f>
        <v>54.733475722045355</v>
      </c>
      <c r="F63" s="4">
        <f ca="1">'Total Trip Tables Sup #2'!F63*(1-'Other Assumptions'!J11)</f>
        <v>48.438147882582975</v>
      </c>
      <c r="G63" s="4">
        <f ca="1">'Total Trip Tables Sup #2'!G63*(1-'Other Assumptions'!K11)</f>
        <v>41.90542825173393</v>
      </c>
      <c r="H63" s="4">
        <f ca="1">'Total Trip Tables Sup #2'!H63*(1-'Other Assumptions'!L11)</f>
        <v>35.350805526877089</v>
      </c>
      <c r="I63" s="1">
        <f ca="1">'Total Trip Tables Sup #2'!I63*(1-'Other Assumptions'!M11)</f>
        <v>29.832275135068997</v>
      </c>
      <c r="J63" s="1">
        <f ca="1">'Total Trip Tables Sup #2'!J63*(1-'Other Assumptions'!N11)</f>
        <v>24.106127353070264</v>
      </c>
      <c r="K63" s="1">
        <f ca="1">'Total Trip Tables Sup #2'!K63*(1-'Other Assumptions'!O11)</f>
        <v>18.233680486552643</v>
      </c>
    </row>
    <row r="64" spans="1:11" x14ac:dyDescent="0.2">
      <c r="A64" t="str">
        <f ca="1">OFFSET(Hawkes_Bay_Reference,28,2)</f>
        <v>Taxi/Vehicle Share</v>
      </c>
      <c r="B64" s="4">
        <f ca="1">'Total Trip Tables Sup #2'!B64</f>
        <v>0.32519619989999998</v>
      </c>
      <c r="C64" s="4">
        <f ca="1">'Total Trip Tables Sup #2'!C64+((C62+C63)*'Other Assumptions'!G11/(1-'Other Assumptions'!G11))</f>
        <v>0.36736571845610017</v>
      </c>
      <c r="D64" s="4">
        <f ca="1">'Total Trip Tables Sup #2'!D64+((D62+D63)*'Other Assumptions'!H11/(1-'Other Assumptions'!H11))</f>
        <v>0.3965536086113865</v>
      </c>
      <c r="E64" s="4">
        <f ca="1">'Total Trip Tables Sup #2'!E64+((E62+E63)*'Other Assumptions'!I11/(1-'Other Assumptions'!I11))</f>
        <v>19.41065931545943</v>
      </c>
      <c r="F64" s="4">
        <f ca="1">'Total Trip Tables Sup #2'!F64+((F62+F63)*'Other Assumptions'!J11/(1-'Other Assumptions'!J11))</f>
        <v>39.030153945367182</v>
      </c>
      <c r="G64" s="4">
        <f ca="1">'Total Trip Tables Sup #2'!G64+((G62+G63)*'Other Assumptions'!K11/(1-'Other Assumptions'!K11))</f>
        <v>58.660264101461387</v>
      </c>
      <c r="H64" s="4">
        <f ca="1">'Total Trip Tables Sup #2'!H64+((H62+H63)*'Other Assumptions'!L11/(1-'Other Assumptions'!L11))</f>
        <v>78.174031112799341</v>
      </c>
      <c r="I64" s="1">
        <f ca="1">'Total Trip Tables Sup #2'!I64+((I62+I63)*'Other Assumptions'!M11/(1-'Other Assumptions'!M11))</f>
        <v>98.831145931980373</v>
      </c>
      <c r="J64" s="1">
        <f ca="1">'Total Trip Tables Sup #2'!J64+((J62+J63)*'Other Assumptions'!N11/(1-'Other Assumptions'!N11))</f>
        <v>119.68708400162163</v>
      </c>
      <c r="K64" s="1">
        <f ca="1">'Total Trip Tables Sup #2'!K64+((K62+K63)*'Other Assumptions'!O11/(1-'Other Assumptions'!O11))</f>
        <v>140.73349927565994</v>
      </c>
    </row>
    <row r="65" spans="1:11" x14ac:dyDescent="0.2">
      <c r="A65" t="str">
        <f ca="1">OFFSET(Hawkes_Bay_Reference,35,2)</f>
        <v>Motorcyclist</v>
      </c>
      <c r="B65" s="4">
        <f ca="1">'Total Trip Tables Sup #2'!B65</f>
        <v>0.65061969099999994</v>
      </c>
      <c r="C65" s="4">
        <f ca="1">'Total Trip Tables Sup #2'!C65</f>
        <v>0.68830116860649893</v>
      </c>
      <c r="D65" s="4">
        <f ca="1">'Total Trip Tables Sup #2'!D65</f>
        <v>0.70232860803682728</v>
      </c>
      <c r="E65" s="4">
        <f ca="1">'Total Trip Tables Sup #2'!E65</f>
        <v>0.71113256309252182</v>
      </c>
      <c r="F65" s="4">
        <f ca="1">'Total Trip Tables Sup #2'!F65</f>
        <v>0.71435254076310217</v>
      </c>
      <c r="G65" s="4">
        <f ca="1">'Total Trip Tables Sup #2'!G65</f>
        <v>0.70498349191763066</v>
      </c>
      <c r="H65" s="4">
        <f ca="1">'Total Trip Tables Sup #2'!H65</f>
        <v>0.69150287843034508</v>
      </c>
      <c r="I65" s="1">
        <f ca="1">'Total Trip Tables Sup #2'!I65</f>
        <v>0.70195443423890191</v>
      </c>
      <c r="J65" s="1">
        <f ca="1">'Total Trip Tables Sup #2'!J65</f>
        <v>0.7107313581711836</v>
      </c>
      <c r="K65" s="1">
        <f ca="1">'Total Trip Tables Sup #2'!K65</f>
        <v>0.71851304751854994</v>
      </c>
    </row>
    <row r="66" spans="1:11" x14ac:dyDescent="0.2">
      <c r="A66" t="str">
        <f ca="1">OFFSET(Auckland_Reference,42,2)</f>
        <v>Local Train</v>
      </c>
      <c r="B66" s="4">
        <f ca="1">'Total Trip Tables Sup #2'!B66</f>
        <v>0</v>
      </c>
      <c r="C66" s="4">
        <f ca="1">'Total Trip Tables Sup #2'!C66</f>
        <v>0</v>
      </c>
      <c r="D66" s="4">
        <f ca="1">'Total Trip Tables Sup #2'!D66</f>
        <v>0</v>
      </c>
      <c r="E66" s="4">
        <f ca="1">'Total Trip Tables Sup #2'!E66</f>
        <v>0</v>
      </c>
      <c r="F66" s="4">
        <f ca="1">'Total Trip Tables Sup #2'!F66</f>
        <v>0</v>
      </c>
      <c r="G66" s="4">
        <f ca="1">'Total Trip Tables Sup #2'!G66</f>
        <v>0</v>
      </c>
      <c r="H66" s="4">
        <f ca="1">'Total Trip Tables Sup #2'!H66</f>
        <v>0</v>
      </c>
      <c r="I66" s="1">
        <f ca="1">'Total Trip Tables Sup #2'!I66</f>
        <v>0</v>
      </c>
      <c r="J66" s="1">
        <f ca="1">'Total Trip Tables Sup #2'!J66</f>
        <v>0</v>
      </c>
      <c r="K66" s="1">
        <f ca="1">'Total Trip Tables Sup #2'!K66</f>
        <v>0</v>
      </c>
    </row>
    <row r="67" spans="1:11" x14ac:dyDescent="0.2">
      <c r="A67" t="str">
        <f ca="1">OFFSET(Hawkes_Bay_Reference,42,2)</f>
        <v>Local Bus</v>
      </c>
      <c r="B67" s="4">
        <f ca="1">'Total Trip Tables Sup #2'!B67</f>
        <v>4.5218645043999999</v>
      </c>
      <c r="C67" s="4">
        <f ca="1">'Total Trip Tables Sup #2'!C67</f>
        <v>4.4958829121817789</v>
      </c>
      <c r="D67" s="4">
        <f ca="1">'Total Trip Tables Sup #2'!D67</f>
        <v>4.4511057500402833</v>
      </c>
      <c r="E67" s="4">
        <f ca="1">'Total Trip Tables Sup #2'!E67</f>
        <v>4.4383128564579861</v>
      </c>
      <c r="F67" s="4">
        <f ca="1">'Total Trip Tables Sup #2'!F67</f>
        <v>4.3626161876203504</v>
      </c>
      <c r="G67" s="4">
        <f ca="1">'Total Trip Tables Sup #2'!G67</f>
        <v>4.3022011684901624</v>
      </c>
      <c r="H67" s="4">
        <f ca="1">'Total Trip Tables Sup #2'!H67</f>
        <v>4.2219821797925441</v>
      </c>
      <c r="I67" s="1">
        <f ca="1">'Total Trip Tables Sup #2'!I67</f>
        <v>4.2772108569171845</v>
      </c>
      <c r="J67" s="1">
        <f ca="1">'Total Trip Tables Sup #2'!J67</f>
        <v>4.3219581996954837</v>
      </c>
      <c r="K67" s="1">
        <f ca="1">'Total Trip Tables Sup #2'!K67</f>
        <v>4.3604129816218915</v>
      </c>
    </row>
    <row r="68" spans="1:11" x14ac:dyDescent="0.2">
      <c r="A68" t="str">
        <f ca="1">OFFSET(Waikato_Reference,56,2)</f>
        <v>Local Ferry</v>
      </c>
      <c r="B68" s="4">
        <f ca="1">'Total Trip Tables Sup #2'!B68</f>
        <v>0</v>
      </c>
      <c r="C68" s="4">
        <f ca="1">'Total Trip Tables Sup #2'!C68</f>
        <v>0</v>
      </c>
      <c r="D68" s="4">
        <f ca="1">'Total Trip Tables Sup #2'!D68</f>
        <v>0</v>
      </c>
      <c r="E68" s="4">
        <f ca="1">'Total Trip Tables Sup #2'!E68</f>
        <v>0</v>
      </c>
      <c r="F68" s="4">
        <f ca="1">'Total Trip Tables Sup #2'!F68</f>
        <v>0</v>
      </c>
      <c r="G68" s="4">
        <f ca="1">'Total Trip Tables Sup #2'!G68</f>
        <v>0</v>
      </c>
      <c r="H68" s="4">
        <f ca="1">'Total Trip Tables Sup #2'!H68</f>
        <v>0</v>
      </c>
      <c r="I68" s="1">
        <f ca="1">'Total Trip Tables Sup #2'!I68</f>
        <v>0</v>
      </c>
      <c r="J68" s="1">
        <f ca="1">'Total Trip Tables Sup #2'!J68</f>
        <v>0</v>
      </c>
      <c r="K68" s="1">
        <f ca="1">'Total Trip Tables Sup #2'!K68</f>
        <v>0</v>
      </c>
    </row>
    <row r="69" spans="1:11" x14ac:dyDescent="0.2">
      <c r="A69" t="str">
        <f ca="1">OFFSET(Hawkes_Bay_Reference,49,2)</f>
        <v>Other Household Travel</v>
      </c>
      <c r="B69" s="4">
        <f ca="1">'Total Trip Tables Sup #2'!B69</f>
        <v>0.49138149730000003</v>
      </c>
      <c r="C69" s="4">
        <f ca="1">'Total Trip Tables Sup #2'!C69</f>
        <v>0.5249092273687086</v>
      </c>
      <c r="D69" s="4">
        <f ca="1">'Total Trip Tables Sup #2'!D69</f>
        <v>0.55356766220515274</v>
      </c>
      <c r="E69" s="4">
        <f ca="1">'Total Trip Tables Sup #2'!E69</f>
        <v>0.57486580860977088</v>
      </c>
      <c r="F69" s="4">
        <f ca="1">'Total Trip Tables Sup #2'!F69</f>
        <v>0.59058854225928303</v>
      </c>
      <c r="G69" s="4">
        <f ca="1">'Total Trip Tables Sup #2'!G69</f>
        <v>0.6012430101234022</v>
      </c>
      <c r="H69" s="4">
        <f ca="1">'Total Trip Tables Sup #2'!H69</f>
        <v>0.60380552361912021</v>
      </c>
      <c r="I69" s="1">
        <f ca="1">'Total Trip Tables Sup #2'!I69</f>
        <v>0.61325061653968904</v>
      </c>
      <c r="J69" s="1">
        <f ca="1">'Total Trip Tables Sup #2'!J69</f>
        <v>0.62125896096069599</v>
      </c>
      <c r="K69" s="1">
        <f ca="1">'Total Trip Tables Sup #2'!K69</f>
        <v>0.62842372399622859</v>
      </c>
    </row>
    <row r="70" spans="1:11" x14ac:dyDescent="0.2">
      <c r="A70" t="str">
        <f ca="1">OFFSET(Taranaki_Reference,0,0)</f>
        <v>07 TARANAKI</v>
      </c>
      <c r="B70" s="4">
        <f ca="1">SUM(B71:B80)</f>
        <v>164.86299707219999</v>
      </c>
      <c r="C70" s="4">
        <f t="shared" ref="C70" ca="1" si="32">SUM(C71:C80)</f>
        <v>176.90060265696854</v>
      </c>
      <c r="D70" s="4">
        <f t="shared" ref="D70" ca="1" si="33">SUM(D71:D80)</f>
        <v>184.91783319980519</v>
      </c>
      <c r="E70" s="4">
        <f t="shared" ref="E70" ca="1" si="34">SUM(E71:E80)</f>
        <v>191.52339969282397</v>
      </c>
      <c r="F70" s="4">
        <f t="shared" ref="F70" ca="1" si="35">SUM(F71:F80)</f>
        <v>197.227946147609</v>
      </c>
      <c r="G70" s="4">
        <f t="shared" ref="G70" ca="1" si="36">SUM(G71:G80)</f>
        <v>201.21375074928977</v>
      </c>
      <c r="H70" s="4">
        <f t="shared" ref="H70:K70" ca="1" si="37">SUM(H71:H80)</f>
        <v>204.39483786085921</v>
      </c>
      <c r="I70" s="1">
        <f t="shared" ca="1" si="37"/>
        <v>208.67991264471399</v>
      </c>
      <c r="J70" s="1">
        <f t="shared" ca="1" si="37"/>
        <v>212.4684810440823</v>
      </c>
      <c r="K70" s="1">
        <f t="shared" ca="1" si="37"/>
        <v>215.95445418618289</v>
      </c>
    </row>
    <row r="71" spans="1:11" x14ac:dyDescent="0.2">
      <c r="A71" t="str">
        <f ca="1">OFFSET(Taranaki_Reference,0,2)</f>
        <v>Pedestrian</v>
      </c>
      <c r="B71" s="4">
        <f ca="1">'Total Trip Tables Sup #2'!B71</f>
        <v>23.308571313000002</v>
      </c>
      <c r="C71" s="4">
        <f ca="1">'Total Trip Tables Sup #2'!C71</f>
        <v>24.799960306236791</v>
      </c>
      <c r="D71" s="4">
        <f ca="1">'Total Trip Tables Sup #2'!D71</f>
        <v>26.686629839541069</v>
      </c>
      <c r="E71" s="4">
        <f ca="1">'Total Trip Tables Sup #2'!E71</f>
        <v>28.185536782282284</v>
      </c>
      <c r="F71" s="4">
        <f ca="1">'Total Trip Tables Sup #2'!F71</f>
        <v>29.453104611892407</v>
      </c>
      <c r="G71" s="4">
        <f ca="1">'Total Trip Tables Sup #2'!G71</f>
        <v>30.579385758278523</v>
      </c>
      <c r="H71" s="4">
        <f ca="1">'Total Trip Tables Sup #2'!H71</f>
        <v>31.6028170400539</v>
      </c>
      <c r="I71" s="1">
        <f ca="1">'Total Trip Tables Sup #2'!I71</f>
        <v>32.234874523846031</v>
      </c>
      <c r="J71" s="1">
        <f ca="1">'Total Trip Tables Sup #2'!J71</f>
        <v>32.789580997962965</v>
      </c>
      <c r="K71" s="1">
        <f ca="1">'Total Trip Tables Sup #2'!K71</f>
        <v>33.297063493077964</v>
      </c>
    </row>
    <row r="72" spans="1:11" x14ac:dyDescent="0.2">
      <c r="A72" t="str">
        <f ca="1">OFFSET(Taranaki_Reference,7,2)</f>
        <v>Cyclist</v>
      </c>
      <c r="B72" s="4">
        <f ca="1">'Total Trip Tables Sup #2'!B72</f>
        <v>2.1611397319000001</v>
      </c>
      <c r="C72" s="4">
        <f ca="1">'Total Trip Tables Sup #2'!C72</f>
        <v>2.2993664993998495</v>
      </c>
      <c r="D72" s="4">
        <f ca="1">'Total Trip Tables Sup #2'!D72</f>
        <v>2.8370646506469908</v>
      </c>
      <c r="E72" s="4">
        <f ca="1">'Total Trip Tables Sup #2'!E72</f>
        <v>3.3377057930603296</v>
      </c>
      <c r="F72" s="4">
        <f ca="1">'Total Trip Tables Sup #2'!F72</f>
        <v>3.8430207944314319</v>
      </c>
      <c r="G72" s="4">
        <f ca="1">'Total Trip Tables Sup #2'!G72</f>
        <v>4.3479949525086488</v>
      </c>
      <c r="H72" s="4">
        <f ca="1">'Total Trip Tables Sup #2'!H72</f>
        <v>4.8550410004136531</v>
      </c>
      <c r="I72" s="1">
        <f ca="1">'Total Trip Tables Sup #2'!I72</f>
        <v>4.9589440518750294</v>
      </c>
      <c r="J72" s="1">
        <f ca="1">'Total Trip Tables Sup #2'!J72</f>
        <v>5.051213179444054</v>
      </c>
      <c r="K72" s="1">
        <f ca="1">'Total Trip Tables Sup #2'!K72</f>
        <v>5.1364520316832829</v>
      </c>
    </row>
    <row r="73" spans="1:11" x14ac:dyDescent="0.2">
      <c r="A73" t="str">
        <f ca="1">OFFSET(Taranaki_Reference,14,2)</f>
        <v>Light Vehicle Driver</v>
      </c>
      <c r="B73" s="4">
        <f ca="1">'Total Trip Tables Sup #2'!B73</f>
        <v>90.801950900999998</v>
      </c>
      <c r="C73" s="4">
        <f ca="1">'Total Trip Tables Sup #2'!C73*(1-'Other Assumptions'!G12)</f>
        <v>99.134862318213521</v>
      </c>
      <c r="D73" s="4">
        <f ca="1">'Total Trip Tables Sup #2'!D73*(1-'Other Assumptions'!H12)</f>
        <v>103.902155044471</v>
      </c>
      <c r="E73" s="4">
        <f ca="1">'Total Trip Tables Sup #2'!E73*(1-'Other Assumptions'!I12)</f>
        <v>97.29243439319248</v>
      </c>
      <c r="F73" s="4">
        <f ca="1">'Total Trip Tables Sup #2'!F73*(1-'Other Assumptions'!J12)</f>
        <v>89.449619908166653</v>
      </c>
      <c r="G73" s="4">
        <f ca="1">'Total Trip Tables Sup #2'!G73*(1-'Other Assumptions'!K12)</f>
        <v>80.004507737754324</v>
      </c>
      <c r="H73" s="4">
        <f ca="1">'Total Trip Tables Sup #2'!H73*(1-'Other Assumptions'!L12)</f>
        <v>69.787977528872204</v>
      </c>
      <c r="I73" s="1">
        <f ca="1">'Total Trip Tables Sup #2'!I73*(1-'Other Assumptions'!M12)</f>
        <v>59.382008024425062</v>
      </c>
      <c r="J73" s="1">
        <f ca="1">'Total Trip Tables Sup #2'!J73*(1-'Other Assumptions'!N12)</f>
        <v>48.372945327526899</v>
      </c>
      <c r="K73" s="1">
        <f ca="1">'Total Trip Tables Sup #2'!K73*(1-'Other Assumptions'!O12)</f>
        <v>36.878589076854041</v>
      </c>
    </row>
    <row r="74" spans="1:11" x14ac:dyDescent="0.2">
      <c r="A74" t="str">
        <f ca="1">OFFSET(Taranaki_Reference,21,2)</f>
        <v>Light Vehicle Passenger</v>
      </c>
      <c r="B74" s="4">
        <f ca="1">'Total Trip Tables Sup #2'!B74</f>
        <v>45.484067730000007</v>
      </c>
      <c r="C74" s="4">
        <f ca="1">'Total Trip Tables Sup #2'!C74*(1-'Other Assumptions'!G12)</f>
        <v>47.389085936864362</v>
      </c>
      <c r="D74" s="4">
        <f ca="1">'Total Trip Tables Sup #2'!D74*(1-'Other Assumptions'!H12)</f>
        <v>48.114285399056179</v>
      </c>
      <c r="E74" s="4">
        <f ca="1">'Total Trip Tables Sup #2'!E74*(1-'Other Assumptions'!I12)</f>
        <v>43.595260447207309</v>
      </c>
      <c r="F74" s="4">
        <f ca="1">'Total Trip Tables Sup #2'!F74*(1-'Other Assumptions'!J12)</f>
        <v>38.892317160740561</v>
      </c>
      <c r="G74" s="4">
        <f ca="1">'Total Trip Tables Sup #2'!G74*(1-'Other Assumptions'!K12)</f>
        <v>33.931762270920963</v>
      </c>
      <c r="H74" s="4">
        <f ca="1">'Total Trip Tables Sup #2'!H74*(1-'Other Assumptions'!L12)</f>
        <v>28.863809337419021</v>
      </c>
      <c r="I74" s="1">
        <f ca="1">'Total Trip Tables Sup #2'!I74*(1-'Other Assumptions'!M12)</f>
        <v>24.563662151160532</v>
      </c>
      <c r="J74" s="1">
        <f ca="1">'Total Trip Tables Sup #2'!J74*(1-'Other Assumptions'!N12)</f>
        <v>20.012645417550331</v>
      </c>
      <c r="K74" s="1">
        <f ca="1">'Total Trip Tables Sup #2'!K74*(1-'Other Assumptions'!O12)</f>
        <v>15.259436268201878</v>
      </c>
    </row>
    <row r="75" spans="1:11" x14ac:dyDescent="0.2">
      <c r="A75" t="str">
        <f ca="1">OFFSET(Taranaki_Reference,28,2)</f>
        <v>Taxi/Vehicle Share</v>
      </c>
      <c r="B75" s="4">
        <f ca="1">'Total Trip Tables Sup #2'!B75</f>
        <v>0.56194422089999996</v>
      </c>
      <c r="C75" s="4">
        <f ca="1">'Total Trip Tables Sup #2'!C75+((C73+C74)*'Other Assumptions'!G12/(1-'Other Assumptions'!G12))</f>
        <v>0.64055620168329497</v>
      </c>
      <c r="D75" s="4">
        <f ca="1">'Total Trip Tables Sup #2'!D75+((D73+D74)*'Other Assumptions'!H12/(1-'Other Assumptions'!H12))</f>
        <v>0.69727464185002308</v>
      </c>
      <c r="E75" s="4">
        <f ca="1">'Total Trip Tables Sup #2'!E75+((E73+E74)*'Other Assumptions'!I12/(1-'Other Assumptions'!I12))</f>
        <v>16.393399189176836</v>
      </c>
      <c r="F75" s="4">
        <f ca="1">'Total Trip Tables Sup #2'!F75+((F73+F74)*'Other Assumptions'!J12/(1-'Other Assumptions'!J12))</f>
        <v>32.858915378938512</v>
      </c>
      <c r="G75" s="4">
        <f ca="1">'Total Trip Tables Sup #2'!G75+((G73+G74)*'Other Assumptions'!K12/(1-'Other Assumptions'!K12))</f>
        <v>49.625545356344077</v>
      </c>
      <c r="H75" s="4">
        <f ca="1">'Total Trip Tables Sup #2'!H75+((H73+H74)*'Other Assumptions'!L12/(1-'Other Assumptions'!L12))</f>
        <v>66.583809958383213</v>
      </c>
      <c r="I75" s="1">
        <f ca="1">'Total Trip Tables Sup #2'!I75+((I73+I74)*'Other Assumptions'!M12/(1-'Other Assumptions'!M12))</f>
        <v>84.777517118205736</v>
      </c>
      <c r="J75" s="1">
        <f ca="1">'Total Trip Tables Sup #2'!J75+((J73+J74)*'Other Assumptions'!N12/(1-'Other Assumptions'!N12))</f>
        <v>103.42407291257652</v>
      </c>
      <c r="K75" s="1">
        <f ca="1">'Total Trip Tables Sup #2'!K75+((K73+K74)*'Other Assumptions'!O12/(1-'Other Assumptions'!O12))</f>
        <v>122.51364387603628</v>
      </c>
    </row>
    <row r="76" spans="1:11" x14ac:dyDescent="0.2">
      <c r="A76" t="str">
        <f ca="1">OFFSET(Taranaki_Reference,35,2)</f>
        <v>Motorcyclist</v>
      </c>
      <c r="B76" s="4">
        <f ca="1">'Total Trip Tables Sup #2'!B76</f>
        <v>1.091812341</v>
      </c>
      <c r="C76" s="4">
        <f ca="1">'Total Trip Tables Sup #2'!C76</f>
        <v>1.165494340707488</v>
      </c>
      <c r="D76" s="4">
        <f ca="1">'Total Trip Tables Sup #2'!D76</f>
        <v>1.1992655891819577</v>
      </c>
      <c r="E76" s="4">
        <f ca="1">'Total Trip Tables Sup #2'!E76</f>
        <v>1.2231063754974314</v>
      </c>
      <c r="F76" s="4">
        <f ca="1">'Total Trip Tables Sup #2'!F76</f>
        <v>1.2388859826299214</v>
      </c>
      <c r="G76" s="4">
        <f ca="1">'Total Trip Tables Sup #2'!G76</f>
        <v>1.2333092917482427</v>
      </c>
      <c r="H76" s="4">
        <f ca="1">'Total Trip Tables Sup #2'!H76</f>
        <v>1.2201647815421526</v>
      </c>
      <c r="I76" s="1">
        <f ca="1">'Total Trip Tables Sup #2'!I76</f>
        <v>1.2490621626149194</v>
      </c>
      <c r="J76" s="1">
        <f ca="1">'Total Trip Tables Sup #2'!J76</f>
        <v>1.2751144456790118</v>
      </c>
      <c r="K76" s="1">
        <f ca="1">'Total Trip Tables Sup #2'!K76</f>
        <v>1.2994623409387991</v>
      </c>
    </row>
    <row r="77" spans="1:11" x14ac:dyDescent="0.2">
      <c r="A77" t="str">
        <f ca="1">OFFSET(Taranaki_Reference,42,2)</f>
        <v>Local Train</v>
      </c>
      <c r="B77" s="4">
        <f ca="1">'Total Trip Tables Sup #2'!B77</f>
        <v>0</v>
      </c>
      <c r="C77" s="4">
        <f ca="1">'Total Trip Tables Sup #2'!C77</f>
        <v>0</v>
      </c>
      <c r="D77" s="4">
        <f ca="1">'Total Trip Tables Sup #2'!D77</f>
        <v>0</v>
      </c>
      <c r="E77" s="4">
        <f ca="1">'Total Trip Tables Sup #2'!E77</f>
        <v>0</v>
      </c>
      <c r="F77" s="4">
        <f ca="1">'Total Trip Tables Sup #2'!F77</f>
        <v>0</v>
      </c>
      <c r="G77" s="4">
        <f ca="1">'Total Trip Tables Sup #2'!G77</f>
        <v>0</v>
      </c>
      <c r="H77" s="4">
        <f ca="1">'Total Trip Tables Sup #2'!H77</f>
        <v>0</v>
      </c>
      <c r="I77" s="1">
        <f ca="1">'Total Trip Tables Sup #2'!I77</f>
        <v>0</v>
      </c>
      <c r="J77" s="1">
        <f ca="1">'Total Trip Tables Sup #2'!J77</f>
        <v>0</v>
      </c>
      <c r="K77" s="1">
        <f ca="1">'Total Trip Tables Sup #2'!K77</f>
        <v>0</v>
      </c>
    </row>
    <row r="78" spans="1:11" x14ac:dyDescent="0.2">
      <c r="A78" t="str">
        <f ca="1">OFFSET(Taranaki_Reference,49,2)</f>
        <v>Local Bus</v>
      </c>
      <c r="B78" s="4">
        <f ca="1">'Total Trip Tables Sup #2'!B78</f>
        <v>1.2787514622</v>
      </c>
      <c r="C78" s="4">
        <f ca="1">'Total Trip Tables Sup #2'!C78</f>
        <v>1.2829048797980893</v>
      </c>
      <c r="D78" s="4">
        <f ca="1">'Total Trip Tables Sup #2'!D78</f>
        <v>1.2808277512549544</v>
      </c>
      <c r="E78" s="4">
        <f ca="1">'Total Trip Tables Sup #2'!E78</f>
        <v>1.2864099168769383</v>
      </c>
      <c r="F78" s="4">
        <f ca="1">'Total Trip Tables Sup #2'!F78</f>
        <v>1.2750098931464833</v>
      </c>
      <c r="G78" s="4">
        <f ca="1">'Total Trip Tables Sup #2'!G78</f>
        <v>1.2683279776044551</v>
      </c>
      <c r="H78" s="4">
        <f ca="1">'Total Trip Tables Sup #2'!H78</f>
        <v>1.2554189846942045</v>
      </c>
      <c r="I78" s="1">
        <f ca="1">'Total Trip Tables Sup #2'!I78</f>
        <v>1.2825774324539216</v>
      </c>
      <c r="J78" s="1">
        <f ca="1">'Total Trip Tables Sup #2'!J78</f>
        <v>1.3066884532991654</v>
      </c>
      <c r="K78" s="1">
        <f ca="1">'Total Trip Tables Sup #2'!K78</f>
        <v>1.3289372219168409</v>
      </c>
    </row>
    <row r="79" spans="1:11" x14ac:dyDescent="0.2">
      <c r="A79" t="str">
        <f ca="1">OFFSET(Waikato_Reference,56,2)</f>
        <v>Local Ferry</v>
      </c>
      <c r="B79" s="4">
        <f ca="1">'Total Trip Tables Sup #2'!B79</f>
        <v>0</v>
      </c>
      <c r="C79" s="4">
        <f ca="1">'Total Trip Tables Sup #2'!C79</f>
        <v>0</v>
      </c>
      <c r="D79" s="4">
        <f ca="1">'Total Trip Tables Sup #2'!D79</f>
        <v>0</v>
      </c>
      <c r="E79" s="4">
        <f ca="1">'Total Trip Tables Sup #2'!E79</f>
        <v>0</v>
      </c>
      <c r="F79" s="4">
        <f ca="1">'Total Trip Tables Sup #2'!F79</f>
        <v>0</v>
      </c>
      <c r="G79" s="4">
        <f ca="1">'Total Trip Tables Sup #2'!G79</f>
        <v>0</v>
      </c>
      <c r="H79" s="4">
        <f ca="1">'Total Trip Tables Sup #2'!H79</f>
        <v>0</v>
      </c>
      <c r="I79" s="1">
        <f ca="1">'Total Trip Tables Sup #2'!I79</f>
        <v>0</v>
      </c>
      <c r="J79" s="1">
        <f ca="1">'Total Trip Tables Sup #2'!J79</f>
        <v>0</v>
      </c>
      <c r="K79" s="1">
        <f ca="1">'Total Trip Tables Sup #2'!K79</f>
        <v>0</v>
      </c>
    </row>
    <row r="80" spans="1:11" x14ac:dyDescent="0.2">
      <c r="A80" t="str">
        <f ca="1">OFFSET(Taranaki_Reference,56,2)</f>
        <v>Other Household Travel</v>
      </c>
      <c r="B80" s="4">
        <f ca="1">'Total Trip Tables Sup #2'!B80</f>
        <v>0.17475937220000001</v>
      </c>
      <c r="C80" s="4">
        <f ca="1">'Total Trip Tables Sup #2'!C80</f>
        <v>0.18837217406516951</v>
      </c>
      <c r="D80" s="4">
        <f ca="1">'Total Trip Tables Sup #2'!D80</f>
        <v>0.20033028380304183</v>
      </c>
      <c r="E80" s="4">
        <f ca="1">'Total Trip Tables Sup #2'!E80</f>
        <v>0.20954679553035238</v>
      </c>
      <c r="F80" s="4">
        <f ca="1">'Total Trip Tables Sup #2'!F80</f>
        <v>0.21707241766304378</v>
      </c>
      <c r="G80" s="4">
        <f ca="1">'Total Trip Tables Sup #2'!G80</f>
        <v>0.22291740413054334</v>
      </c>
      <c r="H80" s="4">
        <f ca="1">'Total Trip Tables Sup #2'!H80</f>
        <v>0.22579922948085251</v>
      </c>
      <c r="I80" s="1">
        <f ca="1">'Total Trip Tables Sup #2'!I80</f>
        <v>0.23126718013275557</v>
      </c>
      <c r="J80" s="1">
        <f ca="1">'Total Trip Tables Sup #2'!J80</f>
        <v>0.23622031004336339</v>
      </c>
      <c r="K80" s="1">
        <f ca="1">'Total Trip Tables Sup #2'!K80</f>
        <v>0.24086987747379887</v>
      </c>
    </row>
    <row r="81" spans="1:11" x14ac:dyDescent="0.2">
      <c r="A81" t="str">
        <f ca="1">OFFSET(Manawatu_Reference,0,0)</f>
        <v>08 MANAWATU-WANGANUI</v>
      </c>
      <c r="B81" s="4">
        <f ca="1">SUM(B82:B91)</f>
        <v>314.31283259870003</v>
      </c>
      <c r="C81" s="4">
        <f t="shared" ref="C81" ca="1" si="38">SUM(C82:C91)</f>
        <v>330.69188914016127</v>
      </c>
      <c r="D81" s="4">
        <f t="shared" ref="D81" ca="1" si="39">SUM(D82:D91)</f>
        <v>338.64814812556102</v>
      </c>
      <c r="E81" s="4">
        <f t="shared" ref="E81" ca="1" si="40">SUM(E82:E91)</f>
        <v>344.79361706216508</v>
      </c>
      <c r="F81" s="4">
        <f t="shared" ref="F81" ca="1" si="41">SUM(F82:F91)</f>
        <v>348.71433580850675</v>
      </c>
      <c r="G81" s="4">
        <f t="shared" ref="G81" ca="1" si="42">SUM(G82:G91)</f>
        <v>349.25302859805385</v>
      </c>
      <c r="H81" s="4">
        <f t="shared" ref="H81:K81" ca="1" si="43">SUM(H82:H91)</f>
        <v>347.90002113085529</v>
      </c>
      <c r="I81" s="1">
        <f t="shared" ca="1" si="43"/>
        <v>348.27103460751562</v>
      </c>
      <c r="J81" s="1">
        <f t="shared" ca="1" si="43"/>
        <v>347.7281481375573</v>
      </c>
      <c r="K81" s="1">
        <f t="shared" ca="1" si="43"/>
        <v>346.64157857786552</v>
      </c>
    </row>
    <row r="82" spans="1:11" x14ac:dyDescent="0.2">
      <c r="A82" t="str">
        <f ca="1">OFFSET(Manawatu_Reference,0,2)</f>
        <v>Pedestrian</v>
      </c>
      <c r="B82" s="4">
        <f ca="1">'Total Trip Tables Sup #2'!B82</f>
        <v>39.544031846000003</v>
      </c>
      <c r="C82" s="4">
        <f ca="1">'Total Trip Tables Sup #2'!C82</f>
        <v>41.249743158874857</v>
      </c>
      <c r="D82" s="4">
        <f ca="1">'Total Trip Tables Sup #2'!D82</f>
        <v>43.486408575921203</v>
      </c>
      <c r="E82" s="4">
        <f ca="1">'Total Trip Tables Sup #2'!E82</f>
        <v>45.139642403320934</v>
      </c>
      <c r="F82" s="4">
        <f ca="1">'Total Trip Tables Sup #2'!F82</f>
        <v>46.316496676384546</v>
      </c>
      <c r="G82" s="4">
        <f ca="1">'Total Trip Tables Sup #2'!G82</f>
        <v>47.196765479732548</v>
      </c>
      <c r="H82" s="4">
        <f ca="1">'Total Trip Tables Sup #2'!H82</f>
        <v>47.820005624814748</v>
      </c>
      <c r="I82" s="1">
        <f ca="1">'Total Trip Tables Sup #2'!I82</f>
        <v>47.825419976963573</v>
      </c>
      <c r="J82" s="1">
        <f ca="1">'Total Trip Tables Sup #2'!J82</f>
        <v>47.706135866368371</v>
      </c>
      <c r="K82" s="1">
        <f ca="1">'Total Trip Tables Sup #2'!K82</f>
        <v>47.51322751359541</v>
      </c>
    </row>
    <row r="83" spans="1:11" x14ac:dyDescent="0.2">
      <c r="A83" t="str">
        <f ca="1">OFFSET(Manawatu_Reference,7,2)</f>
        <v>Cyclist</v>
      </c>
      <c r="B83" s="4">
        <f ca="1">'Total Trip Tables Sup #2'!B83</f>
        <v>4.6745036201000003</v>
      </c>
      <c r="C83" s="4">
        <f ca="1">'Total Trip Tables Sup #2'!C83</f>
        <v>4.8760238657404376</v>
      </c>
      <c r="D83" s="4">
        <f ca="1">'Total Trip Tables Sup #2'!D83</f>
        <v>5.8940851097243376</v>
      </c>
      <c r="E83" s="4">
        <f ca="1">'Total Trip Tables Sup #2'!E83</f>
        <v>6.8150212840078135</v>
      </c>
      <c r="F83" s="4">
        <f ca="1">'Total Trip Tables Sup #2'!F83</f>
        <v>7.7048593797608564</v>
      </c>
      <c r="G83" s="4">
        <f ca="1">'Total Trip Tables Sup #2'!G83</f>
        <v>8.5557851445392998</v>
      </c>
      <c r="H83" s="4">
        <f ca="1">'Total Trip Tables Sup #2'!H83</f>
        <v>9.3662142461783553</v>
      </c>
      <c r="I83" s="1">
        <f ca="1">'Total Trip Tables Sup #2'!I83</f>
        <v>9.3801412206358314</v>
      </c>
      <c r="J83" s="1">
        <f ca="1">'Total Trip Tables Sup #2'!J83</f>
        <v>9.3696082104560787</v>
      </c>
      <c r="K83" s="1">
        <f ca="1">'Total Trip Tables Sup #2'!K83</f>
        <v>9.3445672714418411</v>
      </c>
    </row>
    <row r="84" spans="1:11" x14ac:dyDescent="0.2">
      <c r="A84" t="str">
        <f ca="1">OFFSET(Manawatu_Reference,14,2)</f>
        <v>Light Vehicle Driver</v>
      </c>
      <c r="B84" s="4">
        <f ca="1">'Total Trip Tables Sup #2'!B84</f>
        <v>178.69640117</v>
      </c>
      <c r="C84" s="4">
        <f ca="1">'Total Trip Tables Sup #2'!C84*(1-'Other Assumptions'!G13)</f>
        <v>191.27226677255371</v>
      </c>
      <c r="D84" s="4">
        <f ca="1">'Total Trip Tables Sup #2'!D84*(1-'Other Assumptions'!H13)</f>
        <v>196.44395186806895</v>
      </c>
      <c r="E84" s="4">
        <f ca="1">'Total Trip Tables Sup #2'!E84*(1-'Other Assumptions'!I13)</f>
        <v>180.82583494921352</v>
      </c>
      <c r="F84" s="4">
        <f ca="1">'Total Trip Tables Sup #2'!F84*(1-'Other Assumptions'!J13)</f>
        <v>163.27599776477851</v>
      </c>
      <c r="G84" s="4">
        <f ca="1">'Total Trip Tables Sup #2'!G84*(1-'Other Assumptions'!K13)</f>
        <v>143.35863426298749</v>
      </c>
      <c r="H84" s="4">
        <f ca="1">'Total Trip Tables Sup #2'!H84*(1-'Other Assumptions'!L13)</f>
        <v>122.62333936197359</v>
      </c>
      <c r="I84" s="1">
        <f ca="1">'Total Trip Tables Sup #2'!I84*(1-'Other Assumptions'!M13)</f>
        <v>102.30470457012592</v>
      </c>
      <c r="J84" s="1">
        <f ca="1">'Total Trip Tables Sup #2'!J84*(1-'Other Assumptions'!N13)</f>
        <v>81.723705229311392</v>
      </c>
      <c r="K84" s="1">
        <f ca="1">'Total Trip Tables Sup #2'!K84*(1-'Other Assumptions'!O13)</f>
        <v>61.10676216621485</v>
      </c>
    </row>
    <row r="85" spans="1:11" x14ac:dyDescent="0.2">
      <c r="A85" t="str">
        <f ca="1">OFFSET(Manawatu_Reference,21,2)</f>
        <v>Light Vehicle Passenger</v>
      </c>
      <c r="B85" s="4">
        <f ca="1">'Total Trip Tables Sup #2'!B85</f>
        <v>84.046137803000008</v>
      </c>
      <c r="C85" s="4">
        <f ca="1">'Total Trip Tables Sup #2'!C85*(1-'Other Assumptions'!G13)</f>
        <v>85.850289821734023</v>
      </c>
      <c r="D85" s="4">
        <f ca="1">'Total Trip Tables Sup #2'!D85*(1-'Other Assumptions'!H13)</f>
        <v>85.395432446313023</v>
      </c>
      <c r="E85" s="4">
        <f ca="1">'Total Trip Tables Sup #2'!E85*(1-'Other Assumptions'!I13)</f>
        <v>76.047121052319881</v>
      </c>
      <c r="F85" s="4">
        <f ca="1">'Total Trip Tables Sup #2'!F85*(1-'Other Assumptions'!J13)</f>
        <v>66.617696282218034</v>
      </c>
      <c r="G85" s="4">
        <f ca="1">'Total Trip Tables Sup #2'!G85*(1-'Other Assumptions'!K13)</f>
        <v>57.045082142800752</v>
      </c>
      <c r="H85" s="4">
        <f ca="1">'Total Trip Tables Sup #2'!H85*(1-'Other Assumptions'!L13)</f>
        <v>47.573964923545894</v>
      </c>
      <c r="I85" s="1">
        <f ca="1">'Total Trip Tables Sup #2'!I85*(1-'Other Assumptions'!M13)</f>
        <v>39.696888783290028</v>
      </c>
      <c r="J85" s="1">
        <f ca="1">'Total Trip Tables Sup #2'!J85*(1-'Other Assumptions'!N13)</f>
        <v>31.715538796612122</v>
      </c>
      <c r="K85" s="1">
        <f ca="1">'Total Trip Tables Sup #2'!K85*(1-'Other Assumptions'!O13)</f>
        <v>23.717831556349061</v>
      </c>
    </row>
    <row r="86" spans="1:11" x14ac:dyDescent="0.2">
      <c r="A86" t="str">
        <f ca="1">OFFSET(Manawatu_Reference,28,2)</f>
        <v>Taxi/Vehicle Share</v>
      </c>
      <c r="B86" s="4">
        <f ca="1">'Total Trip Tables Sup #2'!B86</f>
        <v>0.99874441920000001</v>
      </c>
      <c r="C86" s="4">
        <f ca="1">'Total Trip Tables Sup #2'!C86+((C84+C85)*'Other Assumptions'!G13/(1-'Other Assumptions'!G13))</f>
        <v>1.116152064577528</v>
      </c>
      <c r="D86" s="4">
        <f ca="1">'Total Trip Tables Sup #2'!D86+((D84+D85)*'Other Assumptions'!H13/(1-'Other Assumptions'!H13))</f>
        <v>1.1903085279390211</v>
      </c>
      <c r="E86" s="4">
        <f ca="1">'Total Trip Tables Sup #2'!E86+((E84+E85)*'Other Assumptions'!I13/(1-'Other Assumptions'!I13))</f>
        <v>29.78165179879932</v>
      </c>
      <c r="F86" s="4">
        <f ca="1">'Total Trip Tables Sup #2'!F86+((F84+F85)*'Other Assumptions'!J13/(1-'Other Assumptions'!J13))</f>
        <v>58.74757810439538</v>
      </c>
      <c r="G86" s="4">
        <f ca="1">'Total Trip Tables Sup #2'!G86+((G84+G85)*'Other Assumptions'!K13/(1-'Other Assumptions'!K13))</f>
        <v>87.173887871856479</v>
      </c>
      <c r="H86" s="4">
        <f ca="1">'Total Trip Tables Sup #2'!H86+((H84+H85)*'Other Assumptions'!L13/(1-'Other Assumptions'!L13))</f>
        <v>114.7583036823233</v>
      </c>
      <c r="I86" s="1">
        <f ca="1">'Total Trip Tables Sup #2'!I86+((I84+I85)*'Other Assumptions'!M13/(1-'Other Assumptions'!M13))</f>
        <v>143.29451467290977</v>
      </c>
      <c r="J86" s="1">
        <f ca="1">'Total Trip Tables Sup #2'!J86+((J84+J85)*'Other Assumptions'!N13/(1-'Other Assumptions'!N13))</f>
        <v>171.44783893870164</v>
      </c>
      <c r="K86" s="1">
        <f ca="1">'Total Trip Tables Sup #2'!K86+((K84+K85)*'Other Assumptions'!O13/(1-'Other Assumptions'!O13))</f>
        <v>199.2070293551981</v>
      </c>
    </row>
    <row r="87" spans="1:11" x14ac:dyDescent="0.2">
      <c r="A87" t="str">
        <f ca="1">OFFSET(Manawatu_Reference,35,2)</f>
        <v>Motorcyclist</v>
      </c>
      <c r="B87" s="4">
        <f ca="1">'Total Trip Tables Sup #2'!B87</f>
        <v>0.79000583589999995</v>
      </c>
      <c r="C87" s="4">
        <f ca="1">'Total Trip Tables Sup #2'!C87</f>
        <v>0.82679423539457753</v>
      </c>
      <c r="D87" s="4">
        <f ca="1">'Total Trip Tables Sup #2'!D87</f>
        <v>0.83347425704920675</v>
      </c>
      <c r="E87" s="4">
        <f ca="1">'Total Trip Tables Sup #2'!E87</f>
        <v>0.8354357234691967</v>
      </c>
      <c r="F87" s="4">
        <f ca="1">'Total Trip Tables Sup #2'!F87</f>
        <v>0.83090805575673876</v>
      </c>
      <c r="G87" s="4">
        <f ca="1">'Total Trip Tables Sup #2'!G87</f>
        <v>0.81184382187519166</v>
      </c>
      <c r="H87" s="4">
        <f ca="1">'Total Trip Tables Sup #2'!H87</f>
        <v>0.7874433493321813</v>
      </c>
      <c r="I87" s="1">
        <f ca="1">'Total Trip Tables Sup #2'!I87</f>
        <v>0.79037622677559449</v>
      </c>
      <c r="J87" s="1">
        <f ca="1">'Total Trip Tables Sup #2'!J87</f>
        <v>0.79123328284138628</v>
      </c>
      <c r="K87" s="1">
        <f ca="1">'Total Trip Tables Sup #2'!K87</f>
        <v>0.79084123209112211</v>
      </c>
    </row>
    <row r="88" spans="1:11" x14ac:dyDescent="0.2">
      <c r="A88" t="str">
        <f ca="1">OFFSET(Taranaki_Reference,42,2)</f>
        <v>Local Train</v>
      </c>
      <c r="B88" s="4">
        <f ca="1">'Total Trip Tables Sup #2'!B88</f>
        <v>0</v>
      </c>
      <c r="C88" s="4">
        <f ca="1">'Total Trip Tables Sup #2'!C88</f>
        <v>0</v>
      </c>
      <c r="D88" s="4">
        <f ca="1">'Total Trip Tables Sup #2'!D88</f>
        <v>0</v>
      </c>
      <c r="E88" s="4">
        <f ca="1">'Total Trip Tables Sup #2'!E88</f>
        <v>0</v>
      </c>
      <c r="F88" s="4">
        <f ca="1">'Total Trip Tables Sup #2'!F88</f>
        <v>0</v>
      </c>
      <c r="G88" s="4">
        <f ca="1">'Total Trip Tables Sup #2'!G88</f>
        <v>0</v>
      </c>
      <c r="H88" s="4">
        <f ca="1">'Total Trip Tables Sup #2'!H88</f>
        <v>0</v>
      </c>
      <c r="I88" s="1">
        <f ca="1">'Total Trip Tables Sup #2'!I88</f>
        <v>0</v>
      </c>
      <c r="J88" s="1">
        <f ca="1">'Total Trip Tables Sup #2'!J88</f>
        <v>0</v>
      </c>
      <c r="K88" s="1">
        <f ca="1">'Total Trip Tables Sup #2'!K88</f>
        <v>0</v>
      </c>
    </row>
    <row r="89" spans="1:11" x14ac:dyDescent="0.2">
      <c r="A89" t="str">
        <f ca="1">OFFSET(Manawatu_Reference,42,2)</f>
        <v>Local Bus</v>
      </c>
      <c r="B89" s="4">
        <f ca="1">'Total Trip Tables Sup #2'!B89</f>
        <v>5.2110099151</v>
      </c>
      <c r="C89" s="4">
        <f ca="1">'Total Trip Tables Sup #2'!C89</f>
        <v>5.1254875576156786</v>
      </c>
      <c r="D89" s="4">
        <f ca="1">'Total Trip Tables Sup #2'!D89</f>
        <v>5.0132689303354852</v>
      </c>
      <c r="E89" s="4">
        <f ca="1">'Total Trip Tables Sup #2'!E89</f>
        <v>4.9485919794988007</v>
      </c>
      <c r="F89" s="4">
        <f ca="1">'Total Trip Tables Sup #2'!F89</f>
        <v>4.8160239786840799</v>
      </c>
      <c r="G89" s="4">
        <f ca="1">'Total Trip Tables Sup #2'!G89</f>
        <v>4.702031288316741</v>
      </c>
      <c r="H89" s="4">
        <f ca="1">'Total Trip Tables Sup #2'!H89</f>
        <v>4.5629213321572406</v>
      </c>
      <c r="I89" s="1">
        <f ca="1">'Total Trip Tables Sup #2'!I89</f>
        <v>4.5707436641054962</v>
      </c>
      <c r="J89" s="1">
        <f ca="1">'Total Trip Tables Sup #2'!J89</f>
        <v>4.5664729618621127</v>
      </c>
      <c r="K89" s="1">
        <f ca="1">'Total Trip Tables Sup #2'!K89</f>
        <v>4.5549490907139329</v>
      </c>
    </row>
    <row r="90" spans="1:11" x14ac:dyDescent="0.2">
      <c r="A90" t="str">
        <f ca="1">OFFSET(Manawatu_Reference,49,2)</f>
        <v>Local Ferry</v>
      </c>
      <c r="B90" s="4">
        <f ca="1">'Total Trip Tables Sup #2'!B90</f>
        <v>0.1068619116</v>
      </c>
      <c r="C90" s="4">
        <f ca="1">'Total Trip Tables Sup #2'!C90</f>
        <v>0.11607875220388048</v>
      </c>
      <c r="D90" s="4">
        <f ca="1">'Total Trip Tables Sup #2'!D90</f>
        <v>0.12131530509962288</v>
      </c>
      <c r="E90" s="4">
        <f ca="1">'Total Trip Tables Sup #2'!E90</f>
        <v>0.12284898438375208</v>
      </c>
      <c r="F90" s="4">
        <f ca="1">'Total Trip Tables Sup #2'!F90</f>
        <v>0.12254065714266299</v>
      </c>
      <c r="G90" s="4">
        <f ca="1">'Total Trip Tables Sup #2'!G90</f>
        <v>0.1245335329434341</v>
      </c>
      <c r="H90" s="4">
        <f ca="1">'Total Trip Tables Sup #2'!H90</f>
        <v>0.12533557456283068</v>
      </c>
      <c r="I90" s="1">
        <f ca="1">'Total Trip Tables Sup #2'!I90</f>
        <v>0.12455271612316307</v>
      </c>
      <c r="J90" s="1">
        <f ca="1">'Total Trip Tables Sup #2'!J90</f>
        <v>0.12345869267138332</v>
      </c>
      <c r="K90" s="1">
        <f ca="1">'Total Trip Tables Sup #2'!K90</f>
        <v>0.122191017502711</v>
      </c>
    </row>
    <row r="91" spans="1:11" x14ac:dyDescent="0.2">
      <c r="A91" t="str">
        <f ca="1">OFFSET(Manawatu_Reference,56,2)</f>
        <v>Other Household Travel</v>
      </c>
      <c r="B91" s="4">
        <f ca="1">'Total Trip Tables Sup #2'!B91</f>
        <v>0.24513607779999999</v>
      </c>
      <c r="C91" s="4">
        <f ca="1">'Total Trip Tables Sup #2'!C91</f>
        <v>0.25905291146660159</v>
      </c>
      <c r="D91" s="4">
        <f ca="1">'Total Trip Tables Sup #2'!D91</f>
        <v>0.26990310511018634</v>
      </c>
      <c r="E91" s="4">
        <f ca="1">'Total Trip Tables Sup #2'!E91</f>
        <v>0.27746888715190937</v>
      </c>
      <c r="F91" s="4">
        <f ca="1">'Total Trip Tables Sup #2'!F91</f>
        <v>0.28223490938590196</v>
      </c>
      <c r="G91" s="4">
        <f ca="1">'Total Trip Tables Sup #2'!G91</f>
        <v>0.28446505300190589</v>
      </c>
      <c r="H91" s="4">
        <f ca="1">'Total Trip Tables Sup #2'!H91</f>
        <v>0.28249303596707176</v>
      </c>
      <c r="I91" s="1">
        <f ca="1">'Total Trip Tables Sup #2'!I91</f>
        <v>0.2836927765861641</v>
      </c>
      <c r="J91" s="1">
        <f ca="1">'Total Trip Tables Sup #2'!J91</f>
        <v>0.28415615873282335</v>
      </c>
      <c r="K91" s="1">
        <f ca="1">'Total Trip Tables Sup #2'!K91</f>
        <v>0.28417937475848509</v>
      </c>
    </row>
    <row r="92" spans="1:11" x14ac:dyDescent="0.2">
      <c r="A92" t="str">
        <f ca="1">OFFSET(Wellington_Reference,0,0)</f>
        <v>09 WELLINGTON</v>
      </c>
      <c r="B92" s="4">
        <f ca="1">SUM(B93:B102)</f>
        <v>793.10387762659991</v>
      </c>
      <c r="C92" s="4">
        <f t="shared" ref="C92" ca="1" si="44">SUM(C93:C102)</f>
        <v>855.35574414849111</v>
      </c>
      <c r="D92" s="4">
        <f t="shared" ref="D92" ca="1" si="45">SUM(D93:D102)</f>
        <v>899.15927546612966</v>
      </c>
      <c r="E92" s="4">
        <f t="shared" ref="E92" ca="1" si="46">SUM(E93:E102)</f>
        <v>934.65488884548563</v>
      </c>
      <c r="F92" s="4">
        <f t="shared" ref="F92" ca="1" si="47">SUM(F93:F102)</f>
        <v>964.20994379480635</v>
      </c>
      <c r="G92" s="4">
        <f t="shared" ref="G92" ca="1" si="48">SUM(G93:G102)</f>
        <v>985.49474721887043</v>
      </c>
      <c r="H92" s="4">
        <f t="shared" ref="H92:K92" ca="1" si="49">SUM(H93:H102)</f>
        <v>1002.1031603113372</v>
      </c>
      <c r="I92" s="1">
        <f t="shared" ca="1" si="49"/>
        <v>1024.8037786700902</v>
      </c>
      <c r="J92" s="1">
        <f t="shared" ca="1" si="49"/>
        <v>1045.0508312477082</v>
      </c>
      <c r="K92" s="1">
        <f t="shared" ca="1" si="49"/>
        <v>1063.7902105515955</v>
      </c>
    </row>
    <row r="93" spans="1:11" x14ac:dyDescent="0.2">
      <c r="A93" t="str">
        <f ca="1">OFFSET(Wellington_Reference,0,2)</f>
        <v>Pedestrian</v>
      </c>
      <c r="B93" s="4">
        <f ca="1">'Total Trip Tables Sup #2'!B93</f>
        <v>182.29561206</v>
      </c>
      <c r="C93" s="4">
        <f ca="1">'Total Trip Tables Sup #2'!C93+'Total Trip Tables Sup #2'!C95*'Other Assumptions'!G77*'Other Assumptions'!G84+'Total Trip Tables Sup #2'!C96*'Other Assumptions'!G77*'Other Assumptions'!G84</f>
        <v>195.01733917397686</v>
      </c>
      <c r="D93" s="4">
        <f ca="1">'Total Trip Tables Sup #2'!D93+'Total Trip Tables Sup #2'!D95*'Other Assumptions'!H77*'Other Assumptions'!H84+'Total Trip Tables Sup #2'!D96*'Other Assumptions'!H77*'Other Assumptions'!H84</f>
        <v>210.51734898619091</v>
      </c>
      <c r="E93" s="4">
        <f ca="1">'Total Trip Tables Sup #2'!E93+'Total Trip Tables Sup #2'!E95*'Other Assumptions'!I77*'Other Assumptions'!I84+'Total Trip Tables Sup #2'!E96*'Other Assumptions'!I77*'Other Assumptions'!I84</f>
        <v>223.05535198567239</v>
      </c>
      <c r="F93" s="4">
        <f ca="1">'Total Trip Tables Sup #2'!F93+'Total Trip Tables Sup #2'!F95*'Other Assumptions'!J77*'Other Assumptions'!J84+'Total Trip Tables Sup #2'!F96*'Other Assumptions'!J77*'Other Assumptions'!J84</f>
        <v>233.69019048926268</v>
      </c>
      <c r="G93" s="4">
        <f ca="1">'Total Trip Tables Sup #2'!G93+'Total Trip Tables Sup #2'!G95*'Other Assumptions'!K77*'Other Assumptions'!K84+'Total Trip Tables Sup #2'!G96*'Other Assumptions'!K77*'Other Assumptions'!K84</f>
        <v>243.09332719966585</v>
      </c>
      <c r="H93" s="4">
        <f ca="1">'Total Trip Tables Sup #2'!H93+'Total Trip Tables Sup #2'!H95*'Other Assumptions'!L77*'Other Assumptions'!L84+'Total Trip Tables Sup #2'!H96*'Other Assumptions'!L77*'Other Assumptions'!L84</f>
        <v>251.48461962854455</v>
      </c>
      <c r="I93" s="1">
        <f ca="1">'Total Trip Tables Sup #2'!I93+'Total Trip Tables Sup #2'!I95*'Other Assumptions'!M77*'Other Assumptions'!M84+'Total Trip Tables Sup #2'!I96*'Other Assumptions'!M77*'Other Assumptions'!M84</f>
        <v>256.74368179677811</v>
      </c>
      <c r="J93" s="1">
        <f ca="1">'Total Trip Tables Sup #2'!J93+'Total Trip Tables Sup #2'!J95*'Other Assumptions'!N77*'Other Assumptions'!N84+'Total Trip Tables Sup #2'!J96*'Other Assumptions'!N77*'Other Assumptions'!N84</f>
        <v>261.33997622632666</v>
      </c>
      <c r="K93" s="1">
        <f ca="1">'Total Trip Tables Sup #2'!K93+'Total Trip Tables Sup #2'!K95*'Other Assumptions'!O77*'Other Assumptions'!O84+'Total Trip Tables Sup #2'!K96*'Other Assumptions'!O77*'Other Assumptions'!O84</f>
        <v>265.51243435519825</v>
      </c>
    </row>
    <row r="94" spans="1:11" x14ac:dyDescent="0.2">
      <c r="A94" t="str">
        <f ca="1">OFFSET(Wellington_Reference,7,2)</f>
        <v>Cyclist</v>
      </c>
      <c r="B94" s="4">
        <f ca="1">'Total Trip Tables Sup #2'!B94</f>
        <v>8.1327913301999999</v>
      </c>
      <c r="C94" s="4">
        <f ca="1">'Total Trip Tables Sup #2'!C94+'Total Trip Tables Sup #2'!C95*'Other Assumptions'!G77*'Other Assumptions'!G83+'Total Trip Tables Sup #2'!C96*'Other Assumptions'!G77*'Other Assumptions'!G83</f>
        <v>8.7010671792823011</v>
      </c>
      <c r="D94" s="4">
        <f ca="1">'Total Trip Tables Sup #2'!D94+'Total Trip Tables Sup #2'!D95*'Other Assumptions'!H77*'Other Assumptions'!H83+'Total Trip Tables Sup #2'!D96*'Other Assumptions'!H77*'Other Assumptions'!H83</f>
        <v>10.776426030613232</v>
      </c>
      <c r="E94" s="4">
        <f ca="1">'Total Trip Tables Sup #2'!E94+'Total Trip Tables Sup #2'!E95*'Other Assumptions'!I77*'Other Assumptions'!I83+'Total Trip Tables Sup #2'!E96*'Other Assumptions'!I77*'Other Assumptions'!I83</f>
        <v>12.723536602409688</v>
      </c>
      <c r="F94" s="4">
        <f ca="1">'Total Trip Tables Sup #2'!F94+'Total Trip Tables Sup #2'!F95*'Other Assumptions'!J77*'Other Assumptions'!J83+'Total Trip Tables Sup #2'!F96*'Other Assumptions'!J77*'Other Assumptions'!J83</f>
        <v>14.689990990472115</v>
      </c>
      <c r="G94" s="4">
        <f ca="1">'Total Trip Tables Sup #2'!G94+'Total Trip Tables Sup #2'!G95*'Other Assumptions'!K77*'Other Assumptions'!K83+'Total Trip Tables Sup #2'!G96*'Other Assumptions'!K77*'Other Assumptions'!K83</f>
        <v>16.65521525098049</v>
      </c>
      <c r="H94" s="4">
        <f ca="1">'Total Trip Tables Sup #2'!H94+'Total Trip Tables Sup #2'!H95*'Other Assumptions'!L77*'Other Assumptions'!L83+'Total Trip Tables Sup #2'!H96*'Other Assumptions'!L77*'Other Assumptions'!L83</f>
        <v>18.62002557518619</v>
      </c>
      <c r="I94" s="1">
        <f ca="1">'Total Trip Tables Sup #2'!I94+'Total Trip Tables Sup #2'!I95*'Other Assumptions'!M77*'Other Assumptions'!M83+'Total Trip Tables Sup #2'!I96*'Other Assumptions'!M77*'Other Assumptions'!M83</f>
        <v>19.037813540528262</v>
      </c>
      <c r="J94" s="1">
        <f ca="1">'Total Trip Tables Sup #2'!J94+'Total Trip Tables Sup #2'!J95*'Other Assumptions'!N77*'Other Assumptions'!N83+'Total Trip Tables Sup #2'!J96*'Other Assumptions'!N77*'Other Assumptions'!N83</f>
        <v>19.407988893029636</v>
      </c>
      <c r="K94" s="1">
        <f ca="1">'Total Trip Tables Sup #2'!K94+'Total Trip Tables Sup #2'!K95*'Other Assumptions'!O77*'Other Assumptions'!O83+'Total Trip Tables Sup #2'!K96*'Other Assumptions'!O77*'Other Assumptions'!O83</f>
        <v>19.74802865091953</v>
      </c>
    </row>
    <row r="95" spans="1:11" x14ac:dyDescent="0.2">
      <c r="A95" t="str">
        <f ca="1">OFFSET(Wellington_Reference,14,2)</f>
        <v>Light Vehicle Driver</v>
      </c>
      <c r="B95" s="4">
        <f ca="1">'Total Trip Tables Sup #2'!B95</f>
        <v>377.93589692</v>
      </c>
      <c r="C95" s="4">
        <f ca="1">'Total Trip Tables Sup #2'!C95*(1-'Other Assumptions'!G14)*(1-'Other Assumptions'!G77)</f>
        <v>414.67598448329352</v>
      </c>
      <c r="D95" s="4">
        <f ca="1">'Total Trip Tables Sup #2'!D95*(1-'Other Assumptions'!H14)*(1-'Other Assumptions'!H77)</f>
        <v>434.07141166353875</v>
      </c>
      <c r="E95" s="4">
        <f ca="1">'Total Trip Tables Sup #2'!E95*(1-'Other Assumptions'!I14)*(1-'Other Assumptions'!I77)</f>
        <v>406.28989933007585</v>
      </c>
      <c r="F95" s="4">
        <f ca="1">'Total Trip Tables Sup #2'!F95*(1-'Other Assumptions'!J14)*(1-'Other Assumptions'!J77)</f>
        <v>373.47405225294301</v>
      </c>
      <c r="G95" s="4">
        <f ca="1">'Total Trip Tables Sup #2'!G95*(1-'Other Assumptions'!K14)*(1-'Other Assumptions'!K77)</f>
        <v>333.74436834724071</v>
      </c>
      <c r="H95" s="4">
        <f ca="1">'Total Trip Tables Sup #2'!H95*(1-'Other Assumptions'!L14)*(1-'Other Assumptions'!L77)</f>
        <v>290.5938590780774</v>
      </c>
      <c r="I95" s="1">
        <f ca="1">'Total Trip Tables Sup #2'!I95*(1-'Other Assumptions'!M14)*(1-'Other Assumptions'!M77)</f>
        <v>247.27606853743455</v>
      </c>
      <c r="J95" s="1">
        <f ca="1">'Total Trip Tables Sup #2'!J95*(1-'Other Assumptions'!N14)*(1-'Other Assumptions'!N77)</f>
        <v>201.37920502858094</v>
      </c>
      <c r="K95" s="1">
        <f ca="1">'Total Trip Tables Sup #2'!K95*(1-'Other Assumptions'!O14)*(1-'Other Assumptions'!O77)</f>
        <v>153.44368816672556</v>
      </c>
    </row>
    <row r="96" spans="1:11" x14ac:dyDescent="0.2">
      <c r="A96" t="str">
        <f ca="1">OFFSET(Wellington_Reference,21,2)</f>
        <v>Light Vehicle Passenger</v>
      </c>
      <c r="B96" s="4">
        <f ca="1">'Total Trip Tables Sup #2'!B96</f>
        <v>183.55442563000003</v>
      </c>
      <c r="C96" s="4">
        <f ca="1">'Total Trip Tables Sup #2'!C96*(1-'Other Assumptions'!G14)*(1-'Other Assumptions'!G77+'Other Assumptions'!G77*'Other Assumptions'!G80)+'Total Trip Tables Sup #2'!C95*(1-'Other Assumptions'!G14)*'Other Assumptions'!G77*'Other Assumptions'!G80</f>
        <v>192.06848867954159</v>
      </c>
      <c r="D96" s="4">
        <f ca="1">'Total Trip Tables Sup #2'!D96*(1-'Other Assumptions'!H14)*(1-'Other Assumptions'!H77+'Other Assumptions'!H77*'Other Assumptions'!H80)+'Total Trip Tables Sup #2'!D95*(1-'Other Assumptions'!H14)*'Other Assumptions'!H77*'Other Assumptions'!H80</f>
        <v>193.49892127152592</v>
      </c>
      <c r="E96" s="4">
        <f ca="1">'Total Trip Tables Sup #2'!E96*(1-'Other Assumptions'!I14)*(1-'Other Assumptions'!I77+'Other Assumptions'!I77*'Other Assumptions'!I80)+'Total Trip Tables Sup #2'!E95*(1-'Other Assumptions'!I14)*'Other Assumptions'!I77*'Other Assumptions'!I80</f>
        <v>174.20972973282267</v>
      </c>
      <c r="F96" s="4">
        <f ca="1">'Total Trip Tables Sup #2'!F96*(1-'Other Assumptions'!J14)*(1-'Other Assumptions'!J77+'Other Assumptions'!J77*'Other Assumptions'!J80)+'Total Trip Tables Sup #2'!F95*(1-'Other Assumptions'!J14)*'Other Assumptions'!J77*'Other Assumptions'!J80</f>
        <v>154.60705177992904</v>
      </c>
      <c r="G96" s="4">
        <f ca="1">'Total Trip Tables Sup #2'!G96*(1-'Other Assumptions'!K14)*(1-'Other Assumptions'!K77+'Other Assumptions'!K77*'Other Assumptions'!K80)+'Total Trip Tables Sup #2'!G95*(1-'Other Assumptions'!K14)*'Other Assumptions'!K77*'Other Assumptions'!K80</f>
        <v>134.03590948030708</v>
      </c>
      <c r="H96" s="4">
        <f ca="1">'Total Trip Tables Sup #2'!H96*(1-'Other Assumptions'!L14)*(1-'Other Assumptions'!L77+'Other Assumptions'!L77*'Other Assumptions'!L80)+'Total Trip Tables Sup #2'!H95*(1-'Other Assumptions'!L14)*'Other Assumptions'!L77*'Other Assumptions'!L80</f>
        <v>113.12665801171555</v>
      </c>
      <c r="I96" s="1">
        <f ca="1">'Total Trip Tables Sup #2'!I96*(1-'Other Assumptions'!M14)*(1-'Other Assumptions'!M77+'Other Assumptions'!M77*'Other Assumptions'!M80)+'Total Trip Tables Sup #2'!I95*(1-'Other Assumptions'!M14)*'Other Assumptions'!M77*'Other Assumptions'!M80</f>
        <v>96.132729720117354</v>
      </c>
      <c r="J96" s="1">
        <f ca="1">'Total Trip Tables Sup #2'!J96*(1-'Other Assumptions'!N14)*(1-'Other Assumptions'!N77+'Other Assumptions'!N77*'Other Assumptions'!N80)+'Total Trip Tables Sup #2'!J95*(1-'Other Assumptions'!N14)*'Other Assumptions'!N77*'Other Assumptions'!N80</f>
        <v>78.167838244070367</v>
      </c>
      <c r="K96" s="1">
        <f ca="1">'Total Trip Tables Sup #2'!K96*(1-'Other Assumptions'!O14)*(1-'Other Assumptions'!O77+'Other Assumptions'!O77*'Other Assumptions'!O80)+'Total Trip Tables Sup #2'!K95*(1-'Other Assumptions'!O14)*'Other Assumptions'!O77*'Other Assumptions'!O80</f>
        <v>59.459161841921542</v>
      </c>
    </row>
    <row r="97" spans="1:16" x14ac:dyDescent="0.2">
      <c r="A97" t="str">
        <f ca="1">OFFSET(Wellington_Reference,28,2)</f>
        <v>Taxi/Vehicle Share</v>
      </c>
      <c r="B97" s="4">
        <f ca="1">'Total Trip Tables Sup #2'!B97</f>
        <v>2.3579512121000001</v>
      </c>
      <c r="C97" s="4">
        <f ca="1">'Total Trip Tables Sup #2'!C97+((C95+C96)*'Other Assumptions'!G14/(1-'Other Assumptions'!G14))</f>
        <v>2.7027531770448197</v>
      </c>
      <c r="D97" s="4">
        <f ca="1">'Total Trip Tables Sup #2'!D97+((D95+D96)*'Other Assumptions'!H14/(1-'Other Assumptions'!H14))</f>
        <v>2.9532092164030859</v>
      </c>
      <c r="E97" s="4">
        <f ca="1">'Total Trip Tables Sup #2'!E97+((E95+E96)*'Other Assumptions'!I14/(1-'Other Assumptions'!I14))</f>
        <v>67.642007843808713</v>
      </c>
      <c r="F97" s="4">
        <f ca="1">'Total Trip Tables Sup #2'!F97+((F95+F96)*'Other Assumptions'!J14/(1-'Other Assumptions'!J14))</f>
        <v>135.31679253178302</v>
      </c>
      <c r="G97" s="4">
        <f ca="1">'Total Trip Tables Sup #2'!G97+((G95+G96)*'Other Assumptions'!K14/(1-'Other Assumptions'!K14))</f>
        <v>203.87589109298835</v>
      </c>
      <c r="H97" s="4">
        <f ca="1">'Total Trip Tables Sup #2'!H97+((H95+H96)*'Other Assumptions'!L14/(1-'Other Assumptions'!L14))</f>
        <v>272.63629951473496</v>
      </c>
      <c r="I97" s="1">
        <f ca="1">'Total Trip Tables Sup #2'!I97+((I95+I96)*'Other Assumptions'!M14/(1-'Other Assumptions'!M14))</f>
        <v>346.96966817999197</v>
      </c>
      <c r="J97" s="1">
        <f ca="1">'Total Trip Tables Sup #2'!J97+((J95+J96)*'Other Assumptions'!N14/(1-'Other Assumptions'!N14))</f>
        <v>422.9436556462889</v>
      </c>
      <c r="K97" s="1">
        <f ca="1">'Total Trip Tables Sup #2'!K97+((K95+K96)*'Other Assumptions'!O14/(1-'Other Assumptions'!O14))</f>
        <v>500.45257143266514</v>
      </c>
      <c r="L97" s="4"/>
      <c r="M97" s="4"/>
      <c r="N97" s="4"/>
      <c r="O97" s="4"/>
      <c r="P97" s="4"/>
    </row>
    <row r="98" spans="1:16" x14ac:dyDescent="0.2">
      <c r="A98" t="str">
        <f ca="1">OFFSET(Wellington_Reference,35,2)</f>
        <v>Motorcyclist</v>
      </c>
      <c r="B98" s="4">
        <f ca="1">'Total Trip Tables Sup #2'!B98</f>
        <v>2.4968267649999998</v>
      </c>
      <c r="C98" s="4">
        <f ca="1">'Total Trip Tables Sup #2'!C98</f>
        <v>2.6801439580527444</v>
      </c>
      <c r="D98" s="4">
        <f ca="1">'Total Trip Tables Sup #2'!D98</f>
        <v>2.7682449917841572</v>
      </c>
      <c r="E98" s="4">
        <f ca="1">'Total Trip Tables Sup #2'!E98</f>
        <v>2.8333984472523905</v>
      </c>
      <c r="F98" s="4">
        <f ca="1">'Total Trip Tables Sup #2'!F98</f>
        <v>2.8778209164310136</v>
      </c>
      <c r="G98" s="4">
        <f ca="1">'Total Trip Tables Sup #2'!G98</f>
        <v>2.8708919842707514</v>
      </c>
      <c r="H98" s="4">
        <f ca="1">'Total Trip Tables Sup #2'!H98</f>
        <v>2.8437373849476377</v>
      </c>
      <c r="I98" s="1">
        <f ca="1">'Total Trip Tables Sup #2'!I98</f>
        <v>2.9140402337137723</v>
      </c>
      <c r="J98" s="1">
        <f ca="1">'Total Trip Tables Sup #2'!J98</f>
        <v>2.9772659719581518</v>
      </c>
      <c r="K98" s="1">
        <f ca="1">'Total Trip Tables Sup #2'!K98</f>
        <v>3.03604245661885</v>
      </c>
    </row>
    <row r="99" spans="1:16" x14ac:dyDescent="0.2">
      <c r="A99" t="str">
        <f ca="1">OFFSET(Wellington_Reference,42,2)</f>
        <v>Local Train</v>
      </c>
      <c r="B99" s="4">
        <f ca="1">'Total Trip Tables Sup #2'!B99</f>
        <v>12.37</v>
      </c>
      <c r="C99" s="4">
        <f ca="1">'Total Trip Tables Sup #2'!C99+'Total Trip Tables Sup #2'!C95*'Other Assumptions'!G77*'Other Assumptions'!G82+'Total Trip Tables Sup #2'!C96*'Other Assumptions'!G77*'Other Assumptions'!G82</f>
        <v>13.79711369222052</v>
      </c>
      <c r="D99" s="4">
        <f ca="1">'Total Trip Tables Sup #2'!D99+'Total Trip Tables Sup #2'!D95*'Other Assumptions'!H77*'Other Assumptions'!H82+'Total Trip Tables Sup #2'!D96*'Other Assumptions'!H77*'Other Assumptions'!H82</f>
        <v>15.537263366839877</v>
      </c>
      <c r="E99" s="4">
        <f ca="1">'Total Trip Tables Sup #2'!E99+'Total Trip Tables Sup #2'!E95*'Other Assumptions'!I77*'Other Assumptions'!I82+'Total Trip Tables Sup #2'!E96*'Other Assumptions'!I77*'Other Assumptions'!I82</f>
        <v>16.902138366255024</v>
      </c>
      <c r="F99" s="4">
        <f ca="1">'Total Trip Tables Sup #2'!F99+'Total Trip Tables Sup #2'!F95*'Other Assumptions'!J77*'Other Assumptions'!J82+'Total Trip Tables Sup #2'!F96*'Other Assumptions'!J77*'Other Assumptions'!J82</f>
        <v>17.934247414016191</v>
      </c>
      <c r="G99" s="4">
        <f ca="1">'Total Trip Tables Sup #2'!G99+'Total Trip Tables Sup #2'!G95*'Other Assumptions'!K77*'Other Assumptions'!K82+'Total Trip Tables Sup #2'!G96*'Other Assumptions'!K77*'Other Assumptions'!K82</f>
        <v>18.999414299139286</v>
      </c>
      <c r="H99" s="4">
        <f ca="1">'Total Trip Tables Sup #2'!H99+'Total Trip Tables Sup #2'!H95*'Other Assumptions'!L77*'Other Assumptions'!L82+'Total Trip Tables Sup #2'!H96*'Other Assumptions'!L77*'Other Assumptions'!L82</f>
        <v>20.0314184363524</v>
      </c>
      <c r="I99" s="1">
        <f ca="1">'Total Trip Tables Sup #2'!I99+'Total Trip Tables Sup #2'!I95*'Other Assumptions'!M77*'Other Assumptions'!M82+'Total Trip Tables Sup #2'!I96*'Other Assumptions'!M77*'Other Assumptions'!M82</f>
        <v>21.509555460638186</v>
      </c>
      <c r="J99" s="1">
        <f ca="1">'Total Trip Tables Sup #2'!J99+'Total Trip Tables Sup #2'!J95*'Other Assumptions'!N77*'Other Assumptions'!N82+'Total Trip Tables Sup #2'!J96*'Other Assumptions'!N77*'Other Assumptions'!N82</f>
        <v>23.093506466158725</v>
      </c>
      <c r="K99" s="1">
        <f ca="1">'Total Trip Tables Sup #2'!K99+'Total Trip Tables Sup #2'!K95*'Other Assumptions'!O77*'Other Assumptions'!O82+'Total Trip Tables Sup #2'!K96*'Other Assumptions'!O77*'Other Assumptions'!O82</f>
        <v>24.800120091214417</v>
      </c>
    </row>
    <row r="100" spans="1:16" x14ac:dyDescent="0.2">
      <c r="A100" t="str">
        <f ca="1">OFFSET(Wellington_Reference,49,2)</f>
        <v>Local Bus</v>
      </c>
      <c r="B100" s="4">
        <f ca="1">'Total Trip Tables Sup #2'!B100</f>
        <v>23.4</v>
      </c>
      <c r="C100" s="4">
        <f ca="1">'Total Trip Tables Sup #2'!C100+'Total Trip Tables Sup #2'!C95*'Other Assumptions'!G77*'Other Assumptions'!G81+'Total Trip Tables Sup #2'!C96*'Other Assumptions'!G77*'Other Assumptions'!G81</f>
        <v>25.098634765165087</v>
      </c>
      <c r="D100" s="4">
        <f ca="1">'Total Trip Tables Sup #2'!D100+'Total Trip Tables Sup #2'!D95*'Other Assumptions'!H77*'Other Assumptions'!H81+'Total Trip Tables Sup #2'!D96*'Other Assumptions'!H77*'Other Assumptions'!H81</f>
        <v>28.379933006646507</v>
      </c>
      <c r="E100" s="4">
        <f ca="1">'Total Trip Tables Sup #2'!E100+'Total Trip Tables Sup #2'!E95*'Other Assumptions'!I77*'Other Assumptions'!I81+'Total Trip Tables Sup #2'!E96*'Other Assumptions'!I77*'Other Assumptions'!I81</f>
        <v>30.313883251437677</v>
      </c>
      <c r="F100" s="4">
        <f ca="1">'Total Trip Tables Sup #2'!F100+'Total Trip Tables Sup #2'!F95*'Other Assumptions'!J77*'Other Assumptions'!J81+'Total Trip Tables Sup #2'!F96*'Other Assumptions'!J77*'Other Assumptions'!J81</f>
        <v>30.91391876318129</v>
      </c>
      <c r="G100" s="4">
        <f ca="1">'Total Trip Tables Sup #2'!G100+'Total Trip Tables Sup #2'!G95*'Other Assumptions'!K77*'Other Assumptions'!K81+'Total Trip Tables Sup #2'!G96*'Other Assumptions'!K77*'Other Assumptions'!K81</f>
        <v>31.490893460074211</v>
      </c>
      <c r="H100" s="4">
        <f ca="1">'Total Trip Tables Sup #2'!H100+'Total Trip Tables Sup #2'!H95*'Other Assumptions'!L77*'Other Assumptions'!L81+'Total Trip Tables Sup #2'!H96*'Other Assumptions'!L77*'Other Assumptions'!L81</f>
        <v>32.023362300221578</v>
      </c>
      <c r="I100" s="1">
        <f ca="1">'Total Trip Tables Sup #2'!I100+'Total Trip Tables Sup #2'!I95*'Other Assumptions'!M77*'Other Assumptions'!M81+'Total Trip Tables Sup #2'!I96*'Other Assumptions'!M77*'Other Assumptions'!M81</f>
        <v>33.461518339996175</v>
      </c>
      <c r="J100" s="1">
        <f ca="1">'Total Trip Tables Sup #2'!J100+'Total Trip Tables Sup #2'!J95*'Other Assumptions'!N77*'Other Assumptions'!N81+'Total Trip Tables Sup #2'!J96*'Other Assumptions'!N77*'Other Assumptions'!N81</f>
        <v>34.969074334057126</v>
      </c>
      <c r="K100" s="1">
        <f ca="1">'Total Trip Tables Sup #2'!K100+'Total Trip Tables Sup #2'!K95*'Other Assumptions'!O77*'Other Assumptions'!O81+'Total Trip Tables Sup #2'!K96*'Other Assumptions'!O77*'Other Assumptions'!O81</f>
        <v>36.553425957839139</v>
      </c>
    </row>
    <row r="101" spans="1:16" x14ac:dyDescent="0.2">
      <c r="A101" t="str">
        <f ca="1">OFFSET(Wellington_Reference,56,2)</f>
        <v>Local Ferry</v>
      </c>
      <c r="B101" s="4">
        <f ca="1">'Total Trip Tables Sup #2'!B101</f>
        <v>0.22615005399999999</v>
      </c>
      <c r="C101" s="4">
        <f ca="1">'Total Trip Tables Sup #2'!C101</f>
        <v>0.25195852553675613</v>
      </c>
      <c r="D101" s="4">
        <f ca="1">'Total Trip Tables Sup #2'!D101</f>
        <v>0.26980101078352386</v>
      </c>
      <c r="E101" s="4">
        <f ca="1">'Total Trip Tables Sup #2'!E101</f>
        <v>0.27898562439055602</v>
      </c>
      <c r="F101" s="4">
        <f ca="1">'Total Trip Tables Sup #2'!F101</f>
        <v>0.28418859542420299</v>
      </c>
      <c r="G101" s="4">
        <f ca="1">'Total Trip Tables Sup #2'!G101</f>
        <v>0.29488067836454546</v>
      </c>
      <c r="H101" s="4">
        <f ca="1">'Total Trip Tables Sup #2'!H101</f>
        <v>0.30308201762715681</v>
      </c>
      <c r="I101" s="1">
        <f ca="1">'Total Trip Tables Sup #2'!I101</f>
        <v>0.30748966461600247</v>
      </c>
      <c r="J101" s="1">
        <f ca="1">'Total Trip Tables Sup #2'!J101</f>
        <v>0.31106446789261072</v>
      </c>
      <c r="K101" s="1">
        <f ca="1">'Total Trip Tables Sup #2'!K101</f>
        <v>0.31410399715396958</v>
      </c>
    </row>
    <row r="102" spans="1:16" x14ac:dyDescent="0.2">
      <c r="A102" t="str">
        <f ca="1">OFFSET(Wellington_Reference,63,2)</f>
        <v>Other Household Travel</v>
      </c>
      <c r="B102" s="4">
        <f ca="1">'Total Trip Tables Sup #2'!B102</f>
        <v>0.33422365529999998</v>
      </c>
      <c r="C102" s="4">
        <f ca="1">'Total Trip Tables Sup #2'!C102</f>
        <v>0.3622605143768366</v>
      </c>
      <c r="D102" s="4">
        <f ca="1">'Total Trip Tables Sup #2'!D102</f>
        <v>0.38671592180351194</v>
      </c>
      <c r="E102" s="4">
        <f ca="1">'Total Trip Tables Sup #2'!E102</f>
        <v>0.40595766136057321</v>
      </c>
      <c r="F102" s="4">
        <f ca="1">'Total Trip Tables Sup #2'!F102</f>
        <v>0.42169006136371945</v>
      </c>
      <c r="G102" s="4">
        <f ca="1">'Total Trip Tables Sup #2'!G102</f>
        <v>0.43395542583915858</v>
      </c>
      <c r="H102" s="4">
        <f ca="1">'Total Trip Tables Sup #2'!H102</f>
        <v>0.44009836392970092</v>
      </c>
      <c r="I102" s="1">
        <f ca="1">'Total Trip Tables Sup #2'!I102</f>
        <v>0.45121319627574907</v>
      </c>
      <c r="J102" s="1">
        <f ca="1">'Total Trip Tables Sup #2'!J102</f>
        <v>0.46125596934517848</v>
      </c>
      <c r="K102" s="1">
        <f ca="1">'Total Trip Tables Sup #2'!K102</f>
        <v>0.47063360133899496</v>
      </c>
    </row>
    <row r="103" spans="1:16" x14ac:dyDescent="0.2">
      <c r="A103" t="str">
        <f ca="1">OFFSET(Nelson_Reference,0,0)</f>
        <v>10 NELS-MARLB-TAS</v>
      </c>
      <c r="B103" s="4">
        <f ca="1">SUM(B104:B113)</f>
        <v>187.1494005328</v>
      </c>
      <c r="C103" s="4">
        <f t="shared" ref="C103" ca="1" si="50">SUM(C104:C113)</f>
        <v>194.77592064835372</v>
      </c>
      <c r="D103" s="4">
        <f t="shared" ref="D103" ca="1" si="51">SUM(D104:D113)</f>
        <v>199.41581035313772</v>
      </c>
      <c r="E103" s="4">
        <f t="shared" ref="E103" ca="1" si="52">SUM(E104:E113)</f>
        <v>203.10040269582055</v>
      </c>
      <c r="F103" s="4">
        <f t="shared" ref="F103" ca="1" si="53">SUM(F104:F113)</f>
        <v>205.40323637693118</v>
      </c>
      <c r="G103" s="4">
        <f t="shared" ref="G103" ca="1" si="54">SUM(G104:G113)</f>
        <v>205.61873128290313</v>
      </c>
      <c r="H103" s="4">
        <f t="shared" ref="H103:K103" ca="1" si="55">SUM(H104:H113)</f>
        <v>204.42347845877319</v>
      </c>
      <c r="I103" s="1">
        <f t="shared" ca="1" si="55"/>
        <v>204.09833231046403</v>
      </c>
      <c r="J103" s="1">
        <f t="shared" ca="1" si="55"/>
        <v>203.13554413259968</v>
      </c>
      <c r="K103" s="1">
        <f t="shared" ca="1" si="55"/>
        <v>201.75319605494994</v>
      </c>
    </row>
    <row r="104" spans="1:16" x14ac:dyDescent="0.2">
      <c r="A104" t="str">
        <f ca="1">OFFSET(Nelson_Reference,0,2)</f>
        <v>Pedestrian</v>
      </c>
      <c r="B104" s="4">
        <f ca="1">'Total Trip Tables Sup #2'!B104</f>
        <v>34.609993433</v>
      </c>
      <c r="C104" s="4">
        <f ca="1">'Total Trip Tables Sup #2'!C104</f>
        <v>35.725267636315166</v>
      </c>
      <c r="D104" s="4">
        <f ca="1">'Total Trip Tables Sup #2'!D104</f>
        <v>37.614842155450553</v>
      </c>
      <c r="E104" s="4">
        <f ca="1">'Total Trip Tables Sup #2'!E104</f>
        <v>39.045136570507303</v>
      </c>
      <c r="F104" s="4">
        <f ca="1">'Total Trip Tables Sup #2'!F104</f>
        <v>40.059977948137785</v>
      </c>
      <c r="G104" s="4">
        <f ca="1">'Total Trip Tables Sup #2'!G104</f>
        <v>40.791967886679302</v>
      </c>
      <c r="H104" s="4">
        <f ca="1">'Total Trip Tables Sup #2'!H104</f>
        <v>41.242290367376391</v>
      </c>
      <c r="I104" s="1">
        <f ca="1">'Total Trip Tables Sup #2'!I104</f>
        <v>41.138525971470166</v>
      </c>
      <c r="J104" s="1">
        <f ca="1">'Total Trip Tables Sup #2'!J104</f>
        <v>40.907083413316194</v>
      </c>
      <c r="K104" s="1">
        <f ca="1">'Total Trip Tables Sup #2'!K104</f>
        <v>40.592168778851459</v>
      </c>
    </row>
    <row r="105" spans="1:16" x14ac:dyDescent="0.2">
      <c r="A105" t="str">
        <f ca="1">OFFSET(Nelson_Reference,7,2)</f>
        <v>Cyclist</v>
      </c>
      <c r="B105" s="4">
        <f ca="1">'Total Trip Tables Sup #2'!B105</f>
        <v>2.9519642961999999</v>
      </c>
      <c r="C105" s="4">
        <f ca="1">'Total Trip Tables Sup #2'!C105</f>
        <v>3.047018528593088</v>
      </c>
      <c r="D105" s="4">
        <f ca="1">'Total Trip Tables Sup #2'!D105</f>
        <v>3.6785539917726791</v>
      </c>
      <c r="E105" s="4">
        <f ca="1">'Total Trip Tables Sup #2'!E105</f>
        <v>4.2533495819663596</v>
      </c>
      <c r="F105" s="4">
        <f ca="1">'Total Trip Tables Sup #2'!F105</f>
        <v>4.8083353649405263</v>
      </c>
      <c r="G105" s="4">
        <f ca="1">'Total Trip Tables Sup #2'!G105</f>
        <v>5.3355269876795104</v>
      </c>
      <c r="H105" s="4">
        <f ca="1">'Total Trip Tables Sup #2'!H105</f>
        <v>5.8284392044483013</v>
      </c>
      <c r="I105" s="1">
        <f ca="1">'Total Trip Tables Sup #2'!I105</f>
        <v>5.8217605810109001</v>
      </c>
      <c r="J105" s="1">
        <f ca="1">'Total Trip Tables Sup #2'!J105</f>
        <v>5.7969657865995776</v>
      </c>
      <c r="K105" s="1">
        <f ca="1">'Total Trip Tables Sup #2'!K105</f>
        <v>5.7602581661143546</v>
      </c>
    </row>
    <row r="106" spans="1:16" x14ac:dyDescent="0.2">
      <c r="A106" t="str">
        <f ca="1">OFFSET(Nelson_Reference,14,2)</f>
        <v>Light Vehicle Driver</v>
      </c>
      <c r="B106" s="4">
        <f ca="1">'Total Trip Tables Sup #2'!B106</f>
        <v>98.206986838999995</v>
      </c>
      <c r="C106" s="4">
        <f ca="1">'Total Trip Tables Sup #2'!C106*(1-'Other Assumptions'!G15)</f>
        <v>104.018900152399</v>
      </c>
      <c r="D106" s="4">
        <f ca="1">'Total Trip Tables Sup #2'!D106*(1-'Other Assumptions'!H15)</f>
        <v>106.5420909215037</v>
      </c>
      <c r="E106" s="4">
        <f ca="1">'Total Trip Tables Sup #2'!E106*(1-'Other Assumptions'!I15)</f>
        <v>97.936830753351913</v>
      </c>
      <c r="F106" s="4">
        <f ca="1">'Total Trip Tables Sup #2'!F106*(1-'Other Assumptions'!J15)</f>
        <v>88.309253757359272</v>
      </c>
      <c r="G106" s="4">
        <f ca="1">'Total Trip Tables Sup #2'!G106*(1-'Other Assumptions'!K15)</f>
        <v>77.382074508134437</v>
      </c>
      <c r="H106" s="4">
        <f ca="1">'Total Trip Tables Sup #2'!H106*(1-'Other Assumptions'!L15)</f>
        <v>65.966416464848052</v>
      </c>
      <c r="I106" s="1">
        <f ca="1">'Total Trip Tables Sup #2'!I106*(1-'Other Assumptions'!M15)</f>
        <v>54.891444611565824</v>
      </c>
      <c r="J106" s="1">
        <f ca="1">'Total Trip Tables Sup #2'!J106*(1-'Other Assumptions'!N15)</f>
        <v>43.711319043581106</v>
      </c>
      <c r="K106" s="1">
        <f ca="1">'Total Trip Tables Sup #2'!K106*(1-'Other Assumptions'!O15)</f>
        <v>32.564243836224591</v>
      </c>
    </row>
    <row r="107" spans="1:16" x14ac:dyDescent="0.2">
      <c r="A107" t="str">
        <f ca="1">OFFSET(Nelson_Reference,21,2)</f>
        <v>Light Vehicle Passenger</v>
      </c>
      <c r="B107" s="4">
        <f ca="1">'Total Trip Tables Sup #2'!B107</f>
        <v>45.895773311000006</v>
      </c>
      <c r="C107" s="4">
        <f ca="1">'Total Trip Tables Sup #2'!C107*(1-'Other Assumptions'!G15)</f>
        <v>46.390640531768625</v>
      </c>
      <c r="D107" s="4">
        <f ca="1">'Total Trip Tables Sup #2'!D107*(1-'Other Assumptions'!H15)</f>
        <v>45.929851927649629</v>
      </c>
      <c r="E107" s="4">
        <f ca="1">'Total Trip Tables Sup #2'!E107*(1-'Other Assumptions'!I15)</f>
        <v>40.760042151855416</v>
      </c>
      <c r="F107" s="4">
        <f ca="1">'Total Trip Tables Sup #2'!F107*(1-'Other Assumptions'!J15)</f>
        <v>35.578393091962653</v>
      </c>
      <c r="G107" s="4">
        <f ca="1">'Total Trip Tables Sup #2'!G107*(1-'Other Assumptions'!K15)</f>
        <v>30.335600630702451</v>
      </c>
      <c r="H107" s="4">
        <f ca="1">'Total Trip Tables Sup #2'!H107*(1-'Other Assumptions'!L15)</f>
        <v>25.152933117293802</v>
      </c>
      <c r="I107" s="1">
        <f ca="1">'Total Trip Tables Sup #2'!I107*(1-'Other Assumptions'!M15)</f>
        <v>20.933428240851907</v>
      </c>
      <c r="J107" s="1">
        <f ca="1">'Total Trip Tables Sup #2'!J107*(1-'Other Assumptions'!N15)</f>
        <v>16.672394207185388</v>
      </c>
      <c r="K107" s="1">
        <f ca="1">'Total Trip Tables Sup #2'!K107*(1-'Other Assumptions'!O15)</f>
        <v>12.422579468897531</v>
      </c>
    </row>
    <row r="108" spans="1:16" x14ac:dyDescent="0.2">
      <c r="A108" t="str">
        <f ca="1">OFFSET(Nelson_Reference,28,2)</f>
        <v>Taxi/Vehicle Share</v>
      </c>
      <c r="B108" s="4">
        <f ca="1">'Total Trip Tables Sup #2'!B108</f>
        <v>0.40359339709999997</v>
      </c>
      <c r="C108" s="4">
        <f ca="1">'Total Trip Tables Sup #2'!C108+((C106+C107)*'Other Assumptions'!G15/(1-'Other Assumptions'!G15))</f>
        <v>0.4463203884045121</v>
      </c>
      <c r="D108" s="4">
        <f ca="1">'Total Trip Tables Sup #2'!D108+((D106+D107)*'Other Assumptions'!H15/(1-'Other Assumptions'!H15))</f>
        <v>0.47537283888207438</v>
      </c>
      <c r="E108" s="4">
        <f ca="1">'Total Trip Tables Sup #2'!E108+((E106+E107)*'Other Assumptions'!I15/(1-'Other Assumptions'!I15))</f>
        <v>15.906070083229514</v>
      </c>
      <c r="F108" s="4">
        <f ca="1">'Total Trip Tables Sup #2'!F108+((F106+F107)*'Other Assumptions'!J15/(1-'Other Assumptions'!J15))</f>
        <v>31.480734138675906</v>
      </c>
      <c r="G108" s="4">
        <f ca="1">'Total Trip Tables Sup #2'!G108+((G106+G107)*'Other Assumptions'!K15/(1-'Other Assumptions'!K15))</f>
        <v>46.678132993273906</v>
      </c>
      <c r="H108" s="4">
        <f ca="1">'Total Trip Tables Sup #2'!H108+((H106+H107)*'Other Assumptions'!L15/(1-'Other Assumptions'!L15))</f>
        <v>61.26127973952606</v>
      </c>
      <c r="I108" s="1">
        <f ca="1">'Total Trip Tables Sup #2'!I108+((I106+I107)*'Other Assumptions'!M15/(1-'Other Assumptions'!M15))</f>
        <v>76.338361856498011</v>
      </c>
      <c r="J108" s="1">
        <f ca="1">'Total Trip Tables Sup #2'!J108+((J106+J107)*'Other Assumptions'!N15/(1-'Other Assumptions'!N15))</f>
        <v>91.085883519431633</v>
      </c>
      <c r="K108" s="1">
        <f ca="1">'Total Trip Tables Sup #2'!K108+((K106+K107)*'Other Assumptions'!O15/(1-'Other Assumptions'!O15))</f>
        <v>105.47533047523153</v>
      </c>
    </row>
    <row r="109" spans="1:16" x14ac:dyDescent="0.2">
      <c r="A109" t="str">
        <f ca="1">OFFSET(Nelson_Reference,35,2)</f>
        <v>Motorcyclist</v>
      </c>
      <c r="B109" s="4">
        <f ca="1">'Total Trip Tables Sup #2'!B109</f>
        <v>1.5095151791999999</v>
      </c>
      <c r="C109" s="4">
        <f ca="1">'Total Trip Tables Sup #2'!C109</f>
        <v>1.5632854922011261</v>
      </c>
      <c r="D109" s="4">
        <f ca="1">'Total Trip Tables Sup #2'!D109</f>
        <v>1.5739267177965488</v>
      </c>
      <c r="E109" s="4">
        <f ca="1">'Total Trip Tables Sup #2'!E109</f>
        <v>1.5776421075592244</v>
      </c>
      <c r="F109" s="4">
        <f ca="1">'Total Trip Tables Sup #2'!F109</f>
        <v>1.5689698146059328</v>
      </c>
      <c r="G109" s="4">
        <f ca="1">'Total Trip Tables Sup #2'!G109</f>
        <v>1.531868642243984</v>
      </c>
      <c r="H109" s="4">
        <f ca="1">'Total Trip Tables Sup #2'!H109</f>
        <v>1.4826515207480258</v>
      </c>
      <c r="I109" s="1">
        <f ca="1">'Total Trip Tables Sup #2'!I109</f>
        <v>1.4842614854933629</v>
      </c>
      <c r="J109" s="1">
        <f ca="1">'Total Trip Tables Sup #2'!J109</f>
        <v>1.4812059171533962</v>
      </c>
      <c r="K109" s="1">
        <f ca="1">'Total Trip Tables Sup #2'!K109</f>
        <v>1.475039473121091</v>
      </c>
    </row>
    <row r="110" spans="1:16" x14ac:dyDescent="0.2">
      <c r="A110" t="str">
        <f ca="1">OFFSET(Nelson_Reference,42,2)</f>
        <v>Local Train</v>
      </c>
      <c r="B110" s="4">
        <f ca="1">'Total Trip Tables Sup #2'!B110</f>
        <v>0</v>
      </c>
      <c r="C110" s="4">
        <f ca="1">'Total Trip Tables Sup #2'!C110</f>
        <v>0</v>
      </c>
      <c r="D110" s="4">
        <f ca="1">'Total Trip Tables Sup #2'!D110</f>
        <v>0</v>
      </c>
      <c r="E110" s="4">
        <f ca="1">'Total Trip Tables Sup #2'!E110</f>
        <v>0</v>
      </c>
      <c r="F110" s="4">
        <f ca="1">'Total Trip Tables Sup #2'!F110</f>
        <v>0</v>
      </c>
      <c r="G110" s="4">
        <f ca="1">'Total Trip Tables Sup #2'!G110</f>
        <v>0</v>
      </c>
      <c r="H110" s="4">
        <f ca="1">'Total Trip Tables Sup #2'!H110</f>
        <v>0</v>
      </c>
      <c r="I110" s="1">
        <f ca="1">'Total Trip Tables Sup #2'!I110</f>
        <v>0</v>
      </c>
      <c r="J110" s="1">
        <f ca="1">'Total Trip Tables Sup #2'!J110</f>
        <v>0</v>
      </c>
      <c r="K110" s="1">
        <f ca="1">'Total Trip Tables Sup #2'!K110</f>
        <v>0</v>
      </c>
    </row>
    <row r="111" spans="1:16" x14ac:dyDescent="0.2">
      <c r="A111" t="str">
        <f ca="1">OFFSET(Nelson_Reference,49,2)</f>
        <v>Local Bus</v>
      </c>
      <c r="B111" s="4">
        <f ca="1">'Total Trip Tables Sup #2'!B111</f>
        <v>2.0764681202999999</v>
      </c>
      <c r="C111" s="4">
        <f ca="1">'Total Trip Tables Sup #2'!C111</f>
        <v>2.0210275069218948</v>
      </c>
      <c r="D111" s="4">
        <f ca="1">'Total Trip Tables Sup #2'!D111</f>
        <v>1.9742834403531111</v>
      </c>
      <c r="E111" s="4">
        <f ca="1">'Total Trip Tables Sup #2'!E111</f>
        <v>1.9488269532711511</v>
      </c>
      <c r="F111" s="4">
        <f ca="1">'Total Trip Tables Sup #2'!F111</f>
        <v>1.8964720332354343</v>
      </c>
      <c r="G111" s="4">
        <f ca="1">'Total Trip Tables Sup #2'!G111</f>
        <v>1.8502513685036173</v>
      </c>
      <c r="H111" s="4">
        <f ca="1">'Total Trip Tables Sup #2'!H111</f>
        <v>1.7916737575332262</v>
      </c>
      <c r="I111" s="1">
        <f ca="1">'Total Trip Tables Sup #2'!I111</f>
        <v>1.7900270695109033</v>
      </c>
      <c r="J111" s="1">
        <f ca="1">'Total Trip Tables Sup #2'!J111</f>
        <v>1.7827398185202814</v>
      </c>
      <c r="K111" s="1">
        <f ca="1">'Total Trip Tables Sup #2'!K111</f>
        <v>1.7717157631145872</v>
      </c>
    </row>
    <row r="112" spans="1:16" x14ac:dyDescent="0.2">
      <c r="A112" t="str">
        <f ca="1">OFFSET(Wellington_Reference,56,2)</f>
        <v>Local Ferry</v>
      </c>
      <c r="B112" s="4">
        <f ca="1">'Total Trip Tables Sup #2'!B112</f>
        <v>0</v>
      </c>
      <c r="C112" s="4">
        <f ca="1">'Total Trip Tables Sup #2'!C112</f>
        <v>0</v>
      </c>
      <c r="D112" s="4">
        <f ca="1">'Total Trip Tables Sup #2'!D112</f>
        <v>0</v>
      </c>
      <c r="E112" s="4">
        <f ca="1">'Total Trip Tables Sup #2'!E112</f>
        <v>0</v>
      </c>
      <c r="F112" s="4">
        <f ca="1">'Total Trip Tables Sup #2'!F112</f>
        <v>0</v>
      </c>
      <c r="G112" s="4">
        <f ca="1">'Total Trip Tables Sup #2'!G112</f>
        <v>0</v>
      </c>
      <c r="H112" s="4">
        <f ca="1">'Total Trip Tables Sup #2'!H112</f>
        <v>0</v>
      </c>
      <c r="I112" s="1">
        <f ca="1">'Total Trip Tables Sup #2'!I112</f>
        <v>0</v>
      </c>
      <c r="J112" s="1">
        <f ca="1">'Total Trip Tables Sup #2'!J112</f>
        <v>0</v>
      </c>
      <c r="K112" s="1">
        <f ca="1">'Total Trip Tables Sup #2'!K112</f>
        <v>0</v>
      </c>
    </row>
    <row r="113" spans="1:11" x14ac:dyDescent="0.2">
      <c r="A113" t="str">
        <f ca="1">OFFSET(Nelson_Reference,56,2)</f>
        <v>Other Household Travel</v>
      </c>
      <c r="B113" s="4">
        <f ca="1">'Total Trip Tables Sup #2'!B113</f>
        <v>1.495105957</v>
      </c>
      <c r="C113" s="4">
        <f ca="1">'Total Trip Tables Sup #2'!C113</f>
        <v>1.5634604117503252</v>
      </c>
      <c r="D113" s="4">
        <f ca="1">'Total Trip Tables Sup #2'!D113</f>
        <v>1.6268883597294463</v>
      </c>
      <c r="E113" s="4">
        <f ca="1">'Total Trip Tables Sup #2'!E113</f>
        <v>1.6725044940796485</v>
      </c>
      <c r="F113" s="4">
        <f ca="1">'Total Trip Tables Sup #2'!F113</f>
        <v>1.7011002280136591</v>
      </c>
      <c r="G113" s="4">
        <f ca="1">'Total Trip Tables Sup #2'!G113</f>
        <v>1.7133082656858933</v>
      </c>
      <c r="H113" s="4">
        <f ca="1">'Total Trip Tables Sup #2'!H113</f>
        <v>1.6977942869993365</v>
      </c>
      <c r="I113" s="1">
        <f ca="1">'Total Trip Tables Sup #2'!I113</f>
        <v>1.7005224940629253</v>
      </c>
      <c r="J113" s="1">
        <f ca="1">'Total Trip Tables Sup #2'!J113</f>
        <v>1.6979524268120958</v>
      </c>
      <c r="K113" s="1">
        <f ca="1">'Total Trip Tables Sup #2'!K113</f>
        <v>1.6918600933948076</v>
      </c>
    </row>
    <row r="114" spans="1:11" x14ac:dyDescent="0.2">
      <c r="A114" t="str">
        <f ca="1">OFFSET(West_Coast_Reference,0,0)</f>
        <v>12 WEST COAST</v>
      </c>
      <c r="B114" s="4">
        <f ca="1">SUM(B115:B124)</f>
        <v>39.320985915800001</v>
      </c>
      <c r="C114" s="4">
        <f t="shared" ref="C114" ca="1" si="56">SUM(C115:C124)</f>
        <v>38.433087444617534</v>
      </c>
      <c r="D114" s="4">
        <f t="shared" ref="D114" ca="1" si="57">SUM(D115:D124)</f>
        <v>38.16696198667433</v>
      </c>
      <c r="E114" s="4">
        <f t="shared" ref="E114" ca="1" si="58">SUM(E115:E124)</f>
        <v>37.784231363308848</v>
      </c>
      <c r="F114" s="4">
        <f t="shared" ref="F114" ca="1" si="59">SUM(F115:F124)</f>
        <v>37.169796444983952</v>
      </c>
      <c r="G114" s="4">
        <f t="shared" ref="G114" ca="1" si="60">SUM(G115:G124)</f>
        <v>36.208656758479428</v>
      </c>
      <c r="H114" s="4">
        <f t="shared" ref="H114:K114" ca="1" si="61">SUM(H115:H124)</f>
        <v>35.124861318032359</v>
      </c>
      <c r="I114" s="1">
        <f t="shared" ca="1" si="61"/>
        <v>34.219573269735804</v>
      </c>
      <c r="J114" s="1">
        <f t="shared" ca="1" si="61"/>
        <v>33.231598253772979</v>
      </c>
      <c r="K114" s="1">
        <f t="shared" ca="1" si="61"/>
        <v>32.202885568394933</v>
      </c>
    </row>
    <row r="115" spans="1:11" x14ac:dyDescent="0.2">
      <c r="A115" t="str">
        <f ca="1">OFFSET(West_Coast_Reference,0,2)</f>
        <v>Pedestrian</v>
      </c>
      <c r="B115" s="4">
        <f ca="1">'Total Trip Tables Sup #2'!B115</f>
        <v>5.2699511529</v>
      </c>
      <c r="C115" s="4">
        <f ca="1">'Total Trip Tables Sup #2'!C115</f>
        <v>5.1094239326870063</v>
      </c>
      <c r="D115" s="4">
        <f ca="1">'Total Trip Tables Sup #2'!D115</f>
        <v>5.2220631376956641</v>
      </c>
      <c r="E115" s="4">
        <f ca="1">'Total Trip Tables Sup #2'!E115</f>
        <v>5.2706059204943214</v>
      </c>
      <c r="F115" s="4">
        <f ca="1">'Total Trip Tables Sup #2'!F115</f>
        <v>5.2602187051469453</v>
      </c>
      <c r="G115" s="4">
        <f ca="1">'Total Trip Tables Sup #2'!G115</f>
        <v>5.2130734888713741</v>
      </c>
      <c r="H115" s="4">
        <f ca="1">'Total Trip Tables Sup #2'!H115</f>
        <v>5.1431483978417587</v>
      </c>
      <c r="I115" s="1">
        <f ca="1">'Total Trip Tables Sup #2'!I115</f>
        <v>5.0058936225537112</v>
      </c>
      <c r="J115" s="1">
        <f ca="1">'Total Trip Tables Sup #2'!J115</f>
        <v>4.8568815606765616</v>
      </c>
      <c r="K115" s="1">
        <f ca="1">'Total Trip Tables Sup #2'!K115</f>
        <v>4.702262105751112</v>
      </c>
    </row>
    <row r="116" spans="1:11" x14ac:dyDescent="0.2">
      <c r="A116" t="str">
        <f ca="1">OFFSET(West_Coast_Reference,7,2)</f>
        <v>Cyclist</v>
      </c>
      <c r="B116" s="4">
        <f ca="1">'Total Trip Tables Sup #2'!B116</f>
        <v>0.73381292249999996</v>
      </c>
      <c r="C116" s="4">
        <f ca="1">'Total Trip Tables Sup #2'!C116</f>
        <v>0.7114440051052191</v>
      </c>
      <c r="D116" s="4">
        <f ca="1">'Total Trip Tables Sup #2'!D116</f>
        <v>0.83373722330106714</v>
      </c>
      <c r="E116" s="4">
        <f ca="1">'Total Trip Tables Sup #2'!E116</f>
        <v>0.93733289863743041</v>
      </c>
      <c r="F116" s="4">
        <f ca="1">'Total Trip Tables Sup #2'!F116</f>
        <v>1.0307587451909748</v>
      </c>
      <c r="G116" s="4">
        <f ca="1">'Total Trip Tables Sup #2'!G116</f>
        <v>1.1131807646477527</v>
      </c>
      <c r="H116" s="4">
        <f ca="1">'Total Trip Tables Sup #2'!H116</f>
        <v>1.1866092589651982</v>
      </c>
      <c r="I116" s="1">
        <f ca="1">'Total Trip Tables Sup #2'!I116</f>
        <v>1.1565286965891466</v>
      </c>
      <c r="J116" s="1">
        <f ca="1">'Total Trip Tables Sup #2'!J116</f>
        <v>1.1236444627393185</v>
      </c>
      <c r="K116" s="1">
        <f ca="1">'Total Trip Tables Sup #2'!K116</f>
        <v>1.0893707446259924</v>
      </c>
    </row>
    <row r="117" spans="1:11" x14ac:dyDescent="0.2">
      <c r="A117" t="str">
        <f ca="1">OFFSET(West_Coast_Reference,14,2)</f>
        <v>Light Vehicle Driver</v>
      </c>
      <c r="B117" s="4">
        <f ca="1">'Total Trip Tables Sup #2'!B117</f>
        <v>21.329902885999999</v>
      </c>
      <c r="C117" s="4">
        <f ca="1">'Total Trip Tables Sup #2'!C117*(1-'Other Assumptions'!G16)</f>
        <v>21.220231782795029</v>
      </c>
      <c r="D117" s="4">
        <f ca="1">'Total Trip Tables Sup #2'!D117*(1-'Other Assumptions'!H16)</f>
        <v>21.115228694689808</v>
      </c>
      <c r="E117" s="4">
        <f ca="1">'Total Trip Tables Sup #2'!E117*(1-'Other Assumptions'!I16)</f>
        <v>18.887214668488873</v>
      </c>
      <c r="F117" s="4">
        <f ca="1">'Total Trip Tables Sup #2'!F117*(1-'Other Assumptions'!J16)</f>
        <v>16.578500033937029</v>
      </c>
      <c r="G117" s="4">
        <f ca="1">'Total Trip Tables Sup #2'!G117*(1-'Other Assumptions'!K16)</f>
        <v>14.148627466672693</v>
      </c>
      <c r="H117" s="4">
        <f ca="1">'Total Trip Tables Sup #2'!H117*(1-'Other Assumptions'!L16)</f>
        <v>11.777709393075693</v>
      </c>
      <c r="I117" s="1">
        <f ca="1">'Total Trip Tables Sup #2'!I117*(1-'Other Assumptions'!M16)</f>
        <v>9.5628414051675108</v>
      </c>
      <c r="J117" s="1">
        <f ca="1">'Total Trip Tables Sup #2'!J117*(1-'Other Assumptions'!N16)</f>
        <v>7.4301927814194393</v>
      </c>
      <c r="K117" s="1">
        <f ca="1">'Total Trip Tables Sup #2'!K117*(1-'Other Assumptions'!O16)</f>
        <v>5.4007061462168791</v>
      </c>
    </row>
    <row r="118" spans="1:11" x14ac:dyDescent="0.2">
      <c r="A118" t="str">
        <f ca="1">OFFSET(West_Coast_Reference,21,2)</f>
        <v>Light Vehicle Passenger</v>
      </c>
      <c r="B118" s="4">
        <f ca="1">'Total Trip Tables Sup #2'!B118</f>
        <v>11.090105215000001</v>
      </c>
      <c r="C118" s="4">
        <f ca="1">'Total Trip Tables Sup #2'!C118*(1-'Other Assumptions'!G16)</f>
        <v>10.528941621022344</v>
      </c>
      <c r="D118" s="4">
        <f ca="1">'Total Trip Tables Sup #2'!D118*(1-'Other Assumptions'!H16)</f>
        <v>10.147458753469467</v>
      </c>
      <c r="E118" s="4">
        <f ca="1">'Total Trip Tables Sup #2'!E118*(1-'Other Assumptions'!I16)</f>
        <v>8.7813188739403927</v>
      </c>
      <c r="F118" s="4">
        <f ca="1">'Total Trip Tables Sup #2'!F118*(1-'Other Assumptions'!J16)</f>
        <v>7.4777370667585288</v>
      </c>
      <c r="G118" s="4">
        <f ca="1">'Total Trip Tables Sup #2'!G118*(1-'Other Assumptions'!K16)</f>
        <v>6.2236245029427639</v>
      </c>
      <c r="H118" s="4">
        <f ca="1">'Total Trip Tables Sup #2'!H118*(1-'Other Assumptions'!L16)</f>
        <v>5.0507263379732921</v>
      </c>
      <c r="I118" s="1">
        <f ca="1">'Total Trip Tables Sup #2'!I118*(1-'Other Assumptions'!M16)</f>
        <v>4.101514640318431</v>
      </c>
      <c r="J118" s="1">
        <f ca="1">'Total Trip Tables Sup #2'!J118*(1-'Other Assumptions'!N16)</f>
        <v>3.1872800375930264</v>
      </c>
      <c r="K118" s="1">
        <f ca="1">'Total Trip Tables Sup #2'!K118*(1-'Other Assumptions'!O16)</f>
        <v>2.3170317938212697</v>
      </c>
    </row>
    <row r="119" spans="1:11" x14ac:dyDescent="0.2">
      <c r="A119" t="str">
        <f ca="1">OFFSET(West_Coast_Reference,28,2)</f>
        <v>Taxi/Vehicle Share</v>
      </c>
      <c r="B119" s="4">
        <f ca="1">'Total Trip Tables Sup #2'!B119</f>
        <v>0.29973375209999997</v>
      </c>
      <c r="C119" s="4">
        <f ca="1">'Total Trip Tables Sup #2'!C119+((C117+C118)*'Other Assumptions'!G16/(1-'Other Assumptions'!G16))</f>
        <v>0.31133625581654201</v>
      </c>
      <c r="D119" s="4">
        <f ca="1">'Total Trip Tables Sup #2'!D119+((D117+D118)*'Other Assumptions'!H16/(1-'Other Assumptions'!H16))</f>
        <v>0.32188724193645102</v>
      </c>
      <c r="E119" s="4">
        <f ca="1">'Total Trip Tables Sup #2'!E119+((E117+E118)*'Other Assumptions'!I16/(1-'Other Assumptions'!I16))</f>
        <v>3.4003839742561204</v>
      </c>
      <c r="F119" s="4">
        <f ca="1">'Total Trip Tables Sup #2'!F119+((F117+F118)*'Other Assumptions'!J16/(1-'Other Assumptions'!J16))</f>
        <v>6.339930388922741</v>
      </c>
      <c r="G119" s="4">
        <f ca="1">'Total Trip Tables Sup #2'!G119+((G117+G118)*'Other Assumptions'!K16/(1-'Other Assumptions'!K16))</f>
        <v>9.050983075434857</v>
      </c>
      <c r="H119" s="4">
        <f ca="1">'Total Trip Tables Sup #2'!H119+((H117+H118)*'Other Assumptions'!L16/(1-'Other Assumptions'!L16))</f>
        <v>11.532227582342015</v>
      </c>
      <c r="I119" s="1">
        <f ca="1">'Total Trip Tables Sup #2'!I119+((I117+I118)*'Other Assumptions'!M16/(1-'Other Assumptions'!M16))</f>
        <v>13.969110851263309</v>
      </c>
      <c r="J119" s="1">
        <f ca="1">'Total Trip Tables Sup #2'!J119+((J117+J118)*'Other Assumptions'!N16/(1-'Other Assumptions'!N16))</f>
        <v>16.221726386151914</v>
      </c>
      <c r="K119" s="1">
        <f ca="1">'Total Trip Tables Sup #2'!K119+((K117+K118)*'Other Assumptions'!O16/(1-'Other Assumptions'!O16))</f>
        <v>18.293989935818836</v>
      </c>
    </row>
    <row r="120" spans="1:11" x14ac:dyDescent="0.2">
      <c r="A120" t="str">
        <f ca="1">OFFSET(West_Coast_Reference,35,2)</f>
        <v>Motorcyclist</v>
      </c>
      <c r="B120" s="4">
        <f ca="1">'Total Trip Tables Sup #2'!B120</f>
        <v>6.1723256599999998E-2</v>
      </c>
      <c r="C120" s="4">
        <f ca="1">'Total Trip Tables Sup #2'!C120</f>
        <v>6.0040046370430457E-2</v>
      </c>
      <c r="D120" s="4">
        <f ca="1">'Total Trip Tables Sup #2'!D120</f>
        <v>5.867777762641084E-2</v>
      </c>
      <c r="E120" s="4">
        <f ca="1">'Total Trip Tables Sup #2'!E120</f>
        <v>5.7188454893907524E-2</v>
      </c>
      <c r="F120" s="4">
        <f ca="1">'Total Trip Tables Sup #2'!F120</f>
        <v>5.532404911809706E-2</v>
      </c>
      <c r="G120" s="4">
        <f ca="1">'Total Trip Tables Sup #2'!G120</f>
        <v>5.2571091110099555E-2</v>
      </c>
      <c r="H120" s="4">
        <f ca="1">'Total Trip Tables Sup #2'!H120</f>
        <v>4.9651416365651901E-2</v>
      </c>
      <c r="I120" s="1">
        <f ca="1">'Total Trip Tables Sup #2'!I120</f>
        <v>4.8500876006311332E-2</v>
      </c>
      <c r="J120" s="1">
        <f ca="1">'Total Trip Tables Sup #2'!J120</f>
        <v>4.7225950707235419E-2</v>
      </c>
      <c r="K120" s="1">
        <f ca="1">'Total Trip Tables Sup #2'!K120</f>
        <v>4.588539711076605E-2</v>
      </c>
    </row>
    <row r="121" spans="1:11" x14ac:dyDescent="0.2">
      <c r="A121" t="str">
        <f ca="1">OFFSET(Nelson_Reference,42,2)</f>
        <v>Local Train</v>
      </c>
      <c r="B121" s="4">
        <f ca="1">'Total Trip Tables Sup #2'!B121</f>
        <v>0</v>
      </c>
      <c r="C121" s="4">
        <f ca="1">'Total Trip Tables Sup #2'!C121</f>
        <v>0</v>
      </c>
      <c r="D121" s="4">
        <f ca="1">'Total Trip Tables Sup #2'!D121</f>
        <v>0</v>
      </c>
      <c r="E121" s="4">
        <f ca="1">'Total Trip Tables Sup #2'!E121</f>
        <v>0</v>
      </c>
      <c r="F121" s="4">
        <f ca="1">'Total Trip Tables Sup #2'!F121</f>
        <v>0</v>
      </c>
      <c r="G121" s="4">
        <f ca="1">'Total Trip Tables Sup #2'!G121</f>
        <v>0</v>
      </c>
      <c r="H121" s="4">
        <f ca="1">'Total Trip Tables Sup #2'!H121</f>
        <v>0</v>
      </c>
      <c r="I121" s="1">
        <f ca="1">'Total Trip Tables Sup #2'!I121</f>
        <v>0</v>
      </c>
      <c r="J121" s="1">
        <f ca="1">'Total Trip Tables Sup #2'!J121</f>
        <v>0</v>
      </c>
      <c r="K121" s="1">
        <f ca="1">'Total Trip Tables Sup #2'!K121</f>
        <v>0</v>
      </c>
    </row>
    <row r="122" spans="1:11" x14ac:dyDescent="0.2">
      <c r="A122" t="str">
        <f ca="1">OFFSET(West_Coast_Reference,42,2)</f>
        <v>Local Bus</v>
      </c>
      <c r="B122" s="4">
        <f ca="1">'Total Trip Tables Sup #2'!B122</f>
        <v>0.50805546800000001</v>
      </c>
      <c r="C122" s="4">
        <f ca="1">'Total Trip Tables Sup #2'!C122</f>
        <v>0.46446122205993656</v>
      </c>
      <c r="D122" s="4">
        <f ca="1">'Total Trip Tables Sup #2'!D122</f>
        <v>0.44042622062029574</v>
      </c>
      <c r="E122" s="4">
        <f ca="1">'Total Trip Tables Sup #2'!E122</f>
        <v>0.42271500678656282</v>
      </c>
      <c r="F122" s="4">
        <f ca="1">'Total Trip Tables Sup #2'!F122</f>
        <v>0.40014770205875072</v>
      </c>
      <c r="G122" s="4">
        <f ca="1">'Total Trip Tables Sup #2'!G122</f>
        <v>0.37995373095722784</v>
      </c>
      <c r="H122" s="4">
        <f ca="1">'Total Trip Tables Sup #2'!H122</f>
        <v>0.35902608360964328</v>
      </c>
      <c r="I122" s="1">
        <f ca="1">'Total Trip Tables Sup #2'!I122</f>
        <v>0.35000421759477301</v>
      </c>
      <c r="J122" s="1">
        <f ca="1">'Total Trip Tables Sup #2'!J122</f>
        <v>0.34011653860012192</v>
      </c>
      <c r="K122" s="1">
        <f ca="1">'Total Trip Tables Sup #2'!K122</f>
        <v>0.32979146798659914</v>
      </c>
    </row>
    <row r="123" spans="1:11" x14ac:dyDescent="0.2">
      <c r="A123" t="str">
        <f ca="1">OFFSET(Wellington_Reference,56,2)</f>
        <v>Local Ferry</v>
      </c>
      <c r="B123" s="4">
        <f ca="1">'Total Trip Tables Sup #2'!B123</f>
        <v>0</v>
      </c>
      <c r="C123" s="4">
        <f ca="1">'Total Trip Tables Sup #2'!C123</f>
        <v>0</v>
      </c>
      <c r="D123" s="4">
        <f ca="1">'Total Trip Tables Sup #2'!D123</f>
        <v>0</v>
      </c>
      <c r="E123" s="4">
        <f ca="1">'Total Trip Tables Sup #2'!E123</f>
        <v>0</v>
      </c>
      <c r="F123" s="4">
        <f ca="1">'Total Trip Tables Sup #2'!F123</f>
        <v>0</v>
      </c>
      <c r="G123" s="4">
        <f ca="1">'Total Trip Tables Sup #2'!G123</f>
        <v>0</v>
      </c>
      <c r="H123" s="4">
        <f ca="1">'Total Trip Tables Sup #2'!H123</f>
        <v>0</v>
      </c>
      <c r="I123" s="1">
        <f ca="1">'Total Trip Tables Sup #2'!I123</f>
        <v>0</v>
      </c>
      <c r="J123" s="1">
        <f ca="1">'Total Trip Tables Sup #2'!J123</f>
        <v>0</v>
      </c>
      <c r="K123" s="1">
        <f ca="1">'Total Trip Tables Sup #2'!K123</f>
        <v>0</v>
      </c>
    </row>
    <row r="124" spans="1:11" x14ac:dyDescent="0.2">
      <c r="A124" t="str">
        <f ca="1">OFFSET(West_Coast_Reference,49,2)</f>
        <v>Other Household Travel</v>
      </c>
      <c r="B124" s="4">
        <f ca="1">'Total Trip Tables Sup #2'!B124</f>
        <v>2.77012627E-2</v>
      </c>
      <c r="C124" s="4">
        <f ca="1">'Total Trip Tables Sup #2'!C124</f>
        <v>2.7208578761028078E-2</v>
      </c>
      <c r="D124" s="4">
        <f ca="1">'Total Trip Tables Sup #2'!D124</f>
        <v>2.7482937335161807E-2</v>
      </c>
      <c r="E124" s="4">
        <f ca="1">'Total Trip Tables Sup #2'!E124</f>
        <v>2.7471565811240838E-2</v>
      </c>
      <c r="F124" s="4">
        <f ca="1">'Total Trip Tables Sup #2'!F124</f>
        <v>2.7179753850877581E-2</v>
      </c>
      <c r="G124" s="4">
        <f ca="1">'Total Trip Tables Sup #2'!G124</f>
        <v>2.6642637842652427E-2</v>
      </c>
      <c r="H124" s="4">
        <f ca="1">'Total Trip Tables Sup #2'!H124</f>
        <v>2.5762847859112668E-2</v>
      </c>
      <c r="I124" s="1">
        <f ca="1">'Total Trip Tables Sup #2'!I124</f>
        <v>2.5178960242611556E-2</v>
      </c>
      <c r="J124" s="1">
        <f ca="1">'Total Trip Tables Sup #2'!J124</f>
        <v>2.453053588536068E-2</v>
      </c>
      <c r="K124" s="1">
        <f ca="1">'Total Trip Tables Sup #2'!K124</f>
        <v>2.3847977063478611E-2</v>
      </c>
    </row>
    <row r="125" spans="1:11" x14ac:dyDescent="0.2">
      <c r="A125" t="str">
        <f ca="1">OFFSET(Canterbury_Reference,0,0)</f>
        <v>13 CANTERBURY</v>
      </c>
      <c r="B125" s="4">
        <f ca="1">SUM(B126:B135)</f>
        <v>787.72987151590007</v>
      </c>
      <c r="C125" s="4">
        <f t="shared" ref="C125" ca="1" si="62">SUM(C126:C135)</f>
        <v>876.78053150896437</v>
      </c>
      <c r="D125" s="4">
        <f t="shared" ref="D125" ca="1" si="63">SUM(D126:D135)</f>
        <v>938.22571778824442</v>
      </c>
      <c r="E125" s="4">
        <f t="shared" ref="E125" ca="1" si="64">SUM(E126:E135)</f>
        <v>988.02216897017536</v>
      </c>
      <c r="F125" s="4">
        <f t="shared" ref="F125" ca="1" si="65">SUM(F126:F135)</f>
        <v>1032.6759816659364</v>
      </c>
      <c r="G125" s="4">
        <f t="shared" ref="G125" ca="1" si="66">SUM(G126:G135)</f>
        <v>1068.9879070512732</v>
      </c>
      <c r="H125" s="4">
        <f t="shared" ref="H125:K125" ca="1" si="67">SUM(H126:H135)</f>
        <v>1100.804979300025</v>
      </c>
      <c r="I125" s="1">
        <f t="shared" ca="1" si="67"/>
        <v>1137.2438787275462</v>
      </c>
      <c r="J125" s="1">
        <f t="shared" ca="1" si="67"/>
        <v>1171.3310249860122</v>
      </c>
      <c r="K125" s="1">
        <f t="shared" ca="1" si="67"/>
        <v>1204.0062196603546</v>
      </c>
    </row>
    <row r="126" spans="1:11" x14ac:dyDescent="0.2">
      <c r="A126" t="str">
        <f ca="1">OFFSET(Canterbury_Reference,0,2)</f>
        <v>Pedestrian</v>
      </c>
      <c r="B126" s="4">
        <f ca="1">'Total Trip Tables Sup #2'!B126</f>
        <v>131.04676542000001</v>
      </c>
      <c r="C126" s="4">
        <f ca="1">'Total Trip Tables Sup #2'!C126+'Total Trip Tables Sup #2'!C128*'Other Assumptions'!G88*'Other Assumptions'!G95+'Total Trip Tables Sup #2'!C129*'Other Assumptions'!G88*'Other Assumptions'!G95</f>
        <v>144.82805415762297</v>
      </c>
      <c r="D126" s="4">
        <f ca="1">'Total Trip Tables Sup #2'!D126+'Total Trip Tables Sup #2'!D128*'Other Assumptions'!H88*'Other Assumptions'!H95+'Total Trip Tables Sup #2'!D129*'Other Assumptions'!H88*'Other Assumptions'!H95</f>
        <v>159.38221572384066</v>
      </c>
      <c r="E126" s="4">
        <f ca="1">'Total Trip Tables Sup #2'!E126+'Total Trip Tables Sup #2'!E128*'Other Assumptions'!I88*'Other Assumptions'!I95+'Total Trip Tables Sup #2'!E129*'Other Assumptions'!I88*'Other Assumptions'!I95</f>
        <v>171.0324101682011</v>
      </c>
      <c r="F126" s="4">
        <f ca="1">'Total Trip Tables Sup #2'!F126+'Total Trip Tables Sup #2'!F128*'Other Assumptions'!J88*'Other Assumptions'!J95+'Total Trip Tables Sup #2'!F129*'Other Assumptions'!J88*'Other Assumptions'!J95</f>
        <v>181.33419313802403</v>
      </c>
      <c r="G126" s="4">
        <f ca="1">'Total Trip Tables Sup #2'!G126+'Total Trip Tables Sup #2'!G128*'Other Assumptions'!K88*'Other Assumptions'!K95+'Total Trip Tables Sup #2'!G129*'Other Assumptions'!K88*'Other Assumptions'!K95</f>
        <v>190.88664162502084</v>
      </c>
      <c r="H126" s="4">
        <f ca="1">'Total Trip Tables Sup #2'!H126+'Total Trip Tables Sup #2'!H128*'Other Assumptions'!L88*'Other Assumptions'!L95+'Total Trip Tables Sup #2'!H129*'Other Assumptions'!L88*'Other Assumptions'!L95</f>
        <v>199.80822942688002</v>
      </c>
      <c r="I126" s="1">
        <f ca="1">'Total Trip Tables Sup #2'!I126+'Total Trip Tables Sup #2'!I128*'Other Assumptions'!M88*'Other Assumptions'!M95+'Total Trip Tables Sup #2'!I129*'Other Assumptions'!M88*'Other Assumptions'!M95</f>
        <v>206.35038422349018</v>
      </c>
      <c r="J126" s="1">
        <f ca="1">'Total Trip Tables Sup #2'!J126+'Total Trip Tables Sup #2'!J128*'Other Assumptions'!N88*'Other Assumptions'!N95+'Total Trip Tables Sup #2'!J129*'Other Assumptions'!N88*'Other Assumptions'!N95</f>
        <v>212.44985384648223</v>
      </c>
      <c r="K126" s="1">
        <f ca="1">'Total Trip Tables Sup #2'!K126+'Total Trip Tables Sup #2'!K128*'Other Assumptions'!O88*'Other Assumptions'!O95+'Total Trip Tables Sup #2'!K129*'Other Assumptions'!O88*'Other Assumptions'!O95</f>
        <v>218.28110576820833</v>
      </c>
    </row>
    <row r="127" spans="1:11" x14ac:dyDescent="0.2">
      <c r="A127" t="str">
        <f ca="1">OFFSET(Canterbury_Reference,7,2)</f>
        <v>Cyclist</v>
      </c>
      <c r="B127" s="4">
        <f ca="1">'Total Trip Tables Sup #2'!B127</f>
        <v>23.740018446000001</v>
      </c>
      <c r="C127" s="4">
        <f ca="1">'Total Trip Tables Sup #2'!C127+'Total Trip Tables Sup #2'!C128*'Other Assumptions'!G88*'Other Assumptions'!G94+'Total Trip Tables Sup #2'!C129*'Other Assumptions'!G88*'Other Assumptions'!G94</f>
        <v>26.23599035207469</v>
      </c>
      <c r="D127" s="4">
        <f ca="1">'Total Trip Tables Sup #2'!D127+'Total Trip Tables Sup #2'!D128*'Other Assumptions'!H88*'Other Assumptions'!H94+'Total Trip Tables Sup #2'!D129*'Other Assumptions'!H88*'Other Assumptions'!H94</f>
        <v>33.105710562386086</v>
      </c>
      <c r="E127" s="4">
        <f ca="1">'Total Trip Tables Sup #2'!E127+'Total Trip Tables Sup #2'!E128*'Other Assumptions'!I88*'Other Assumptions'!I94+'Total Trip Tables Sup #2'!E129*'Other Assumptions'!I88*'Other Assumptions'!I94</f>
        <v>39.571973628107614</v>
      </c>
      <c r="F127" s="4">
        <f ca="1">'Total Trip Tables Sup #2'!F127+'Total Trip Tables Sup #2'!F128*'Other Assumptions'!J88*'Other Assumptions'!J94+'Total Trip Tables Sup #2'!F129*'Other Assumptions'!J88*'Other Assumptions'!J94</f>
        <v>46.228405230883617</v>
      </c>
      <c r="G127" s="4">
        <f ca="1">'Total Trip Tables Sup #2'!G127+'Total Trip Tables Sup #2'!G128*'Other Assumptions'!K88*'Other Assumptions'!K94+'Total Trip Tables Sup #2'!G129*'Other Assumptions'!K88*'Other Assumptions'!K94</f>
        <v>53.030212057899149</v>
      </c>
      <c r="H127" s="4">
        <f ca="1">'Total Trip Tables Sup #2'!H127+'Total Trip Tables Sup #2'!H128*'Other Assumptions'!L88*'Other Assumptions'!L94+'Total Trip Tables Sup #2'!H129*'Other Assumptions'!L88*'Other Assumptions'!L94</f>
        <v>59.974692400470119</v>
      </c>
      <c r="I127" s="1">
        <f ca="1">'Total Trip Tables Sup #2'!I127+'Total Trip Tables Sup #2'!I128*'Other Assumptions'!M88*'Other Assumptions'!M94+'Total Trip Tables Sup #2'!I129*'Other Assumptions'!M88*'Other Assumptions'!M94</f>
        <v>62.023469905616892</v>
      </c>
      <c r="J127" s="1">
        <f ca="1">'Total Trip Tables Sup #2'!J127+'Total Trip Tables Sup #2'!J128*'Other Assumptions'!N88*'Other Assumptions'!N94+'Total Trip Tables Sup #2'!J129*'Other Assumptions'!N88*'Other Assumptions'!N94</f>
        <v>63.944591922474181</v>
      </c>
      <c r="K127" s="1">
        <f ca="1">'Total Trip Tables Sup #2'!K127+'Total Trip Tables Sup #2'!K128*'Other Assumptions'!O88*'Other Assumptions'!O94+'Total Trip Tables Sup #2'!K129*'Other Assumptions'!O88*'Other Assumptions'!O94</f>
        <v>65.79016876661143</v>
      </c>
    </row>
    <row r="128" spans="1:11" x14ac:dyDescent="0.2">
      <c r="A128" t="str">
        <f ca="1">OFFSET(Canterbury_Reference,14,2)</f>
        <v>Light Vehicle Driver</v>
      </c>
      <c r="B128" s="4">
        <f ca="1">'Total Trip Tables Sup #2'!B128</f>
        <v>417.41567177000002</v>
      </c>
      <c r="C128" s="4">
        <f ca="1">'Total Trip Tables Sup #2'!C128*(1-'Other Assumptions'!G17)*(1-'Other Assumptions'!G88)</f>
        <v>473.35943441973114</v>
      </c>
      <c r="D128" s="4">
        <f ca="1">'Total Trip Tables Sup #2'!D128*(1-'Other Assumptions'!H17)*(1-'Other Assumptions'!H88)</f>
        <v>506.29868400903155</v>
      </c>
      <c r="E128" s="4">
        <f ca="1">'Total Trip Tables Sup #2'!E128*(1-'Other Assumptions'!I17)*(1-'Other Assumptions'!I88)</f>
        <v>480.71951430167178</v>
      </c>
      <c r="F128" s="4">
        <f ca="1">'Total Trip Tables Sup #2'!F128*(1-'Other Assumptions'!J17)*(1-'Other Assumptions'!J88)</f>
        <v>447.56285795663757</v>
      </c>
      <c r="G128" s="4">
        <f ca="1">'Total Trip Tables Sup #2'!G128*(1-'Other Assumptions'!K17)*(1-'Other Assumptions'!K88)</f>
        <v>405.10334359902572</v>
      </c>
      <c r="H128" s="4">
        <f ca="1">'Total Trip Tables Sup #2'!H128*(1-'Other Assumptions'!L17)*(1-'Other Assumptions'!L88)</f>
        <v>357.24392171651863</v>
      </c>
      <c r="I128" s="1">
        <f ca="1">'Total Trip Tables Sup #2'!I128*(1-'Other Assumptions'!M17)*(1-'Other Assumptions'!M88)</f>
        <v>307.77331883743813</v>
      </c>
      <c r="J128" s="1">
        <f ca="1">'Total Trip Tables Sup #2'!J128*(1-'Other Assumptions'!N17)*(1-'Other Assumptions'!N88)</f>
        <v>253.75811606260586</v>
      </c>
      <c r="K128" s="1">
        <f ca="1">'Total Trip Tables Sup #2'!K128*(1-'Other Assumptions'!O17)*(1-'Other Assumptions'!O88)</f>
        <v>195.74078143598032</v>
      </c>
    </row>
    <row r="129" spans="1:11" x14ac:dyDescent="0.2">
      <c r="A129" t="str">
        <f ca="1">OFFSET(Canterbury_Reference,21,2)</f>
        <v>Light Vehicle Passenger</v>
      </c>
      <c r="B129" s="4">
        <f ca="1">'Total Trip Tables Sup #2'!B129</f>
        <v>189.77500578000001</v>
      </c>
      <c r="C129" s="4">
        <f ca="1">'Total Trip Tables Sup #2'!C129*(1-'Other Assumptions'!G17)*(1-'Other Assumptions'!G88+'Other Assumptions'!G88*'Other Assumptions'!G91)+'Total Trip Tables Sup #2'!C128*(1-'Other Assumptions'!G17)*'Other Assumptions'!G88*'Other Assumptions'!G91</f>
        <v>205.37572345361579</v>
      </c>
      <c r="D129" s="4">
        <f ca="1">'Total Trip Tables Sup #2'!D129*(1-'Other Assumptions'!H17)*(1-'Other Assumptions'!H88+'Other Assumptions'!H88*'Other Assumptions'!H91)+'Total Trip Tables Sup #2'!D128*(1-'Other Assumptions'!H17)*'Other Assumptions'!H88*'Other Assumptions'!H91</f>
        <v>211.999400100332</v>
      </c>
      <c r="E129" s="4">
        <f ca="1">'Total Trip Tables Sup #2'!E129*(1-'Other Assumptions'!I17)*(1-'Other Assumptions'!I88+'Other Assumptions'!I88*'Other Assumptions'!I91)+'Total Trip Tables Sup #2'!E128*(1-'Other Assumptions'!I17)*'Other Assumptions'!I88*'Other Assumptions'!I91</f>
        <v>194.00534962474291</v>
      </c>
      <c r="F129" s="4">
        <f ca="1">'Total Trip Tables Sup #2'!F129*(1-'Other Assumptions'!J17)*(1-'Other Assumptions'!J88+'Other Assumptions'!J88*'Other Assumptions'!J91)+'Total Trip Tables Sup #2'!F128*(1-'Other Assumptions'!J17)*'Other Assumptions'!J88*'Other Assumptions'!J91</f>
        <v>174.54525735391223</v>
      </c>
      <c r="G129" s="4">
        <f ca="1">'Total Trip Tables Sup #2'!G129*(1-'Other Assumptions'!K17)*(1-'Other Assumptions'!K88+'Other Assumptions'!K88*'Other Assumptions'!K91)+'Total Trip Tables Sup #2'!G128*(1-'Other Assumptions'!K17)*'Other Assumptions'!K88*'Other Assumptions'!K91</f>
        <v>153.44282545021954</v>
      </c>
      <c r="H129" s="4">
        <f ca="1">'Total Trip Tables Sup #2'!H129*(1-'Other Assumptions'!L17)*(1-'Other Assumptions'!L88+'Other Assumptions'!L88*'Other Assumptions'!L91)+'Total Trip Tables Sup #2'!H128*(1-'Other Assumptions'!L17)*'Other Assumptions'!L88*'Other Assumptions'!L91</f>
        <v>131.35074257189419</v>
      </c>
      <c r="I129" s="1">
        <f ca="1">'Total Trip Tables Sup #2'!I129*(1-'Other Assumptions'!M17)*(1-'Other Assumptions'!M88+'Other Assumptions'!M88*'Other Assumptions'!M91)+'Total Trip Tables Sup #2'!I128*(1-'Other Assumptions'!M17)*'Other Assumptions'!M88*'Other Assumptions'!M91</f>
        <v>113.17935651476859</v>
      </c>
      <c r="J129" s="1">
        <f ca="1">'Total Trip Tables Sup #2'!J129*(1-'Other Assumptions'!N17)*(1-'Other Assumptions'!N88+'Other Assumptions'!N88*'Other Assumptions'!N91)+'Total Trip Tables Sup #2'!J128*(1-'Other Assumptions'!N17)*'Other Assumptions'!N88*'Other Assumptions'!N91</f>
        <v>93.330389292263746</v>
      </c>
      <c r="K129" s="1">
        <f ca="1">'Total Trip Tables Sup #2'!K129*(1-'Other Assumptions'!O17)*(1-'Other Assumptions'!O88+'Other Assumptions'!O88*'Other Assumptions'!O91)+'Total Trip Tables Sup #2'!K128*(1-'Other Assumptions'!O17)*'Other Assumptions'!O88*'Other Assumptions'!O91</f>
        <v>72.002836960542936</v>
      </c>
    </row>
    <row r="130" spans="1:11" x14ac:dyDescent="0.2">
      <c r="A130" t="str">
        <f ca="1">OFFSET(Canterbury_Reference,28,2)</f>
        <v>Taxi/Vehicle Share</v>
      </c>
      <c r="B130" s="4">
        <f ca="1">'Total Trip Tables Sup #2'!B130</f>
        <v>2.2446435044999999</v>
      </c>
      <c r="C130" s="4">
        <f ca="1">'Total Trip Tables Sup #2'!C130+((C128+C129)*'Other Assumptions'!G17/(1-'Other Assumptions'!G17))</f>
        <v>2.6576786376983241</v>
      </c>
      <c r="D130" s="4">
        <f ca="1">'Total Trip Tables Sup #2'!D130+((D128+D129)*'Other Assumptions'!H17/(1-'Other Assumptions'!H17))</f>
        <v>2.9586494722247503</v>
      </c>
      <c r="E130" s="4">
        <f ca="1">'Total Trip Tables Sup #2'!E130+((E128+E129)*'Other Assumptions'!I17/(1-'Other Assumptions'!I17))</f>
        <v>78.15629653343386</v>
      </c>
      <c r="F130" s="4">
        <f ca="1">'Total Trip Tables Sup #2'!F130+((F128+F129)*'Other Assumptions'!J17/(1-'Other Assumptions'!J17))</f>
        <v>158.91012058791321</v>
      </c>
      <c r="G130" s="4">
        <f ca="1">'Total Trip Tables Sup #2'!G130+((G128+G129)*'Other Assumptions'!K17/(1-'Other Assumptions'!K17))</f>
        <v>242.90590012887967</v>
      </c>
      <c r="H130" s="4">
        <f ca="1">'Total Trip Tables Sup #2'!H130+((H128+H129)*'Other Assumptions'!L17/(1-'Other Assumptions'!L17))</f>
        <v>329.39495972248613</v>
      </c>
      <c r="I130" s="1">
        <f ca="1">'Total Trip Tables Sup #2'!I130+((I128+I129)*'Other Assumptions'!M17/(1-'Other Assumptions'!M17))</f>
        <v>424.73593578060979</v>
      </c>
      <c r="J130" s="1">
        <f ca="1">'Total Trip Tables Sup #2'!J130+((J128+J129)*'Other Assumptions'!N17/(1-'Other Assumptions'!N17))</f>
        <v>524.5256614959012</v>
      </c>
      <c r="K130" s="1">
        <f ca="1">'Total Trip Tables Sup #2'!K130+((K128+K129)*'Other Assumptions'!O17/(1-'Other Assumptions'!O17))</f>
        <v>628.7324234468831</v>
      </c>
    </row>
    <row r="131" spans="1:11" x14ac:dyDescent="0.2">
      <c r="A131" t="str">
        <f ca="1">OFFSET(Canterbury_Reference,35,2)</f>
        <v>Motorcyclist</v>
      </c>
      <c r="B131" s="4">
        <f ca="1">'Total Trip Tables Sup #2'!B131</f>
        <v>1.4451657518000001</v>
      </c>
      <c r="C131" s="4">
        <f ca="1">'Total Trip Tables Sup #2'!C131</f>
        <v>1.6023998279805205</v>
      </c>
      <c r="D131" s="4">
        <f ca="1">'Total Trip Tables Sup #2'!D131</f>
        <v>1.6862443653217463</v>
      </c>
      <c r="E131" s="4">
        <f ca="1">'Total Trip Tables Sup #2'!E131</f>
        <v>1.7473316605656952</v>
      </c>
      <c r="F131" s="4">
        <f ca="1">'Total Trip Tables Sup #2'!F131</f>
        <v>1.7957214651173428</v>
      </c>
      <c r="G131" s="4">
        <f ca="1">'Total Trip Tables Sup #2'!G131</f>
        <v>1.812499075494556</v>
      </c>
      <c r="H131" s="4">
        <f ca="1">'Total Trip Tables Sup #2'!H131</f>
        <v>1.8162058515911952</v>
      </c>
      <c r="I131" s="1">
        <f ca="1">'Total Trip Tables Sup #2'!I131</f>
        <v>1.8824452813517438</v>
      </c>
      <c r="J131" s="1">
        <f ca="1">'Total Trip Tables Sup #2'!J131</f>
        <v>1.945040935834589</v>
      </c>
      <c r="K131" s="1">
        <f ca="1">'Total Trip Tables Sup #2'!K131</f>
        <v>2.0055473477678949</v>
      </c>
    </row>
    <row r="132" spans="1:11" x14ac:dyDescent="0.2">
      <c r="A132" t="str">
        <f ca="1">OFFSET(Canterbury_Reference,42,2)</f>
        <v>Local Train</v>
      </c>
      <c r="B132" s="4">
        <f ca="1">'Total Trip Tables Sup #2'!B132</f>
        <v>2.1901243099999999E-2</v>
      </c>
      <c r="C132" s="4">
        <f ca="1">'Total Trip Tables Sup #2'!C132+'Total Trip Tables Sup #2'!C128*'Other Assumptions'!G88*'Other Assumptions'!G93+'Total Trip Tables Sup #2'!C129*'Other Assumptions'!G88*'Other Assumptions'!G93</f>
        <v>2.25451279E-2</v>
      </c>
      <c r="D132" s="4">
        <f ca="1">'Total Trip Tables Sup #2'!D132+'Total Trip Tables Sup #2'!D128*'Other Assumptions'!H88*'Other Assumptions'!H93+'Total Trip Tables Sup #2'!D129*'Other Assumptions'!H88*'Other Assumptions'!H93</f>
        <v>1.9279195900000001E-2</v>
      </c>
      <c r="E132" s="4">
        <f ca="1">'Total Trip Tables Sup #2'!E132+'Total Trip Tables Sup #2'!E128*'Other Assumptions'!I88*'Other Assumptions'!I93+'Total Trip Tables Sup #2'!E129*'Other Assumptions'!I88*'Other Assumptions'!I93</f>
        <v>1.79855854E-2</v>
      </c>
      <c r="F132" s="4">
        <f ca="1">'Total Trip Tables Sup #2'!F132+'Total Trip Tables Sup #2'!F128*'Other Assumptions'!J88*'Other Assumptions'!J93+'Total Trip Tables Sup #2'!F129*'Other Assumptions'!J88*'Other Assumptions'!J93</f>
        <v>1.7138687699999999E-2</v>
      </c>
      <c r="G132" s="4">
        <f ca="1">'Total Trip Tables Sup #2'!G132+'Total Trip Tables Sup #2'!G128*'Other Assumptions'!K88*'Other Assumptions'!K93+'Total Trip Tables Sup #2'!G129*'Other Assumptions'!K88*'Other Assumptions'!K93</f>
        <v>1.45208987E-2</v>
      </c>
      <c r="H132" s="4">
        <f ca="1">'Total Trip Tables Sup #2'!H132+'Total Trip Tables Sup #2'!H128*'Other Assumptions'!L88*'Other Assumptions'!L93+'Total Trip Tables Sup #2'!H129*'Other Assumptions'!L88*'Other Assumptions'!L93</f>
        <v>1.2069111400000001E-2</v>
      </c>
      <c r="I132" s="1">
        <f ca="1">'Total Trip Tables Sup #2'!I132+'Total Trip Tables Sup #2'!I128*'Other Assumptions'!M88*'Other Assumptions'!M93+'Total Trip Tables Sup #2'!I129*'Other Assumptions'!M88*'Other Assumptions'!M93</f>
        <v>1.2069111400000001E-2</v>
      </c>
      <c r="J132" s="1">
        <f ca="1">'Total Trip Tables Sup #2'!J132+'Total Trip Tables Sup #2'!J128*'Other Assumptions'!N88*'Other Assumptions'!N93+'Total Trip Tables Sup #2'!J129*'Other Assumptions'!N88*'Other Assumptions'!N93</f>
        <v>1.2069111400000001E-2</v>
      </c>
      <c r="K132" s="1">
        <f ca="1">'Total Trip Tables Sup #2'!K132+'Total Trip Tables Sup #2'!K128*'Other Assumptions'!O88*'Other Assumptions'!O93+'Total Trip Tables Sup #2'!K129*'Other Assumptions'!O88*'Other Assumptions'!O93</f>
        <v>1.2069111400000001E-2</v>
      </c>
    </row>
    <row r="133" spans="1:11" x14ac:dyDescent="0.2">
      <c r="A133" t="str">
        <f ca="1">OFFSET(Canterbury_Reference,49,2)</f>
        <v>Local Bus</v>
      </c>
      <c r="B133" s="4">
        <f ca="1">'Total Trip Tables Sup #2'!B133</f>
        <v>20.502079716000001</v>
      </c>
      <c r="C133" s="4">
        <f ca="1">'Total Trip Tables Sup #2'!C133+'Total Trip Tables Sup #2'!C128*'Other Assumptions'!G88*'Other Assumptions'!G92+'Total Trip Tables Sup #2'!C129*'Other Assumptions'!G88*'Other Assumptions'!G92</f>
        <v>20.976049086</v>
      </c>
      <c r="D133" s="4">
        <f ca="1">'Total Trip Tables Sup #2'!D133+'Total Trip Tables Sup #2'!D128*'Other Assumptions'!H88*'Other Assumptions'!H92+'Total Trip Tables Sup #2'!D129*'Other Assumptions'!H88*'Other Assumptions'!H92</f>
        <v>20.901951312000001</v>
      </c>
      <c r="E133" s="4">
        <f ca="1">'Total Trip Tables Sup #2'!E133+'Total Trip Tables Sup #2'!E128*'Other Assumptions'!I88*'Other Assumptions'!I92+'Total Trip Tables Sup #2'!E129*'Other Assumptions'!I88*'Other Assumptions'!I92</f>
        <v>20.780114531999999</v>
      </c>
      <c r="F133" s="4">
        <f ca="1">'Total Trip Tables Sup #2'!F133+'Total Trip Tables Sup #2'!F128*'Other Assumptions'!J88*'Other Assumptions'!J92+'Total Trip Tables Sup #2'!F129*'Other Assumptions'!J88*'Other Assumptions'!J92</f>
        <v>20.189459515999999</v>
      </c>
      <c r="G133" s="4">
        <f ca="1">'Total Trip Tables Sup #2'!G133+'Total Trip Tables Sup #2'!G128*'Other Assumptions'!K88*'Other Assumptions'!K92+'Total Trip Tables Sup #2'!G129*'Other Assumptions'!K88*'Other Assumptions'!K92</f>
        <v>19.612895277</v>
      </c>
      <c r="H133" s="4">
        <f ca="1">'Total Trip Tables Sup #2'!H133+'Total Trip Tables Sup #2'!H128*'Other Assumptions'!L88*'Other Assumptions'!L92+'Total Trip Tables Sup #2'!H129*'Other Assumptions'!L88*'Other Assumptions'!L92</f>
        <v>18.968578354999998</v>
      </c>
      <c r="I133" s="1">
        <f ca="1">'Total Trip Tables Sup #2'!I133+'Total Trip Tables Sup #2'!I128*'Other Assumptions'!M88*'Other Assumptions'!M92+'Total Trip Tables Sup #2'!I129*'Other Assumptions'!M88*'Other Assumptions'!M92</f>
        <v>18.968578354999998</v>
      </c>
      <c r="J133" s="1">
        <f ca="1">'Total Trip Tables Sup #2'!J133+'Total Trip Tables Sup #2'!J128*'Other Assumptions'!N88*'Other Assumptions'!N92+'Total Trip Tables Sup #2'!J129*'Other Assumptions'!N88*'Other Assumptions'!N92</f>
        <v>18.968578354999998</v>
      </c>
      <c r="K133" s="1">
        <f ca="1">'Total Trip Tables Sup #2'!K133+'Total Trip Tables Sup #2'!K128*'Other Assumptions'!O88*'Other Assumptions'!O92+'Total Trip Tables Sup #2'!K129*'Other Assumptions'!O88*'Other Assumptions'!O92</f>
        <v>18.968578354999998</v>
      </c>
    </row>
    <row r="134" spans="1:11" x14ac:dyDescent="0.2">
      <c r="A134" t="str">
        <f ca="1">OFFSET(Wellington_Reference,56,2)</f>
        <v>Local Ferry</v>
      </c>
      <c r="B134" s="4">
        <f ca="1">'Total Trip Tables Sup #2'!B156</f>
        <v>0</v>
      </c>
      <c r="C134" s="4">
        <f ca="1">'Total Trip Tables Sup #2'!C156</f>
        <v>0</v>
      </c>
      <c r="D134" s="4">
        <f ca="1">'Total Trip Tables Sup #2'!D156</f>
        <v>0</v>
      </c>
      <c r="E134" s="4">
        <f ca="1">'Total Trip Tables Sup #2'!E156</f>
        <v>0</v>
      </c>
      <c r="F134" s="4">
        <f ca="1">'Total Trip Tables Sup #2'!F156</f>
        <v>0</v>
      </c>
      <c r="G134" s="4">
        <f ca="1">'Total Trip Tables Sup #2'!G156</f>
        <v>0</v>
      </c>
      <c r="H134" s="4">
        <f ca="1">'Total Trip Tables Sup #2'!H156</f>
        <v>0</v>
      </c>
      <c r="I134" s="1">
        <f ca="1">'Total Trip Tables Sup #2'!I156</f>
        <v>0</v>
      </c>
      <c r="J134" s="1">
        <f ca="1">'Total Trip Tables Sup #2'!J156</f>
        <v>0</v>
      </c>
      <c r="K134" s="1">
        <f ca="1">'Total Trip Tables Sup #2'!K156</f>
        <v>0</v>
      </c>
    </row>
    <row r="135" spans="1:11" x14ac:dyDescent="0.2">
      <c r="A135" t="str">
        <f ca="1">OFFSET(Canterbury_Reference,56,2)</f>
        <v>Other Household Travel</v>
      </c>
      <c r="B135" s="4">
        <f ca="1">'Total Trip Tables Sup #2'!B135</f>
        <v>1.5386198845000001</v>
      </c>
      <c r="C135" s="4">
        <f ca="1">'Total Trip Tables Sup #2'!C135</f>
        <v>1.7226564463409473</v>
      </c>
      <c r="D135" s="4">
        <f ca="1">'Total Trip Tables Sup #2'!D135</f>
        <v>1.8735830472075612</v>
      </c>
      <c r="E135" s="4">
        <f ca="1">'Total Trip Tables Sup #2'!E135</f>
        <v>1.991192936052556</v>
      </c>
      <c r="F135" s="4">
        <f ca="1">'Total Trip Tables Sup #2'!F135</f>
        <v>2.0928277297485676</v>
      </c>
      <c r="G135" s="4">
        <f ca="1">'Total Trip Tables Sup #2'!G135</f>
        <v>2.1790689390336451</v>
      </c>
      <c r="H135" s="4">
        <f ca="1">'Total Trip Tables Sup #2'!H135</f>
        <v>2.2355801437845479</v>
      </c>
      <c r="I135" s="1">
        <f ca="1">'Total Trip Tables Sup #2'!I135</f>
        <v>2.318320717870745</v>
      </c>
      <c r="J135" s="1">
        <f ca="1">'Total Trip Tables Sup #2'!J135</f>
        <v>2.3967239640503419</v>
      </c>
      <c r="K135" s="1">
        <f ca="1">'Total Trip Tables Sup #2'!K135</f>
        <v>2.4727084679605733</v>
      </c>
    </row>
    <row r="136" spans="1:11" x14ac:dyDescent="0.2">
      <c r="A136" t="str">
        <f ca="1">OFFSET(Otago_Reference,0,0)</f>
        <v>14 OTAGO</v>
      </c>
      <c r="B136" s="4">
        <f ca="1">SUM(B137:B146)</f>
        <v>292.56009771480007</v>
      </c>
      <c r="C136" s="4">
        <f t="shared" ref="C136" ca="1" si="68">SUM(C137:C146)</f>
        <v>325.1252588654857</v>
      </c>
      <c r="D136" s="4">
        <f t="shared" ref="D136" ca="1" si="69">SUM(D137:D146)</f>
        <v>346.95433317985078</v>
      </c>
      <c r="E136" s="4">
        <f t="shared" ref="E136" ca="1" si="70">SUM(E137:E146)</f>
        <v>363.44403914741559</v>
      </c>
      <c r="F136" s="4">
        <f t="shared" ref="F136" ca="1" si="71">SUM(F137:F146)</f>
        <v>377.98513874389431</v>
      </c>
      <c r="G136" s="4">
        <f t="shared" ref="G136" ca="1" si="72">SUM(G137:G146)</f>
        <v>389.1613252489139</v>
      </c>
      <c r="H136" s="4">
        <f t="shared" ref="H136:K136" ca="1" si="73">SUM(H137:H146)</f>
        <v>398.66138852589199</v>
      </c>
      <c r="I136" s="1">
        <f t="shared" ca="1" si="73"/>
        <v>410.12405176704516</v>
      </c>
      <c r="J136" s="1">
        <f t="shared" ca="1" si="73"/>
        <v>420.59164575036942</v>
      </c>
      <c r="K136" s="1">
        <f t="shared" ca="1" si="73"/>
        <v>430.4204493619406</v>
      </c>
    </row>
    <row r="137" spans="1:11" x14ac:dyDescent="0.2">
      <c r="A137" t="str">
        <f ca="1">OFFSET(Otago_Reference,0,2)</f>
        <v>Pedestrian</v>
      </c>
      <c r="B137" s="4">
        <f ca="1">'Total Trip Tables Sup #2'!B137</f>
        <v>58.261736425999999</v>
      </c>
      <c r="C137" s="4">
        <f ca="1">'Total Trip Tables Sup #2'!C137</f>
        <v>64.245088656299259</v>
      </c>
      <c r="D137" s="4">
        <f ca="1">'Total Trip Tables Sup #2'!D137</f>
        <v>70.511723573699996</v>
      </c>
      <c r="E137" s="4">
        <f ca="1">'Total Trip Tables Sup #2'!E137</f>
        <v>75.292179592994884</v>
      </c>
      <c r="F137" s="4">
        <f ca="1">'Total Trip Tables Sup #2'!F137</f>
        <v>79.456140345038634</v>
      </c>
      <c r="G137" s="4">
        <f ca="1">'Total Trip Tables Sup #2'!G137</f>
        <v>83.221464365010164</v>
      </c>
      <c r="H137" s="4">
        <f ca="1">'Total Trip Tables Sup #2'!H137</f>
        <v>86.701481504201752</v>
      </c>
      <c r="I137" s="1">
        <f ca="1">'Total Trip Tables Sup #2'!I137</f>
        <v>89.114779641581237</v>
      </c>
      <c r="J137" s="1">
        <f ca="1">'Total Trip Tables Sup #2'!J137</f>
        <v>91.308950695451998</v>
      </c>
      <c r="K137" s="1">
        <f ca="1">'Total Trip Tables Sup #2'!K137</f>
        <v>93.361911383276421</v>
      </c>
    </row>
    <row r="138" spans="1:11" x14ac:dyDescent="0.2">
      <c r="A138" t="str">
        <f ca="1">OFFSET(Otago_Reference,7,2)</f>
        <v>Cyclist</v>
      </c>
      <c r="B138" s="4">
        <f ca="1">'Total Trip Tables Sup #2'!B138</f>
        <v>4.5847179276999999</v>
      </c>
      <c r="C138" s="4">
        <f ca="1">'Total Trip Tables Sup #2'!C138</f>
        <v>5.055442211002255</v>
      </c>
      <c r="D138" s="4">
        <f ca="1">'Total Trip Tables Sup #2'!D138</f>
        <v>6.3620757404031014</v>
      </c>
      <c r="E138" s="4">
        <f ca="1">'Total Trip Tables Sup #2'!E138</f>
        <v>7.5671721732210671</v>
      </c>
      <c r="F138" s="4">
        <f ca="1">'Total Trip Tables Sup #2'!F138</f>
        <v>8.7989555367019729</v>
      </c>
      <c r="G138" s="4">
        <f ca="1">'Total Trip Tables Sup #2'!G138</f>
        <v>10.042865136402275</v>
      </c>
      <c r="H138" s="4">
        <f ca="1">'Total Trip Tables Sup #2'!H138</f>
        <v>11.304611118978022</v>
      </c>
      <c r="I138" s="1">
        <f ca="1">'Total Trip Tables Sup #2'!I138</f>
        <v>11.635229812060588</v>
      </c>
      <c r="J138" s="1">
        <f ca="1">'Total Trip Tables Sup #2'!J138</f>
        <v>11.938099279564584</v>
      </c>
      <c r="K138" s="1">
        <f ca="1">'Total Trip Tables Sup #2'!K138</f>
        <v>12.223316029277751</v>
      </c>
    </row>
    <row r="139" spans="1:11" x14ac:dyDescent="0.2">
      <c r="A139" t="str">
        <f ca="1">OFFSET(Otago_Reference,14,2)</f>
        <v>Light Vehicle Driver</v>
      </c>
      <c r="B139" s="4">
        <f ca="1">'Total Trip Tables Sup #2'!B139</f>
        <v>150.49144967999999</v>
      </c>
      <c r="C139" s="4">
        <f ca="1">'Total Trip Tables Sup #2'!C139*(1-'Other Assumptions'!G18)</f>
        <v>170.28023127688576</v>
      </c>
      <c r="D139" s="4">
        <f ca="1">'Total Trip Tables Sup #2'!D139*(1-'Other Assumptions'!H18)</f>
        <v>181.74274990841707</v>
      </c>
      <c r="E139" s="4">
        <f ca="1">'Total Trip Tables Sup #2'!E139*(1-'Other Assumptions'!I18)</f>
        <v>171.79703774568981</v>
      </c>
      <c r="F139" s="4">
        <f ca="1">'Total Trip Tables Sup #2'!F139*(1-'Other Assumptions'!J18)</f>
        <v>159.2833354621304</v>
      </c>
      <c r="G139" s="4">
        <f ca="1">'Total Trip Tables Sup #2'!G139*(1-'Other Assumptions'!K18)</f>
        <v>143.51993636387135</v>
      </c>
      <c r="H139" s="4">
        <f ca="1">'Total Trip Tables Sup #2'!H139*(1-'Other Assumptions'!L18)</f>
        <v>126.03345673620133</v>
      </c>
      <c r="I139" s="1">
        <f ca="1">'Total Trip Tables Sup #2'!I139*(1-'Other Assumptions'!M18)</f>
        <v>108.06512905118592</v>
      </c>
      <c r="J139" s="1">
        <f ca="1">'Total Trip Tables Sup #2'!J139*(1-'Other Assumptions'!N18)</f>
        <v>88.672577310008649</v>
      </c>
      <c r="K139" s="1">
        <f ca="1">'Total Trip Tables Sup #2'!K139*(1-'Other Assumptions'!O18)</f>
        <v>68.069055865367986</v>
      </c>
    </row>
    <row r="140" spans="1:11" x14ac:dyDescent="0.2">
      <c r="A140" t="str">
        <f ca="1">OFFSET(Otago_Reference,21,2)</f>
        <v>Light Vehicle Passenger</v>
      </c>
      <c r="B140" s="4">
        <f ca="1">'Total Trip Tables Sup #2'!B140</f>
        <v>71.232164202000021</v>
      </c>
      <c r="C140" s="4">
        <f ca="1">'Total Trip Tables Sup #2'!C140*(1-'Other Assumptions'!G18)</f>
        <v>76.915939854633649</v>
      </c>
      <c r="D140" s="4">
        <f ca="1">'Total Trip Tables Sup #2'!D140*(1-'Other Assumptions'!H18)</f>
        <v>79.328305943083024</v>
      </c>
      <c r="E140" s="4">
        <f ca="1">'Total Trip Tables Sup #2'!E140*(1-'Other Assumptions'!I18)</f>
        <v>72.368562079732769</v>
      </c>
      <c r="F140" s="4">
        <f ca="1">'Total Trip Tables Sup #2'!F140*(1-'Other Assumptions'!J18)</f>
        <v>64.928291477505468</v>
      </c>
      <c r="G140" s="4">
        <f ca="1">'Total Trip Tables Sup #2'!G140*(1-'Other Assumptions'!K18)</f>
        <v>56.903141176558051</v>
      </c>
      <c r="H140" s="4">
        <f ca="1">'Total Trip Tables Sup #2'!H140*(1-'Other Assumptions'!L18)</f>
        <v>48.582473647341189</v>
      </c>
      <c r="I140" s="1">
        <f ca="1">'Total Trip Tables Sup #2'!I140*(1-'Other Assumptions'!M18)</f>
        <v>41.662991149907612</v>
      </c>
      <c r="J140" s="1">
        <f ca="1">'Total Trip Tables Sup #2'!J140*(1-'Other Assumptions'!N18)</f>
        <v>34.191935194174292</v>
      </c>
      <c r="K140" s="1">
        <f ca="1">'Total Trip Tables Sup #2'!K140*(1-'Other Assumptions'!O18)</f>
        <v>26.251365748612631</v>
      </c>
    </row>
    <row r="141" spans="1:11" x14ac:dyDescent="0.2">
      <c r="A141" t="str">
        <f ca="1">OFFSET(Otago_Reference,28,2)</f>
        <v>Taxi/Vehicle Share</v>
      </c>
      <c r="B141" s="4">
        <f ca="1">'Total Trip Tables Sup #2'!B141</f>
        <v>0.85820748670000002</v>
      </c>
      <c r="C141" s="4">
        <f ca="1">'Total Trip Tables Sup #2'!C141+((C139+C140)*'Other Assumptions'!G18/(1-'Other Assumptions'!G18))</f>
        <v>1.013858875142521</v>
      </c>
      <c r="D141" s="4">
        <f ca="1">'Total Trip Tables Sup #2'!D141+((D139+D140)*'Other Assumptions'!H18/(1-'Other Assumptions'!H18))</f>
        <v>1.1256484822040249</v>
      </c>
      <c r="E141" s="4">
        <f ca="1">'Total Trip Tables Sup #2'!E141+((E139+E140)*'Other Assumptions'!I18/(1-'Other Assumptions'!I18))</f>
        <v>28.335999700513202</v>
      </c>
      <c r="F141" s="4">
        <f ca="1">'Total Trip Tables Sup #2'!F141+((F139+F140)*'Other Assumptions'!J18/(1-'Other Assumptions'!J18))</f>
        <v>57.327728127867921</v>
      </c>
      <c r="G141" s="4">
        <f ca="1">'Total Trip Tables Sup #2'!G141+((G139+G140)*'Other Assumptions'!K18/(1-'Other Assumptions'!K18))</f>
        <v>87.218713750386712</v>
      </c>
      <c r="H141" s="4">
        <f ca="1">'Total Trip Tables Sup #2'!H141+((H139+H140)*'Other Assumptions'!L18/(1-'Other Assumptions'!L18))</f>
        <v>117.77833861974776</v>
      </c>
      <c r="I141" s="1">
        <f ca="1">'Total Trip Tables Sup #2'!I141+((I139+I140)*'Other Assumptions'!M18/(1-'Other Assumptions'!M18))</f>
        <v>151.13319193853337</v>
      </c>
      <c r="J141" s="1">
        <f ca="1">'Total Trip Tables Sup #2'!J141+((J139+J140)*'Other Assumptions'!N18/(1-'Other Assumptions'!N18))</f>
        <v>185.73562814238437</v>
      </c>
      <c r="K141" s="1">
        <f ca="1">'Total Trip Tables Sup #2'!K141+((K139+K140)*'Other Assumptions'!O18/(1-'Other Assumptions'!O18))</f>
        <v>221.55129624320469</v>
      </c>
    </row>
    <row r="142" spans="1:11" x14ac:dyDescent="0.2">
      <c r="A142" t="str">
        <f ca="1">OFFSET(Otago_Reference,35,2)</f>
        <v>Motorcyclist</v>
      </c>
      <c r="B142" s="4">
        <f ca="1">'Total Trip Tables Sup #2'!B142</f>
        <v>2.0937246197000001</v>
      </c>
      <c r="C142" s="4">
        <f ca="1">'Total Trip Tables Sup #2'!C142</f>
        <v>2.3163432026441892</v>
      </c>
      <c r="D142" s="4">
        <f ca="1">'Total Trip Tables Sup #2'!D142</f>
        <v>2.4310100971868667</v>
      </c>
      <c r="E142" s="4">
        <f ca="1">'Total Trip Tables Sup #2'!E142</f>
        <v>2.5066377767812065</v>
      </c>
      <c r="F142" s="4">
        <f ca="1">'Total Trip Tables Sup #2'!F142</f>
        <v>2.5640796711382796</v>
      </c>
      <c r="G142" s="4">
        <f ca="1">'Total Trip Tables Sup #2'!G142</f>
        <v>2.5750305778039686</v>
      </c>
      <c r="H142" s="4">
        <f ca="1">'Total Trip Tables Sup #2'!H142</f>
        <v>2.5681654462431585</v>
      </c>
      <c r="I142" s="1">
        <f ca="1">'Total Trip Tables Sup #2'!I142</f>
        <v>2.6491807912769456</v>
      </c>
      <c r="J142" s="1">
        <f ca="1">'Total Trip Tables Sup #2'!J142</f>
        <v>2.7241463905543788</v>
      </c>
      <c r="K142" s="1">
        <f ca="1">'Total Trip Tables Sup #2'!K142</f>
        <v>2.7953184391929664</v>
      </c>
    </row>
    <row r="143" spans="1:11" x14ac:dyDescent="0.2">
      <c r="A143" t="str">
        <f ca="1">OFFSET(Canterbury_Reference,42,2)</f>
        <v>Local Train</v>
      </c>
      <c r="B143" s="4">
        <f ca="1">'Total Trip Tables Sup #2'!B143</f>
        <v>0</v>
      </c>
      <c r="C143" s="4">
        <f ca="1">'Total Trip Tables Sup #2'!C143</f>
        <v>0</v>
      </c>
      <c r="D143" s="4">
        <f ca="1">'Total Trip Tables Sup #2'!D143</f>
        <v>0</v>
      </c>
      <c r="E143" s="4">
        <f ca="1">'Total Trip Tables Sup #2'!E143</f>
        <v>0</v>
      </c>
      <c r="F143" s="4">
        <f ca="1">'Total Trip Tables Sup #2'!F143</f>
        <v>0</v>
      </c>
      <c r="G143" s="4">
        <f ca="1">'Total Trip Tables Sup #2'!G143</f>
        <v>0</v>
      </c>
      <c r="H143" s="4">
        <f ca="1">'Total Trip Tables Sup #2'!H143</f>
        <v>0</v>
      </c>
      <c r="I143" s="1">
        <f ca="1">'Total Trip Tables Sup #2'!I143</f>
        <v>0</v>
      </c>
      <c r="J143" s="1">
        <f ca="1">'Total Trip Tables Sup #2'!J143</f>
        <v>0</v>
      </c>
      <c r="K143" s="1">
        <f ca="1">'Total Trip Tables Sup #2'!K143</f>
        <v>0</v>
      </c>
    </row>
    <row r="144" spans="1:11" x14ac:dyDescent="0.2">
      <c r="A144" t="str">
        <f ca="1">OFFSET(Otago_Reference,42,2)</f>
        <v>Local Bus</v>
      </c>
      <c r="B144" s="4">
        <f ca="1">'Total Trip Tables Sup #2'!B144</f>
        <v>4.2627057848999996</v>
      </c>
      <c r="C144" s="4">
        <f ca="1">'Total Trip Tables Sup #2'!C144</f>
        <v>4.4321540762708418</v>
      </c>
      <c r="D144" s="4">
        <f ca="1">'Total Trip Tables Sup #2'!D144</f>
        <v>4.5132539713131443</v>
      </c>
      <c r="E144" s="4">
        <f ca="1">'Total Trip Tables Sup #2'!E144</f>
        <v>4.5828367179123983</v>
      </c>
      <c r="F144" s="4">
        <f ca="1">'Total Trip Tables Sup #2'!F144</f>
        <v>4.5871335565965996</v>
      </c>
      <c r="G144" s="4">
        <f ca="1">'Total Trip Tables Sup #2'!G144</f>
        <v>4.6033035466033736</v>
      </c>
      <c r="H144" s="4">
        <f ca="1">'Total Trip Tables Sup #2'!H144</f>
        <v>4.5932581982545377</v>
      </c>
      <c r="I144" s="1">
        <f ca="1">'Total Trip Tables Sup #2'!I144</f>
        <v>4.7286676695718626</v>
      </c>
      <c r="J144" s="1">
        <f ca="1">'Total Trip Tables Sup #2'!J144</f>
        <v>4.8526725147856888</v>
      </c>
      <c r="K144" s="1">
        <f ca="1">'Total Trip Tables Sup #2'!K144</f>
        <v>4.9693514324859045</v>
      </c>
    </row>
    <row r="145" spans="1:11" x14ac:dyDescent="0.2">
      <c r="A145" t="str">
        <f ca="1">OFFSET(Wellington_Reference,56,2)</f>
        <v>Local Ferry</v>
      </c>
      <c r="B145" s="4">
        <f ca="1">'Total Trip Tables Sup #2'!B145</f>
        <v>0</v>
      </c>
      <c r="C145" s="4">
        <f ca="1">'Total Trip Tables Sup #2'!C145</f>
        <v>0</v>
      </c>
      <c r="D145" s="4">
        <f ca="1">'Total Trip Tables Sup #2'!D145</f>
        <v>0</v>
      </c>
      <c r="E145" s="4">
        <f ca="1">'Total Trip Tables Sup #2'!E145</f>
        <v>0</v>
      </c>
      <c r="F145" s="4">
        <f ca="1">'Total Trip Tables Sup #2'!F145</f>
        <v>0</v>
      </c>
      <c r="G145" s="4">
        <f ca="1">'Total Trip Tables Sup #2'!G145</f>
        <v>0</v>
      </c>
      <c r="H145" s="4">
        <f ca="1">'Total Trip Tables Sup #2'!H145</f>
        <v>0</v>
      </c>
      <c r="I145" s="1">
        <f ca="1">'Total Trip Tables Sup #2'!I145</f>
        <v>0</v>
      </c>
      <c r="J145" s="1">
        <f ca="1">'Total Trip Tables Sup #2'!J145</f>
        <v>0</v>
      </c>
      <c r="K145" s="1">
        <f ca="1">'Total Trip Tables Sup #2'!K145</f>
        <v>0</v>
      </c>
    </row>
    <row r="146" spans="1:11" x14ac:dyDescent="0.2">
      <c r="A146" t="str">
        <f ca="1">OFFSET(Otago_Reference,49,2)</f>
        <v>Other Household Travel</v>
      </c>
      <c r="B146" s="4">
        <f ca="1">'Total Trip Tables Sup #2'!B146</f>
        <v>0.77539158779999995</v>
      </c>
      <c r="C146" s="4">
        <f ca="1">'Total Trip Tables Sup #2'!C146</f>
        <v>0.86620071260720199</v>
      </c>
      <c r="D146" s="4">
        <f ca="1">'Total Trip Tables Sup #2'!D146</f>
        <v>0.93956546354353743</v>
      </c>
      <c r="E146" s="4">
        <f ca="1">'Total Trip Tables Sup #2'!E146</f>
        <v>0.99361336057029903</v>
      </c>
      <c r="F146" s="4">
        <f ca="1">'Total Trip Tables Sup #2'!F146</f>
        <v>1.0394745669149648</v>
      </c>
      <c r="G146" s="4">
        <f ca="1">'Total Trip Tables Sup #2'!G146</f>
        <v>1.0768703322780218</v>
      </c>
      <c r="H146" s="4">
        <f ca="1">'Total Trip Tables Sup #2'!H146</f>
        <v>1.0996032549242367</v>
      </c>
      <c r="I146" s="1">
        <f ca="1">'Total Trip Tables Sup #2'!I146</f>
        <v>1.1348817129276458</v>
      </c>
      <c r="J146" s="1">
        <f ca="1">'Total Trip Tables Sup #2'!J146</f>
        <v>1.1676362234454751</v>
      </c>
      <c r="K146" s="1">
        <f ca="1">'Total Trip Tables Sup #2'!K146</f>
        <v>1.1988342205222318</v>
      </c>
    </row>
    <row r="147" spans="1:11" x14ac:dyDescent="0.2">
      <c r="A147" t="str">
        <f ca="1">OFFSET(Southland_Reference,0,0)</f>
        <v>15 SOUTHLAND</v>
      </c>
      <c r="B147" s="4">
        <f ca="1">SUM(B148:B157)</f>
        <v>113.12186837359998</v>
      </c>
      <c r="C147" s="4">
        <f t="shared" ref="C147" ca="1" si="74">SUM(C148:C157)</f>
        <v>116.14360968713027</v>
      </c>
      <c r="D147" s="4">
        <f t="shared" ref="D147" ca="1" si="75">SUM(D148:D157)</f>
        <v>116.31097424052884</v>
      </c>
      <c r="E147" s="4">
        <f t="shared" ref="E147" ca="1" si="76">SUM(E148:E157)</f>
        <v>116.42910499631802</v>
      </c>
      <c r="F147" s="4">
        <f t="shared" ref="F147" ca="1" si="77">SUM(F148:F157)</f>
        <v>115.95678281906162</v>
      </c>
      <c r="G147" s="4">
        <f t="shared" ref="G147" ca="1" si="78">SUM(G148:G157)</f>
        <v>114.39455469937579</v>
      </c>
      <c r="H147" s="4">
        <f t="shared" ref="H147:K147" ca="1" si="79">SUM(H148:H157)</f>
        <v>112.32279008608099</v>
      </c>
      <c r="I147" s="1">
        <f t="shared" ca="1" si="79"/>
        <v>110.81691337331991</v>
      </c>
      <c r="J147" s="1">
        <f t="shared" ca="1" si="79"/>
        <v>108.98347788485326</v>
      </c>
      <c r="K147" s="1">
        <f t="shared" ca="1" si="79"/>
        <v>106.95029072365124</v>
      </c>
    </row>
    <row r="148" spans="1:11" x14ac:dyDescent="0.2">
      <c r="A148" t="str">
        <f ca="1">OFFSET(Southland_Reference,0,2)</f>
        <v>Pedestrian</v>
      </c>
      <c r="B148" s="4">
        <f ca="1">'Total Trip Tables Sup #2'!B148</f>
        <v>12.52065131</v>
      </c>
      <c r="C148" s="4">
        <f ca="1">'Total Trip Tables Sup #2'!C148</f>
        <v>12.736886745023151</v>
      </c>
      <c r="D148" s="4">
        <f ca="1">'Total Trip Tables Sup #2'!D148</f>
        <v>13.135780203231926</v>
      </c>
      <c r="E148" s="4">
        <f ca="1">'Total Trip Tables Sup #2'!E148</f>
        <v>13.406612040010634</v>
      </c>
      <c r="F148" s="4">
        <f ca="1">'Total Trip Tables Sup #2'!F148</f>
        <v>13.547967213906249</v>
      </c>
      <c r="G148" s="4">
        <f ca="1">'Total Trip Tables Sup #2'!G148</f>
        <v>13.602306223633363</v>
      </c>
      <c r="H148" s="4">
        <f ca="1">'Total Trip Tables Sup #2'!H148</f>
        <v>13.589574585247323</v>
      </c>
      <c r="I148" s="1">
        <f ca="1">'Total Trip Tables Sup #2'!I148</f>
        <v>13.394192252015804</v>
      </c>
      <c r="J148" s="1">
        <f ca="1">'Total Trip Tables Sup #2'!J148</f>
        <v>13.159837617159269</v>
      </c>
      <c r="K148" s="1">
        <f ca="1">'Total Trip Tables Sup #2'!K148</f>
        <v>12.902027295059934</v>
      </c>
    </row>
    <row r="149" spans="1:11" x14ac:dyDescent="0.2">
      <c r="A149" t="str">
        <f ca="1">OFFSET(Southland_Reference,7,2)</f>
        <v>Cyclist</v>
      </c>
      <c r="B149" s="4">
        <f ca="1">'Total Trip Tables Sup #2'!B149</f>
        <v>1.0312878256</v>
      </c>
      <c r="C149" s="4">
        <f ca="1">'Total Trip Tables Sup #2'!C149</f>
        <v>1.0490743719151316</v>
      </c>
      <c r="D149" s="4">
        <f ca="1">'Total Trip Tables Sup #2'!D149</f>
        <v>1.2405582190032372</v>
      </c>
      <c r="E149" s="4">
        <f ca="1">'Total Trip Tables Sup #2'!E149</f>
        <v>1.4103488895135152</v>
      </c>
      <c r="F149" s="4">
        <f ca="1">'Total Trip Tables Sup #2'!F149</f>
        <v>1.5703684744681774</v>
      </c>
      <c r="G149" s="4">
        <f ca="1">'Total Trip Tables Sup #2'!G149</f>
        <v>1.7181401949708524</v>
      </c>
      <c r="H149" s="4">
        <f ca="1">'Total Trip Tables Sup #2'!H149</f>
        <v>1.8546362461660455</v>
      </c>
      <c r="I149" s="1">
        <f ca="1">'Total Trip Tables Sup #2'!I149</f>
        <v>1.8304822812387245</v>
      </c>
      <c r="J149" s="1">
        <f ca="1">'Total Trip Tables Sup #2'!J149</f>
        <v>1.8009271182282023</v>
      </c>
      <c r="K149" s="1">
        <f ca="1">'Total Trip Tables Sup #2'!K149</f>
        <v>1.7680764329809124</v>
      </c>
    </row>
    <row r="150" spans="1:11" x14ac:dyDescent="0.2">
      <c r="A150" t="str">
        <f ca="1">OFFSET(Southland_Reference,14,2)</f>
        <v>Light Vehicle Driver</v>
      </c>
      <c r="B150" s="4">
        <f ca="1">'Total Trip Tables Sup #2'!B150</f>
        <v>66.981547285000005</v>
      </c>
      <c r="C150" s="4">
        <f ca="1">'Total Trip Tables Sup #2'!C150*(1-'Other Assumptions'!G19)</f>
        <v>69.917749160193907</v>
      </c>
      <c r="D150" s="4">
        <f ca="1">'Total Trip Tables Sup #2'!D150*(1-'Other Assumptions'!H19)</f>
        <v>70.307420435316075</v>
      </c>
      <c r="E150" s="4">
        <f ca="1">'Total Trip Tables Sup #2'!E150*(1-'Other Assumptions'!I19)</f>
        <v>63.683616136611917</v>
      </c>
      <c r="F150" s="4">
        <f ca="1">'Total Trip Tables Sup #2'!F150*(1-'Other Assumptions'!J19)</f>
        <v>56.675486964697896</v>
      </c>
      <c r="G150" s="4">
        <f ca="1">'Total Trip Tables Sup #2'!G150*(1-'Other Assumptions'!K19)</f>
        <v>49.066012293453703</v>
      </c>
      <c r="H150" s="4">
        <f ca="1">'Total Trip Tables Sup #2'!H150*(1-'Other Assumptions'!L19)</f>
        <v>41.413375610635804</v>
      </c>
      <c r="I150" s="1">
        <f ca="1">'Total Trip Tables Sup #2'!I150*(1-'Other Assumptions'!M19)</f>
        <v>34.050558711151886</v>
      </c>
      <c r="J150" s="1">
        <f ca="1">'Total Trip Tables Sup #2'!J150*(1-'Other Assumptions'!N19)</f>
        <v>26.791369719171627</v>
      </c>
      <c r="K150" s="1">
        <f ca="1">'Total Trip Tables Sup #2'!K150*(1-'Other Assumptions'!O19)</f>
        <v>19.719821755813097</v>
      </c>
    </row>
    <row r="151" spans="1:11" x14ac:dyDescent="0.2">
      <c r="A151" t="str">
        <f ca="1">OFFSET(Southland_Reference,21,2)</f>
        <v>Light Vehicle Passenger</v>
      </c>
      <c r="B151" s="4">
        <f ca="1">'Total Trip Tables Sup #2'!B151</f>
        <v>28.419434702000007</v>
      </c>
      <c r="C151" s="4">
        <f ca="1">'Total Trip Tables Sup #2'!C151*(1-'Other Assumptions'!G19)</f>
        <v>28.309715458371475</v>
      </c>
      <c r="D151" s="4">
        <f ca="1">'Total Trip Tables Sup #2'!D151*(1-'Other Assumptions'!H19)</f>
        <v>27.58402836266157</v>
      </c>
      <c r="E151" s="4">
        <f ca="1">'Total Trip Tables Sup #2'!E151*(1-'Other Assumptions'!I19)</f>
        <v>24.184484948165053</v>
      </c>
      <c r="F151" s="4">
        <f ca="1">'Total Trip Tables Sup #2'!F151*(1-'Other Assumptions'!J19)</f>
        <v>20.892833177358071</v>
      </c>
      <c r="G151" s="4">
        <f ca="1">'Total Trip Tables Sup #2'!G151*(1-'Other Assumptions'!K19)</f>
        <v>17.65130030442338</v>
      </c>
      <c r="H151" s="4">
        <f ca="1">'Total Trip Tables Sup #2'!H151*(1-'Other Assumptions'!L19)</f>
        <v>14.53552214204564</v>
      </c>
      <c r="I151" s="1">
        <f ca="1">'Total Trip Tables Sup #2'!I151*(1-'Other Assumptions'!M19)</f>
        <v>11.953052435037593</v>
      </c>
      <c r="J151" s="1">
        <f ca="1">'Total Trip Tables Sup #2'!J151*(1-'Other Assumptions'!N19)</f>
        <v>9.4061658846194742</v>
      </c>
      <c r="K151" s="1">
        <f ca="1">'Total Trip Tables Sup #2'!K151*(1-'Other Assumptions'!O19)</f>
        <v>6.9244032371149347</v>
      </c>
    </row>
    <row r="152" spans="1:11" x14ac:dyDescent="0.2">
      <c r="A152" t="str">
        <f ca="1">OFFSET(Southland_Reference,28,2)</f>
        <v>Taxi/Vehicle Share</v>
      </c>
      <c r="B152" s="4">
        <f ca="1">'Total Trip Tables Sup #2'!B152</f>
        <v>0.47613164409999997</v>
      </c>
      <c r="C152" s="4">
        <f ca="1">'Total Trip Tables Sup #2'!C152+((C150+C151)*'Other Assumptions'!G19/(1-'Other Assumptions'!G19))</f>
        <v>0.5189100858103769</v>
      </c>
      <c r="D152" s="4">
        <f ca="1">'Total Trip Tables Sup #2'!D152+((D150+D151)*'Other Assumptions'!H19/(1-'Other Assumptions'!H19))</f>
        <v>0.54136301570006062</v>
      </c>
      <c r="E152" s="4">
        <f ca="1">'Total Trip Tables Sup #2'!E152+((E150+E151)*'Other Assumptions'!I19/(1-'Other Assumptions'!I19))</f>
        <v>10.317727174231891</v>
      </c>
      <c r="F152" s="4">
        <f ca="1">'Total Trip Tables Sup #2'!F152+((F150+F151)*'Other Assumptions'!J19/(1-'Other Assumptions'!J19))</f>
        <v>19.953240757304265</v>
      </c>
      <c r="G152" s="4">
        <f ca="1">'Total Trip Tables Sup #2'!G152+((G150+G151)*'Other Assumptions'!K19/(1-'Other Assumptions'!K19))</f>
        <v>29.151429432660073</v>
      </c>
      <c r="H152" s="4">
        <f ca="1">'Total Trip Tables Sup #2'!H152+((H150+H151)*'Other Assumptions'!L19/(1-'Other Assumptions'!L19))</f>
        <v>37.852700997381504</v>
      </c>
      <c r="I152" s="1">
        <f ca="1">'Total Trip Tables Sup #2'!I152+((I150+I151)*'Other Assumptions'!M19/(1-'Other Assumptions'!M19))</f>
        <v>46.548812014980463</v>
      </c>
      <c r="J152" s="1">
        <f ca="1">'Total Trip Tables Sup #2'!J152+((J150+J151)*'Other Assumptions'!N19/(1-'Other Assumptions'!N19))</f>
        <v>54.831664470353395</v>
      </c>
      <c r="K152" s="1">
        <f ca="1">'Total Trip Tables Sup #2'!K152+((K150+K151)*'Other Assumptions'!O19/(1-'Other Assumptions'!O19))</f>
        <v>62.694411002626595</v>
      </c>
    </row>
    <row r="153" spans="1:11" x14ac:dyDescent="0.2">
      <c r="A153" t="str">
        <f ca="1">OFFSET(Southland_Reference,35,2)</f>
        <v>Motorcyclist</v>
      </c>
      <c r="B153" s="4">
        <f ca="1">'Total Trip Tables Sup #2'!B153</f>
        <v>0.62652592730000001</v>
      </c>
      <c r="C153" s="4">
        <f ca="1">'Total Trip Tables Sup #2'!C153</f>
        <v>0.63944361180075271</v>
      </c>
      <c r="D153" s="4">
        <f ca="1">'Total Trip Tables Sup #2'!D153</f>
        <v>0.63060483502337683</v>
      </c>
      <c r="E153" s="4">
        <f ca="1">'Total Trip Tables Sup #2'!E153</f>
        <v>0.62149371953687049</v>
      </c>
      <c r="F153" s="4">
        <f ca="1">'Total Trip Tables Sup #2'!F153</f>
        <v>0.60877131253002326</v>
      </c>
      <c r="G153" s="4">
        <f ca="1">'Total Trip Tables Sup #2'!G153</f>
        <v>0.58605122244387331</v>
      </c>
      <c r="H153" s="4">
        <f ca="1">'Total Trip Tables Sup #2'!H153</f>
        <v>0.56050350503464508</v>
      </c>
      <c r="I153" s="1">
        <f ca="1">'Total Trip Tables Sup #2'!I153</f>
        <v>0.55443977598887306</v>
      </c>
      <c r="J153" s="1">
        <f ca="1">'Total Trip Tables Sup #2'!J153</f>
        <v>0.54669312420033833</v>
      </c>
      <c r="K153" s="1">
        <f ca="1">'Total Trip Tables Sup #2'!K153</f>
        <v>0.53789251702900043</v>
      </c>
    </row>
    <row r="154" spans="1:11" x14ac:dyDescent="0.2">
      <c r="A154" t="str">
        <f ca="1">OFFSET(Canterbury_Reference,42,2)</f>
        <v>Local Train</v>
      </c>
      <c r="B154" s="4">
        <f ca="1">'Total Trip Tables Sup #2'!B154</f>
        <v>0</v>
      </c>
      <c r="C154" s="4">
        <f ca="1">'Total Trip Tables Sup #2'!C154</f>
        <v>0</v>
      </c>
      <c r="D154" s="4">
        <f ca="1">'Total Trip Tables Sup #2'!D154</f>
        <v>0</v>
      </c>
      <c r="E154" s="4">
        <f ca="1">'Total Trip Tables Sup #2'!E154</f>
        <v>0</v>
      </c>
      <c r="F154" s="4">
        <f ca="1">'Total Trip Tables Sup #2'!F154</f>
        <v>0</v>
      </c>
      <c r="G154" s="4">
        <f ca="1">'Total Trip Tables Sup #2'!G154</f>
        <v>0</v>
      </c>
      <c r="H154" s="4">
        <f ca="1">'Total Trip Tables Sup #2'!H154</f>
        <v>0</v>
      </c>
      <c r="I154" s="1">
        <f ca="1">'Total Trip Tables Sup #2'!I154</f>
        <v>0</v>
      </c>
      <c r="J154" s="1">
        <f ca="1">'Total Trip Tables Sup #2'!J154</f>
        <v>0</v>
      </c>
      <c r="K154" s="1">
        <f ca="1">'Total Trip Tables Sup #2'!K154</f>
        <v>0</v>
      </c>
    </row>
    <row r="155" spans="1:11" x14ac:dyDescent="0.2">
      <c r="A155" t="str">
        <f ca="1">OFFSET(Southland_Reference,42,2)</f>
        <v>Local Bus</v>
      </c>
      <c r="B155" s="4">
        <f ca="1">'Total Trip Tables Sup #2'!B155</f>
        <v>2.6369167839999998</v>
      </c>
      <c r="C155" s="4">
        <f ca="1">'Total Trip Tables Sup #2'!C155</f>
        <v>2.5293316193017077</v>
      </c>
      <c r="D155" s="4">
        <f ca="1">'Total Trip Tables Sup #2'!D155</f>
        <v>2.4202034998013269</v>
      </c>
      <c r="E155" s="4">
        <f ca="1">'Total Trip Tables Sup #2'!E155</f>
        <v>2.3489356855510972</v>
      </c>
      <c r="F155" s="4">
        <f ca="1">'Total Trip Tables Sup #2'!F155</f>
        <v>2.2514153686457656</v>
      </c>
      <c r="G155" s="4">
        <f ca="1">'Total Trip Tables Sup #2'!G155</f>
        <v>2.1657801919073383</v>
      </c>
      <c r="H155" s="4">
        <f ca="1">'Total Trip Tables Sup #2'!H155</f>
        <v>2.0723722643574298</v>
      </c>
      <c r="I155" s="1">
        <f ca="1">'Total Trip Tables Sup #2'!I155</f>
        <v>2.045847006388763</v>
      </c>
      <c r="J155" s="1">
        <f ca="1">'Total Trip Tables Sup #2'!J155</f>
        <v>2.0131944826312163</v>
      </c>
      <c r="K155" s="1">
        <f ca="1">'Total Trip Tables Sup #2'!K155</f>
        <v>1.976767091333631</v>
      </c>
    </row>
    <row r="156" spans="1:11" x14ac:dyDescent="0.2">
      <c r="A156" t="str">
        <f ca="1">OFFSET(Wellington_Reference,56,2)</f>
        <v>Local Ferry</v>
      </c>
      <c r="B156" s="4">
        <f ca="1">'Total Trip Tables Sup #2'!B156</f>
        <v>0</v>
      </c>
      <c r="C156" s="4">
        <f ca="1">'Total Trip Tables Sup #2'!C156</f>
        <v>0</v>
      </c>
      <c r="D156" s="4">
        <f ca="1">'Total Trip Tables Sup #2'!D156</f>
        <v>0</v>
      </c>
      <c r="E156" s="4">
        <f ca="1">'Total Trip Tables Sup #2'!E156</f>
        <v>0</v>
      </c>
      <c r="F156" s="4">
        <f ca="1">'Total Trip Tables Sup #2'!F156</f>
        <v>0</v>
      </c>
      <c r="G156" s="4">
        <f ca="1">'Total Trip Tables Sup #2'!G156</f>
        <v>0</v>
      </c>
      <c r="H156" s="4">
        <f ca="1">'Total Trip Tables Sup #2'!H156</f>
        <v>0</v>
      </c>
      <c r="I156" s="1">
        <f ca="1">'Total Trip Tables Sup #2'!I156</f>
        <v>0</v>
      </c>
      <c r="J156" s="1">
        <f ca="1">'Total Trip Tables Sup #2'!J156</f>
        <v>0</v>
      </c>
      <c r="K156" s="1">
        <f ca="1">'Total Trip Tables Sup #2'!K156</f>
        <v>0</v>
      </c>
    </row>
    <row r="157" spans="1:11" x14ac:dyDescent="0.2">
      <c r="A157" t="str">
        <f ca="1">OFFSET(Southland_Reference,49,2)</f>
        <v>Other Household Travel</v>
      </c>
      <c r="B157" s="4">
        <f ca="1">'Total Trip Tables Sup #2'!B157</f>
        <v>0.42937289560000003</v>
      </c>
      <c r="C157" s="4">
        <f ca="1">'Total Trip Tables Sup #2'!C157</f>
        <v>0.44249863471376111</v>
      </c>
      <c r="D157" s="4">
        <f ca="1">'Total Trip Tables Sup #2'!D157</f>
        <v>0.45101566979126517</v>
      </c>
      <c r="E157" s="4">
        <f ca="1">'Total Trip Tables Sup #2'!E157</f>
        <v>0.45588640269705044</v>
      </c>
      <c r="F157" s="4">
        <f ca="1">'Total Trip Tables Sup #2'!F157</f>
        <v>0.45669955015117492</v>
      </c>
      <c r="G157" s="4">
        <f ca="1">'Total Trip Tables Sup #2'!G157</f>
        <v>0.45353483588320864</v>
      </c>
      <c r="H157" s="4">
        <f ca="1">'Total Trip Tables Sup #2'!H157</f>
        <v>0.44410473521261079</v>
      </c>
      <c r="I157" s="1">
        <f ca="1">'Total Trip Tables Sup #2'!I157</f>
        <v>0.43952889651780597</v>
      </c>
      <c r="J157" s="1">
        <f ca="1">'Total Trip Tables Sup #2'!J157</f>
        <v>0.4336254684897391</v>
      </c>
      <c r="K157" s="1">
        <f ca="1">'Total Trip Tables Sup #2'!K157</f>
        <v>0.42689139169312457</v>
      </c>
    </row>
    <row r="158" spans="1:11" x14ac:dyDescent="0.2">
      <c r="A158" t="s">
        <v>19</v>
      </c>
      <c r="B158" s="4">
        <f ca="1">SUM(B159:B168)</f>
        <v>5872.3739973896008</v>
      </c>
      <c r="C158" s="4">
        <f t="shared" ref="C158" ca="1" si="80">SUM(C159:C168)</f>
        <v>6386.2133670573039</v>
      </c>
      <c r="D158" s="4">
        <f t="shared" ref="D158" ca="1" si="81">SUM(D159:D168)</f>
        <v>6729.5860955230764</v>
      </c>
      <c r="E158" s="4">
        <f t="shared" ref="E158" ca="1" si="82">SUM(E159:E168)</f>
        <v>7004.6444774405973</v>
      </c>
      <c r="F158" s="4">
        <f t="shared" ref="F158" ca="1" si="83">SUM(F159:F168)</f>
        <v>7235.6530732435313</v>
      </c>
      <c r="G158" s="4">
        <f t="shared" ref="G158" ca="1" si="84">SUM(G159:G168)</f>
        <v>7401.4827784993358</v>
      </c>
      <c r="H158" s="4">
        <f t="shared" ref="H158:K158" ca="1" si="85">SUM(H159:H168)</f>
        <v>7531.7865610774279</v>
      </c>
      <c r="I158" s="1">
        <f t="shared" ca="1" si="85"/>
        <v>7708.7749223330247</v>
      </c>
      <c r="J158" s="1">
        <f t="shared" ca="1" si="85"/>
        <v>7867.4699672872348</v>
      </c>
      <c r="K158" s="1">
        <f t="shared" ca="1" si="85"/>
        <v>8014.8927722620483</v>
      </c>
    </row>
    <row r="159" spans="1:11" x14ac:dyDescent="0.2">
      <c r="A159" t="str">
        <f t="shared" ref="A159:A165" ca="1" si="86">A5</f>
        <v>Pedestrian</v>
      </c>
      <c r="B159" s="4">
        <f t="shared" ref="B159:H165" ca="1" si="87">B5+B16+B27+B38+B49+B60+B71+B82+B93+B104+B115+B126+B137+B148</f>
        <v>986.56972308989998</v>
      </c>
      <c r="C159" s="4">
        <f t="shared" ca="1" si="87"/>
        <v>1064.5696235606893</v>
      </c>
      <c r="D159" s="4">
        <f t="shared" ca="1" si="87"/>
        <v>1154.7829156746668</v>
      </c>
      <c r="E159" s="4">
        <f t="shared" ca="1" si="87"/>
        <v>1226.4668935665559</v>
      </c>
      <c r="F159" s="4">
        <f t="shared" ca="1" si="87"/>
        <v>1287.6968948501735</v>
      </c>
      <c r="G159" s="4">
        <f t="shared" ca="1" si="87"/>
        <v>1342.3719782175949</v>
      </c>
      <c r="H159" s="4">
        <f t="shared" ca="1" si="87"/>
        <v>1391.7783445040811</v>
      </c>
      <c r="I159" s="1">
        <f t="shared" ref="I159:K159" ca="1" si="88">I5+I16+I27+I38+I49+I60+I71+I82+I93+I104+I115+I126+I137+I148</f>
        <v>1424.0912483533223</v>
      </c>
      <c r="J159" s="1">
        <f t="shared" ca="1" si="88"/>
        <v>1452.9633966757224</v>
      </c>
      <c r="K159" s="1">
        <f t="shared" ca="1" si="88"/>
        <v>1479.6799627620808</v>
      </c>
    </row>
    <row r="160" spans="1:11" x14ac:dyDescent="0.2">
      <c r="A160" t="str">
        <f t="shared" ca="1" si="86"/>
        <v>Cyclist</v>
      </c>
      <c r="B160" s="4">
        <f t="shared" ca="1" si="87"/>
        <v>71.074316198400012</v>
      </c>
      <c r="C160" s="4">
        <f t="shared" ca="1" si="87"/>
        <v>76.713466316972045</v>
      </c>
      <c r="D160" s="4">
        <f t="shared" ca="1" si="87"/>
        <v>95.312259483946022</v>
      </c>
      <c r="E160" s="4">
        <f t="shared" ca="1" si="87"/>
        <v>112.62547786102476</v>
      </c>
      <c r="F160" s="4">
        <f t="shared" ca="1" si="87"/>
        <v>130.12608061387104</v>
      </c>
      <c r="G160" s="4">
        <f t="shared" ca="1" si="87"/>
        <v>147.6452822281631</v>
      </c>
      <c r="H160" s="4">
        <f t="shared" ca="1" si="87"/>
        <v>165.2032348438288</v>
      </c>
      <c r="I160" s="1">
        <f t="shared" ref="I160:K160" ca="1" si="89">I6+I17+I28+I39+I50+I61+I72+I83+I94+I105+I116+I127+I138+I149</f>
        <v>169.06657769327938</v>
      </c>
      <c r="J160" s="1">
        <f t="shared" ca="1" si="89"/>
        <v>172.52545504585584</v>
      </c>
      <c r="K160" s="1">
        <f t="shared" ca="1" si="89"/>
        <v>175.73328484864862</v>
      </c>
    </row>
    <row r="161" spans="1:11" x14ac:dyDescent="0.2">
      <c r="A161" t="str">
        <f t="shared" ca="1" si="86"/>
        <v>Light Vehicle Driver</v>
      </c>
      <c r="B161" s="4">
        <f t="shared" ca="1" si="87"/>
        <v>3093.3887589700003</v>
      </c>
      <c r="C161" s="4">
        <f t="shared" ca="1" si="87"/>
        <v>3416.2864005551637</v>
      </c>
      <c r="D161" s="4">
        <f t="shared" ca="1" si="87"/>
        <v>3596.4766186161978</v>
      </c>
      <c r="E161" s="4">
        <f t="shared" ca="1" si="87"/>
        <v>3376.0680013703354</v>
      </c>
      <c r="F161" s="4">
        <f t="shared" ca="1" si="87"/>
        <v>3111.081744674264</v>
      </c>
      <c r="G161" s="4">
        <f t="shared" ca="1" si="87"/>
        <v>2787.0771005401853</v>
      </c>
      <c r="H161" s="4">
        <f t="shared" ca="1" si="87"/>
        <v>2433.0584553411099</v>
      </c>
      <c r="I161" s="1">
        <f t="shared" ref="I161:K161" ca="1" si="90">I7+I18+I29+I40+I51+I62+I73+I84+I95+I106+I117+I128+I139+I150</f>
        <v>2073.1194300941374</v>
      </c>
      <c r="J161" s="1">
        <f t="shared" ca="1" si="90"/>
        <v>1690.7934815658339</v>
      </c>
      <c r="K161" s="1">
        <f t="shared" ca="1" si="90"/>
        <v>1290.2886092070555</v>
      </c>
    </row>
    <row r="162" spans="1:11" x14ac:dyDescent="0.2">
      <c r="A162" t="str">
        <f t="shared" ca="1" si="86"/>
        <v>Light Vehicle Passenger</v>
      </c>
      <c r="B162" s="4">
        <f t="shared" ca="1" si="87"/>
        <v>1512.9377645670002</v>
      </c>
      <c r="C162" s="4">
        <f t="shared" ca="1" si="87"/>
        <v>1590.9917630884509</v>
      </c>
      <c r="D162" s="4">
        <f t="shared" ca="1" si="87"/>
        <v>1616.7322881814162</v>
      </c>
      <c r="E162" s="4">
        <f t="shared" ca="1" si="87"/>
        <v>1463.4108573217209</v>
      </c>
      <c r="F162" s="4">
        <f t="shared" ca="1" si="87"/>
        <v>1304.7836789553849</v>
      </c>
      <c r="G162" s="4">
        <f t="shared" ca="1" si="87"/>
        <v>1136.692180578586</v>
      </c>
      <c r="H162" s="4">
        <f t="shared" ca="1" si="87"/>
        <v>964.40658446036264</v>
      </c>
      <c r="I162" s="1">
        <f t="shared" ref="I162:K162" ca="1" si="91">I8+I19+I30+I41+I52+I63+I74+I85+I96+I107+I118+I129+I140+I151</f>
        <v>820.62203465186724</v>
      </c>
      <c r="J162" s="1">
        <f t="shared" ca="1" si="91"/>
        <v>668.29602031383706</v>
      </c>
      <c r="K162" s="1">
        <f t="shared" ca="1" si="91"/>
        <v>509.15675724008941</v>
      </c>
    </row>
    <row r="163" spans="1:11" x14ac:dyDescent="0.2">
      <c r="A163" t="str">
        <f t="shared" ca="1" si="86"/>
        <v>Taxi/Vehicle Share</v>
      </c>
      <c r="B163" s="4">
        <f t="shared" ca="1" si="87"/>
        <v>15.600131729099999</v>
      </c>
      <c r="C163" s="4">
        <f t="shared" ca="1" si="87"/>
        <v>18.033679155816309</v>
      </c>
      <c r="D163" s="4">
        <f t="shared" ca="1" si="87"/>
        <v>19.799031834377011</v>
      </c>
      <c r="E163" s="4">
        <f t="shared" ca="1" si="87"/>
        <v>558.83491972108686</v>
      </c>
      <c r="F163" s="4">
        <f t="shared" ca="1" si="87"/>
        <v>1126.1741465162736</v>
      </c>
      <c r="G163" s="4">
        <f t="shared" ca="1" si="87"/>
        <v>1704.5691329860367</v>
      </c>
      <c r="H163" s="4">
        <f t="shared" ca="1" si="87"/>
        <v>2288.6059059715612</v>
      </c>
      <c r="I163" s="1">
        <f t="shared" ref="I163:K163" ca="1" si="92">I9+I20+I31+I42+I53+I64+I75+I86+I97+I108+I119+I130+I141+I152</f>
        <v>2917.9232559832326</v>
      </c>
      <c r="J163" s="1">
        <f t="shared" ca="1" si="92"/>
        <v>3563.3107713481736</v>
      </c>
      <c r="K163" s="1">
        <f t="shared" ca="1" si="92"/>
        <v>4223.8411932374547</v>
      </c>
    </row>
    <row r="164" spans="1:11" x14ac:dyDescent="0.2">
      <c r="A164" t="str">
        <f t="shared" ca="1" si="86"/>
        <v>Motorcyclist</v>
      </c>
      <c r="B164" s="4">
        <f t="shared" ca="1" si="87"/>
        <v>19.272283824500001</v>
      </c>
      <c r="C164" s="4">
        <f t="shared" ca="1" si="87"/>
        <v>20.761029184891068</v>
      </c>
      <c r="D164" s="4">
        <f t="shared" ca="1" si="87"/>
        <v>21.4459907241473</v>
      </c>
      <c r="E164" s="4">
        <f t="shared" ca="1" si="87"/>
        <v>21.919830281537404</v>
      </c>
      <c r="F164" s="4">
        <f t="shared" ca="1" si="87"/>
        <v>22.23184243338634</v>
      </c>
      <c r="G164" s="4">
        <f t="shared" ca="1" si="87"/>
        <v>22.146381259233245</v>
      </c>
      <c r="H164" s="4">
        <f t="shared" ca="1" si="87"/>
        <v>21.906121132186499</v>
      </c>
      <c r="I164" s="1">
        <f t="shared" ref="I164:K164" ca="1" si="93">I10+I21+I32+I43+I54+I65+I76+I87+I98+I109+I120+I131+I142+I153</f>
        <v>22.41840442079906</v>
      </c>
      <c r="J164" s="1">
        <f t="shared" ca="1" si="93"/>
        <v>22.877055162950366</v>
      </c>
      <c r="K164" s="1">
        <f t="shared" ca="1" si="93"/>
        <v>23.302416738332624</v>
      </c>
    </row>
    <row r="165" spans="1:11" x14ac:dyDescent="0.2">
      <c r="A165" t="str">
        <f t="shared" ca="1" si="86"/>
        <v>Local Train</v>
      </c>
      <c r="B165" s="4">
        <f t="shared" ca="1" si="87"/>
        <v>22.430707243099999</v>
      </c>
      <c r="C165" s="4">
        <f t="shared" ca="1" si="87"/>
        <v>35.8525061579263</v>
      </c>
      <c r="D165" s="4">
        <f t="shared" ca="1" si="87"/>
        <v>52.660640983923969</v>
      </c>
      <c r="E165" s="4">
        <f t="shared" ca="1" si="87"/>
        <v>67.652803980883476</v>
      </c>
      <c r="F165" s="4">
        <f t="shared" ca="1" si="87"/>
        <v>73.747120645481019</v>
      </c>
      <c r="G165" s="4">
        <f t="shared" ca="1" si="87"/>
        <v>79.495548136996263</v>
      </c>
      <c r="H165" s="4">
        <f t="shared" ca="1" si="87"/>
        <v>84.770644896956725</v>
      </c>
      <c r="I165" s="1">
        <f t="shared" ref="I165:K165" ca="1" si="94">I11+I22+I33+I44+I55+I66+I77+I88+I99+I110+I121+I132+I143+I154</f>
        <v>92.226355826781443</v>
      </c>
      <c r="J165" s="1">
        <f t="shared" ca="1" si="94"/>
        <v>100.06697447941079</v>
      </c>
      <c r="K165" s="1">
        <f t="shared" ca="1" si="94"/>
        <v>108.60212793643331</v>
      </c>
    </row>
    <row r="166" spans="1:11" x14ac:dyDescent="0.2">
      <c r="A166" t="s">
        <v>20</v>
      </c>
      <c r="B166" s="4">
        <f t="shared" ref="B166:H166" ca="1" si="95">B12+B23+B34+B45+B56+B67+B78+B89+B100+B111+B122+B133+B144+B155</f>
        <v>135.14312241190001</v>
      </c>
      <c r="C166" s="4">
        <f t="shared" ca="1" si="95"/>
        <v>145.38026964442662</v>
      </c>
      <c r="D166" s="4">
        <f t="shared" ca="1" si="95"/>
        <v>153.45457576415541</v>
      </c>
      <c r="E166" s="4">
        <f t="shared" ca="1" si="95"/>
        <v>157.86847115452193</v>
      </c>
      <c r="F166" s="4">
        <f t="shared" ca="1" si="95"/>
        <v>159.34877056862231</v>
      </c>
      <c r="G166" s="4">
        <f t="shared" ca="1" si="95"/>
        <v>160.32063691517033</v>
      </c>
      <c r="H166" s="4">
        <f t="shared" ca="1" si="95"/>
        <v>160.44223703865103</v>
      </c>
      <c r="I166" s="1">
        <f t="shared" ref="I166:K166" ca="1" si="96">I12+I23+I34+I45+I56+I67+I78+I89+I100+I111+I122+I133+I144+I155</f>
        <v>167.18520047876999</v>
      </c>
      <c r="J166" s="1">
        <f t="shared" ca="1" si="96"/>
        <v>174.0598838515161</v>
      </c>
      <c r="K166" s="1">
        <f t="shared" ca="1" si="96"/>
        <v>181.28978268982723</v>
      </c>
    </row>
    <row r="167" spans="1:11" x14ac:dyDescent="0.2">
      <c r="A167" t="str">
        <f ca="1">A13</f>
        <v>Local Ferry</v>
      </c>
      <c r="B167" s="4">
        <f t="shared" ref="B167:H168" ca="1" si="97">B13+B24+B35+B46+B57+B68+B79+B90+B101+B112+B123+B134+B145+B156</f>
        <v>5.5972504476000005</v>
      </c>
      <c r="C167" s="4">
        <f t="shared" ca="1" si="97"/>
        <v>6.3518838008282206</v>
      </c>
      <c r="D167" s="4">
        <f t="shared" ca="1" si="97"/>
        <v>6.8921860843744716</v>
      </c>
      <c r="E167" s="4">
        <f t="shared" ca="1" si="97"/>
        <v>7.1919516889870154</v>
      </c>
      <c r="F167" s="4">
        <f t="shared" ca="1" si="97"/>
        <v>7.3929507584984941</v>
      </c>
      <c r="G167" s="4">
        <f t="shared" ca="1" si="97"/>
        <v>7.7396729260395887</v>
      </c>
      <c r="H167" s="4">
        <f t="shared" ca="1" si="97"/>
        <v>8.0259458937937893</v>
      </c>
      <c r="I167" s="1">
        <f t="shared" ref="I167:K167" ca="1" si="98">I13+I24+I35+I46+I57+I68+I79+I90+I101+I112+I123+I134+I145+I156</f>
        <v>8.2155416732055979</v>
      </c>
      <c r="J167" s="1">
        <f t="shared" ca="1" si="98"/>
        <v>8.3855395550483216</v>
      </c>
      <c r="K167" s="1">
        <f t="shared" ca="1" si="98"/>
        <v>8.5433825463487345</v>
      </c>
    </row>
    <row r="168" spans="1:11" x14ac:dyDescent="0.2">
      <c r="A168" t="str">
        <f ca="1">A14</f>
        <v>Other Household Travel</v>
      </c>
      <c r="B168" s="4">
        <f t="shared" ca="1" si="97"/>
        <v>10.3599389081</v>
      </c>
      <c r="C168" s="4">
        <f t="shared" ca="1" si="97"/>
        <v>11.272745592138719</v>
      </c>
      <c r="D168" s="4">
        <f t="shared" ca="1" si="97"/>
        <v>12.029588175871179</v>
      </c>
      <c r="E168" s="4">
        <f t="shared" ca="1" si="97"/>
        <v>12.605270493942859</v>
      </c>
      <c r="F168" s="4">
        <f t="shared" ca="1" si="97"/>
        <v>13.069843227577135</v>
      </c>
      <c r="G168" s="4">
        <f t="shared" ca="1" si="97"/>
        <v>13.424864711330724</v>
      </c>
      <c r="H168" s="4">
        <f t="shared" ca="1" si="97"/>
        <v>13.589086994895897</v>
      </c>
      <c r="I168" s="1">
        <f t="shared" ref="I168:K168" ca="1" si="99">I14+I25+I36+I47+I58+I69+I80+I91+I102+I113+I124+I135+I146+I157</f>
        <v>13.906873157630068</v>
      </c>
      <c r="J168" s="1">
        <f t="shared" ca="1" si="99"/>
        <v>14.191389288886644</v>
      </c>
      <c r="K168" s="1">
        <f t="shared" ca="1" si="99"/>
        <v>14.455255055777835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O96"/>
  <sheetViews>
    <sheetView topLeftCell="A24" workbookViewId="0">
      <selection activeCell="A42" sqref="A42"/>
    </sheetView>
  </sheetViews>
  <sheetFormatPr defaultRowHeight="12.75" x14ac:dyDescent="0.2"/>
  <cols>
    <col min="1" max="1" width="49.42578125" customWidth="1"/>
    <col min="2" max="15" width="17.85546875" customWidth="1"/>
  </cols>
  <sheetData>
    <row r="2" spans="1:15" ht="13.5" thickBot="1" x14ac:dyDescent="0.25"/>
    <row r="3" spans="1:15" ht="16.5" thickTop="1" x14ac:dyDescent="0.25">
      <c r="A3" s="6" t="s">
        <v>57</v>
      </c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9"/>
    </row>
    <row r="4" spans="1:15" ht="13.5" thickBot="1" x14ac:dyDescent="0.25">
      <c r="A4" s="10"/>
      <c r="B4" s="11" t="s">
        <v>22</v>
      </c>
      <c r="C4" s="11" t="s">
        <v>23</v>
      </c>
      <c r="D4" s="11" t="s">
        <v>24</v>
      </c>
      <c r="E4" s="11" t="s">
        <v>118</v>
      </c>
      <c r="F4" s="11" t="s">
        <v>119</v>
      </c>
      <c r="G4" s="11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11" t="s">
        <v>120</v>
      </c>
      <c r="N4" s="11" t="s">
        <v>121</v>
      </c>
      <c r="O4" s="12" t="s">
        <v>122</v>
      </c>
    </row>
    <row r="5" spans="1:15" ht="14.25" thickTop="1" thickBot="1" x14ac:dyDescent="0.25">
      <c r="A5" s="13"/>
      <c r="B5" s="14" t="s">
        <v>31</v>
      </c>
      <c r="C5" s="14" t="s">
        <v>31</v>
      </c>
      <c r="D5" s="14" t="s">
        <v>31</v>
      </c>
      <c r="E5" s="14" t="s">
        <v>31</v>
      </c>
      <c r="F5" s="14" t="s">
        <v>31</v>
      </c>
      <c r="G5" s="14" t="s">
        <v>32</v>
      </c>
      <c r="H5" s="14" t="s">
        <v>32</v>
      </c>
      <c r="I5" s="14" t="s">
        <v>32</v>
      </c>
      <c r="J5" s="14" t="s">
        <v>32</v>
      </c>
      <c r="K5" s="14" t="s">
        <v>32</v>
      </c>
      <c r="L5" s="14" t="s">
        <v>32</v>
      </c>
      <c r="M5" s="14" t="s">
        <v>32</v>
      </c>
      <c r="N5" s="14" t="s">
        <v>32</v>
      </c>
      <c r="O5" s="15" t="s">
        <v>32</v>
      </c>
    </row>
    <row r="6" spans="1:15" ht="16.5" thickTop="1" x14ac:dyDescent="0.25">
      <c r="A6" s="16" t="s">
        <v>33</v>
      </c>
      <c r="B6" s="17">
        <f>'[4]Other Assumptions'!D6</f>
        <v>0</v>
      </c>
      <c r="C6" s="18">
        <f>'[4]Other Assumptions'!E6</f>
        <v>0</v>
      </c>
      <c r="D6" s="18">
        <f>'[4]Other Assumptions'!F6</f>
        <v>0</v>
      </c>
      <c r="E6" s="18">
        <f>'[4]Other Assumptions'!G6</f>
        <v>0</v>
      </c>
      <c r="F6" s="18">
        <f>'[4]Other Assumptions'!H6</f>
        <v>0</v>
      </c>
      <c r="G6" s="36">
        <f>'[4]Other Assumptions'!I6</f>
        <v>0</v>
      </c>
      <c r="H6" s="36">
        <f>'[4]Other Assumptions'!J6</f>
        <v>0</v>
      </c>
      <c r="I6" s="36">
        <f>'[4]Other Assumptions'!K6</f>
        <v>0.1</v>
      </c>
      <c r="J6" s="36">
        <f>'[4]Other Assumptions'!L6</f>
        <v>0.2</v>
      </c>
      <c r="K6" s="36">
        <f>'[4]Other Assumptions'!M6</f>
        <v>0.3</v>
      </c>
      <c r="L6" s="36">
        <f>'[4]Other Assumptions'!N6</f>
        <v>0.4</v>
      </c>
      <c r="M6" s="36">
        <f>'[4]Other Assumptions'!O6</f>
        <v>0.5</v>
      </c>
      <c r="N6" s="36">
        <f>'[4]Other Assumptions'!P6</f>
        <v>0.6</v>
      </c>
      <c r="O6" s="36">
        <f>'[4]Other Assumptions'!Q6</f>
        <v>0.7</v>
      </c>
    </row>
    <row r="7" spans="1:15" ht="15.75" x14ac:dyDescent="0.25">
      <c r="A7" s="16" t="s">
        <v>34</v>
      </c>
      <c r="B7" s="19">
        <f>'[4]Other Assumptions'!D7</f>
        <v>0</v>
      </c>
      <c r="C7" s="20">
        <f>'[4]Other Assumptions'!E7</f>
        <v>0</v>
      </c>
      <c r="D7" s="20">
        <f>'[4]Other Assumptions'!F7</f>
        <v>0</v>
      </c>
      <c r="E7" s="20">
        <f>'[4]Other Assumptions'!G7</f>
        <v>0</v>
      </c>
      <c r="F7" s="20">
        <f>'[4]Other Assumptions'!H7</f>
        <v>0</v>
      </c>
      <c r="G7" s="40">
        <f>'[4]Other Assumptions'!I7</f>
        <v>0</v>
      </c>
      <c r="H7" s="40">
        <f>'[4]Other Assumptions'!J7</f>
        <v>0</v>
      </c>
      <c r="I7" s="40">
        <f>'[4]Other Assumptions'!K7</f>
        <v>0.1</v>
      </c>
      <c r="J7" s="40">
        <f>'[4]Other Assumptions'!L7</f>
        <v>0.2</v>
      </c>
      <c r="K7" s="40">
        <f>'[4]Other Assumptions'!M7</f>
        <v>0.3</v>
      </c>
      <c r="L7" s="40">
        <f>'[4]Other Assumptions'!N7</f>
        <v>0.4</v>
      </c>
      <c r="M7" s="40">
        <f>'[4]Other Assumptions'!O7</f>
        <v>0.5</v>
      </c>
      <c r="N7" s="40">
        <f>'[4]Other Assumptions'!P7</f>
        <v>0.6</v>
      </c>
      <c r="O7" s="41">
        <f>'[4]Other Assumptions'!Q7</f>
        <v>0.7</v>
      </c>
    </row>
    <row r="8" spans="1:15" ht="15.75" x14ac:dyDescent="0.25">
      <c r="A8" s="16" t="s">
        <v>35</v>
      </c>
      <c r="B8" s="19">
        <f>'[4]Other Assumptions'!D8</f>
        <v>0</v>
      </c>
      <c r="C8" s="20">
        <f>'[4]Other Assumptions'!E8</f>
        <v>0</v>
      </c>
      <c r="D8" s="20">
        <f>'[4]Other Assumptions'!F8</f>
        <v>0</v>
      </c>
      <c r="E8" s="20">
        <f>'[4]Other Assumptions'!G8</f>
        <v>0</v>
      </c>
      <c r="F8" s="20">
        <f>'[4]Other Assumptions'!H8</f>
        <v>0</v>
      </c>
      <c r="G8" s="40">
        <f>'[4]Other Assumptions'!I8</f>
        <v>0</v>
      </c>
      <c r="H8" s="40">
        <f>'[4]Other Assumptions'!J8</f>
        <v>0</v>
      </c>
      <c r="I8" s="40">
        <f>'[4]Other Assumptions'!K8</f>
        <v>0.1</v>
      </c>
      <c r="J8" s="40">
        <f>'[4]Other Assumptions'!L8</f>
        <v>0.2</v>
      </c>
      <c r="K8" s="40">
        <f>'[4]Other Assumptions'!M8</f>
        <v>0.3</v>
      </c>
      <c r="L8" s="40">
        <f>'[4]Other Assumptions'!N8</f>
        <v>0.4</v>
      </c>
      <c r="M8" s="40">
        <f>'[4]Other Assumptions'!O8</f>
        <v>0.5</v>
      </c>
      <c r="N8" s="40">
        <f>'[4]Other Assumptions'!P8</f>
        <v>0.6</v>
      </c>
      <c r="O8" s="41">
        <f>'[4]Other Assumptions'!Q8</f>
        <v>0.7</v>
      </c>
    </row>
    <row r="9" spans="1:15" ht="15.75" x14ac:dyDescent="0.25">
      <c r="A9" s="16" t="s">
        <v>36</v>
      </c>
      <c r="B9" s="19">
        <f>'[4]Other Assumptions'!D9</f>
        <v>0</v>
      </c>
      <c r="C9" s="20">
        <f>'[4]Other Assumptions'!E9</f>
        <v>0</v>
      </c>
      <c r="D9" s="20">
        <f>'[4]Other Assumptions'!F9</f>
        <v>0</v>
      </c>
      <c r="E9" s="20">
        <f>'[4]Other Assumptions'!G9</f>
        <v>0</v>
      </c>
      <c r="F9" s="20">
        <f>'[4]Other Assumptions'!H9</f>
        <v>0</v>
      </c>
      <c r="G9" s="40">
        <f>'[4]Other Assumptions'!I9</f>
        <v>0</v>
      </c>
      <c r="H9" s="40">
        <f>'[4]Other Assumptions'!J9</f>
        <v>0</v>
      </c>
      <c r="I9" s="40">
        <f>'[4]Other Assumptions'!K9</f>
        <v>0.1</v>
      </c>
      <c r="J9" s="40">
        <f>'[4]Other Assumptions'!L9</f>
        <v>0.2</v>
      </c>
      <c r="K9" s="40">
        <f>'[4]Other Assumptions'!M9</f>
        <v>0.3</v>
      </c>
      <c r="L9" s="40">
        <f>'[4]Other Assumptions'!N9</f>
        <v>0.4</v>
      </c>
      <c r="M9" s="40">
        <f>'[4]Other Assumptions'!O9</f>
        <v>0.5</v>
      </c>
      <c r="N9" s="40">
        <f>'[4]Other Assumptions'!P9</f>
        <v>0.6</v>
      </c>
      <c r="O9" s="41">
        <f>'[4]Other Assumptions'!Q9</f>
        <v>0.7</v>
      </c>
    </row>
    <row r="10" spans="1:15" ht="15.75" x14ac:dyDescent="0.25">
      <c r="A10" s="16" t="s">
        <v>37</v>
      </c>
      <c r="B10" s="19">
        <f>'[4]Other Assumptions'!D10</f>
        <v>0</v>
      </c>
      <c r="C10" s="20">
        <f>'[4]Other Assumptions'!E10</f>
        <v>0</v>
      </c>
      <c r="D10" s="20">
        <f>'[4]Other Assumptions'!F10</f>
        <v>0</v>
      </c>
      <c r="E10" s="20">
        <f>'[4]Other Assumptions'!G10</f>
        <v>0</v>
      </c>
      <c r="F10" s="20">
        <f>'[4]Other Assumptions'!H10</f>
        <v>0</v>
      </c>
      <c r="G10" s="40">
        <f>'[4]Other Assumptions'!I10</f>
        <v>0</v>
      </c>
      <c r="H10" s="40">
        <f>'[4]Other Assumptions'!J10</f>
        <v>0</v>
      </c>
      <c r="I10" s="40">
        <f>'[4]Other Assumptions'!K10</f>
        <v>0.1</v>
      </c>
      <c r="J10" s="40">
        <f>'[4]Other Assumptions'!L10</f>
        <v>0.2</v>
      </c>
      <c r="K10" s="40">
        <f>'[4]Other Assumptions'!M10</f>
        <v>0.3</v>
      </c>
      <c r="L10" s="40">
        <f>'[4]Other Assumptions'!N10</f>
        <v>0.4</v>
      </c>
      <c r="M10" s="40">
        <f>'[4]Other Assumptions'!O10</f>
        <v>0.5</v>
      </c>
      <c r="N10" s="40">
        <f>'[4]Other Assumptions'!P10</f>
        <v>0.6</v>
      </c>
      <c r="O10" s="41">
        <f>'[4]Other Assumptions'!Q10</f>
        <v>0.7</v>
      </c>
    </row>
    <row r="11" spans="1:15" ht="15.75" x14ac:dyDescent="0.25">
      <c r="A11" s="16" t="s">
        <v>38</v>
      </c>
      <c r="B11" s="19">
        <f>'[4]Other Assumptions'!D11</f>
        <v>0</v>
      </c>
      <c r="C11" s="20">
        <f>'[4]Other Assumptions'!E11</f>
        <v>0</v>
      </c>
      <c r="D11" s="20">
        <f>'[4]Other Assumptions'!F11</f>
        <v>0</v>
      </c>
      <c r="E11" s="20">
        <f>'[4]Other Assumptions'!G11</f>
        <v>0</v>
      </c>
      <c r="F11" s="20">
        <f>'[4]Other Assumptions'!H11</f>
        <v>0</v>
      </c>
      <c r="G11" s="40">
        <f>'[4]Other Assumptions'!I11</f>
        <v>0</v>
      </c>
      <c r="H11" s="40">
        <f>'[4]Other Assumptions'!J11</f>
        <v>0</v>
      </c>
      <c r="I11" s="40">
        <f>'[4]Other Assumptions'!K11</f>
        <v>0.1</v>
      </c>
      <c r="J11" s="40">
        <f>'[4]Other Assumptions'!L11</f>
        <v>0.2</v>
      </c>
      <c r="K11" s="40">
        <f>'[4]Other Assumptions'!M11</f>
        <v>0.3</v>
      </c>
      <c r="L11" s="40">
        <f>'[4]Other Assumptions'!N11</f>
        <v>0.4</v>
      </c>
      <c r="M11" s="40">
        <f>'[4]Other Assumptions'!O11</f>
        <v>0.5</v>
      </c>
      <c r="N11" s="40">
        <f>'[4]Other Assumptions'!P11</f>
        <v>0.6</v>
      </c>
      <c r="O11" s="41">
        <f>'[4]Other Assumptions'!Q11</f>
        <v>0.7</v>
      </c>
    </row>
    <row r="12" spans="1:15" ht="15.75" x14ac:dyDescent="0.25">
      <c r="A12" s="16" t="s">
        <v>39</v>
      </c>
      <c r="B12" s="19">
        <f>'[4]Other Assumptions'!D12</f>
        <v>0</v>
      </c>
      <c r="C12" s="20">
        <f>'[4]Other Assumptions'!E12</f>
        <v>0</v>
      </c>
      <c r="D12" s="20">
        <f>'[4]Other Assumptions'!F12</f>
        <v>0</v>
      </c>
      <c r="E12" s="20">
        <f>'[4]Other Assumptions'!G12</f>
        <v>0</v>
      </c>
      <c r="F12" s="20">
        <f>'[4]Other Assumptions'!H12</f>
        <v>0</v>
      </c>
      <c r="G12" s="40">
        <f>'[4]Other Assumptions'!I12</f>
        <v>0</v>
      </c>
      <c r="H12" s="40">
        <f>'[4]Other Assumptions'!J12</f>
        <v>0</v>
      </c>
      <c r="I12" s="40">
        <f>'[4]Other Assumptions'!K12</f>
        <v>0.1</v>
      </c>
      <c r="J12" s="40">
        <f>'[4]Other Assumptions'!L12</f>
        <v>0.2</v>
      </c>
      <c r="K12" s="40">
        <f>'[4]Other Assumptions'!M12</f>
        <v>0.3</v>
      </c>
      <c r="L12" s="40">
        <f>'[4]Other Assumptions'!N12</f>
        <v>0.4</v>
      </c>
      <c r="M12" s="40">
        <f>'[4]Other Assumptions'!O12</f>
        <v>0.5</v>
      </c>
      <c r="N12" s="40">
        <f>'[4]Other Assumptions'!P12</f>
        <v>0.6</v>
      </c>
      <c r="O12" s="41">
        <f>'[4]Other Assumptions'!Q12</f>
        <v>0.7</v>
      </c>
    </row>
    <row r="13" spans="1:15" ht="15.75" x14ac:dyDescent="0.25">
      <c r="A13" s="16" t="s">
        <v>40</v>
      </c>
      <c r="B13" s="19">
        <f>'[4]Other Assumptions'!D13</f>
        <v>0</v>
      </c>
      <c r="C13" s="20">
        <f>'[4]Other Assumptions'!E13</f>
        <v>0</v>
      </c>
      <c r="D13" s="20">
        <f>'[4]Other Assumptions'!F13</f>
        <v>0</v>
      </c>
      <c r="E13" s="20">
        <f>'[4]Other Assumptions'!G13</f>
        <v>0</v>
      </c>
      <c r="F13" s="20">
        <f>'[4]Other Assumptions'!H13</f>
        <v>0</v>
      </c>
      <c r="G13" s="40">
        <f>'[4]Other Assumptions'!I13</f>
        <v>0</v>
      </c>
      <c r="H13" s="40">
        <f>'[4]Other Assumptions'!J13</f>
        <v>0</v>
      </c>
      <c r="I13" s="40">
        <f>'[4]Other Assumptions'!K13</f>
        <v>0.1</v>
      </c>
      <c r="J13" s="40">
        <f>'[4]Other Assumptions'!L13</f>
        <v>0.2</v>
      </c>
      <c r="K13" s="40">
        <f>'[4]Other Assumptions'!M13</f>
        <v>0.3</v>
      </c>
      <c r="L13" s="40">
        <f>'[4]Other Assumptions'!N13</f>
        <v>0.4</v>
      </c>
      <c r="M13" s="40">
        <f>'[4]Other Assumptions'!O13</f>
        <v>0.5</v>
      </c>
      <c r="N13" s="40">
        <f>'[4]Other Assumptions'!P13</f>
        <v>0.6</v>
      </c>
      <c r="O13" s="41">
        <f>'[4]Other Assumptions'!Q13</f>
        <v>0.7</v>
      </c>
    </row>
    <row r="14" spans="1:15" ht="15.75" x14ac:dyDescent="0.25">
      <c r="A14" s="16" t="s">
        <v>41</v>
      </c>
      <c r="B14" s="19">
        <f>'[4]Other Assumptions'!D14</f>
        <v>0</v>
      </c>
      <c r="C14" s="20">
        <f>'[4]Other Assumptions'!E14</f>
        <v>0</v>
      </c>
      <c r="D14" s="20">
        <f>'[4]Other Assumptions'!F14</f>
        <v>0</v>
      </c>
      <c r="E14" s="20">
        <f>'[4]Other Assumptions'!G14</f>
        <v>0</v>
      </c>
      <c r="F14" s="20">
        <f>'[4]Other Assumptions'!H14</f>
        <v>0</v>
      </c>
      <c r="G14" s="40">
        <f>'[4]Other Assumptions'!I14</f>
        <v>0</v>
      </c>
      <c r="H14" s="40">
        <f>'[4]Other Assumptions'!J14</f>
        <v>0</v>
      </c>
      <c r="I14" s="40">
        <f>'[4]Other Assumptions'!K14</f>
        <v>0.1</v>
      </c>
      <c r="J14" s="40">
        <f>'[4]Other Assumptions'!L14</f>
        <v>0.2</v>
      </c>
      <c r="K14" s="40">
        <f>'[4]Other Assumptions'!M14</f>
        <v>0.3</v>
      </c>
      <c r="L14" s="40">
        <f>'[4]Other Assumptions'!N14</f>
        <v>0.4</v>
      </c>
      <c r="M14" s="40">
        <f>'[4]Other Assumptions'!O14</f>
        <v>0.5</v>
      </c>
      <c r="N14" s="40">
        <f>'[4]Other Assumptions'!P14</f>
        <v>0.6</v>
      </c>
      <c r="O14" s="41">
        <f>'[4]Other Assumptions'!Q14</f>
        <v>0.7</v>
      </c>
    </row>
    <row r="15" spans="1:15" ht="15.75" x14ac:dyDescent="0.25">
      <c r="A15" s="16" t="s">
        <v>42</v>
      </c>
      <c r="B15" s="19">
        <f>'[4]Other Assumptions'!D15</f>
        <v>0</v>
      </c>
      <c r="C15" s="20">
        <f>'[4]Other Assumptions'!E15</f>
        <v>0</v>
      </c>
      <c r="D15" s="20">
        <f>'[4]Other Assumptions'!F15</f>
        <v>0</v>
      </c>
      <c r="E15" s="20">
        <f>'[4]Other Assumptions'!G15</f>
        <v>0</v>
      </c>
      <c r="F15" s="20">
        <f>'[4]Other Assumptions'!H15</f>
        <v>0</v>
      </c>
      <c r="G15" s="40">
        <f>'[4]Other Assumptions'!I15</f>
        <v>0</v>
      </c>
      <c r="H15" s="40">
        <f>'[4]Other Assumptions'!J15</f>
        <v>0</v>
      </c>
      <c r="I15" s="40">
        <f>'[4]Other Assumptions'!K15</f>
        <v>0.1</v>
      </c>
      <c r="J15" s="40">
        <f>'[4]Other Assumptions'!L15</f>
        <v>0.2</v>
      </c>
      <c r="K15" s="40">
        <f>'[4]Other Assumptions'!M15</f>
        <v>0.3</v>
      </c>
      <c r="L15" s="40">
        <f>'[4]Other Assumptions'!N15</f>
        <v>0.4</v>
      </c>
      <c r="M15" s="40">
        <f>'[4]Other Assumptions'!O15</f>
        <v>0.5</v>
      </c>
      <c r="N15" s="40">
        <f>'[4]Other Assumptions'!P15</f>
        <v>0.6</v>
      </c>
      <c r="O15" s="41">
        <f>'[4]Other Assumptions'!Q15</f>
        <v>0.7</v>
      </c>
    </row>
    <row r="16" spans="1:15" ht="15.75" x14ac:dyDescent="0.25">
      <c r="A16" s="16" t="s">
        <v>43</v>
      </c>
      <c r="B16" s="19">
        <f>'[4]Other Assumptions'!D16</f>
        <v>0</v>
      </c>
      <c r="C16" s="20">
        <f>'[4]Other Assumptions'!E16</f>
        <v>0</v>
      </c>
      <c r="D16" s="20">
        <f>'[4]Other Assumptions'!F16</f>
        <v>0</v>
      </c>
      <c r="E16" s="20">
        <f>'[4]Other Assumptions'!G16</f>
        <v>0</v>
      </c>
      <c r="F16" s="20">
        <f>'[4]Other Assumptions'!H16</f>
        <v>0</v>
      </c>
      <c r="G16" s="40">
        <f>'[4]Other Assumptions'!I16</f>
        <v>0</v>
      </c>
      <c r="H16" s="40">
        <f>'[4]Other Assumptions'!J16</f>
        <v>0</v>
      </c>
      <c r="I16" s="40">
        <f>'[4]Other Assumptions'!K16</f>
        <v>0.1</v>
      </c>
      <c r="J16" s="40">
        <f>'[4]Other Assumptions'!L16</f>
        <v>0.2</v>
      </c>
      <c r="K16" s="40">
        <f>'[4]Other Assumptions'!M16</f>
        <v>0.3</v>
      </c>
      <c r="L16" s="40">
        <f>'[4]Other Assumptions'!N16</f>
        <v>0.4</v>
      </c>
      <c r="M16" s="40">
        <f>'[4]Other Assumptions'!O16</f>
        <v>0.5</v>
      </c>
      <c r="N16" s="40">
        <f>'[4]Other Assumptions'!P16</f>
        <v>0.6</v>
      </c>
      <c r="O16" s="41">
        <f>'[4]Other Assumptions'!Q16</f>
        <v>0.7</v>
      </c>
    </row>
    <row r="17" spans="1:15" ht="15.75" x14ac:dyDescent="0.25">
      <c r="A17" s="16" t="s">
        <v>44</v>
      </c>
      <c r="B17" s="19">
        <f>'[4]Other Assumptions'!D17</f>
        <v>0</v>
      </c>
      <c r="C17" s="20">
        <f>'[4]Other Assumptions'!E17</f>
        <v>0</v>
      </c>
      <c r="D17" s="20">
        <f>'[4]Other Assumptions'!F17</f>
        <v>0</v>
      </c>
      <c r="E17" s="20">
        <f>'[4]Other Assumptions'!G17</f>
        <v>0</v>
      </c>
      <c r="F17" s="20">
        <f>'[4]Other Assumptions'!H17</f>
        <v>0</v>
      </c>
      <c r="G17" s="40">
        <f>'[4]Other Assumptions'!I17</f>
        <v>0</v>
      </c>
      <c r="H17" s="40">
        <f>'[4]Other Assumptions'!J17</f>
        <v>0</v>
      </c>
      <c r="I17" s="40">
        <f>'[4]Other Assumptions'!K17</f>
        <v>0.1</v>
      </c>
      <c r="J17" s="40">
        <f>'[4]Other Assumptions'!L17</f>
        <v>0.2</v>
      </c>
      <c r="K17" s="40">
        <f>'[4]Other Assumptions'!M17</f>
        <v>0.3</v>
      </c>
      <c r="L17" s="40">
        <f>'[4]Other Assumptions'!N17</f>
        <v>0.4</v>
      </c>
      <c r="M17" s="40">
        <f>'[4]Other Assumptions'!O17</f>
        <v>0.5</v>
      </c>
      <c r="N17" s="40">
        <f>'[4]Other Assumptions'!P17</f>
        <v>0.6</v>
      </c>
      <c r="O17" s="41">
        <f>'[4]Other Assumptions'!Q17</f>
        <v>0.7</v>
      </c>
    </row>
    <row r="18" spans="1:15" ht="15.75" x14ac:dyDescent="0.25">
      <c r="A18" s="16" t="s">
        <v>45</v>
      </c>
      <c r="B18" s="19">
        <f>'[4]Other Assumptions'!D18</f>
        <v>0</v>
      </c>
      <c r="C18" s="20">
        <f>'[4]Other Assumptions'!E18</f>
        <v>0</v>
      </c>
      <c r="D18" s="20">
        <f>'[4]Other Assumptions'!F18</f>
        <v>0</v>
      </c>
      <c r="E18" s="20">
        <f>'[4]Other Assumptions'!G18</f>
        <v>0</v>
      </c>
      <c r="F18" s="20">
        <f>'[4]Other Assumptions'!H18</f>
        <v>0</v>
      </c>
      <c r="G18" s="40">
        <f>'[4]Other Assumptions'!I18</f>
        <v>0</v>
      </c>
      <c r="H18" s="40">
        <f>'[4]Other Assumptions'!J18</f>
        <v>0</v>
      </c>
      <c r="I18" s="40">
        <f>'[4]Other Assumptions'!K18</f>
        <v>0.1</v>
      </c>
      <c r="J18" s="40">
        <f>'[4]Other Assumptions'!L18</f>
        <v>0.2</v>
      </c>
      <c r="K18" s="40">
        <f>'[4]Other Assumptions'!M18</f>
        <v>0.3</v>
      </c>
      <c r="L18" s="40">
        <f>'[4]Other Assumptions'!N18</f>
        <v>0.4</v>
      </c>
      <c r="M18" s="40">
        <f>'[4]Other Assumptions'!O18</f>
        <v>0.5</v>
      </c>
      <c r="N18" s="40">
        <f>'[4]Other Assumptions'!P18</f>
        <v>0.6</v>
      </c>
      <c r="O18" s="41">
        <f>'[4]Other Assumptions'!Q18</f>
        <v>0.7</v>
      </c>
    </row>
    <row r="19" spans="1:15" ht="16.5" thickBot="1" x14ac:dyDescent="0.3">
      <c r="A19" s="23" t="s">
        <v>46</v>
      </c>
      <c r="B19" s="24">
        <f>'[4]Other Assumptions'!D19</f>
        <v>0</v>
      </c>
      <c r="C19" s="25">
        <f>'[4]Other Assumptions'!E19</f>
        <v>0</v>
      </c>
      <c r="D19" s="25">
        <f>'[4]Other Assumptions'!F19</f>
        <v>0</v>
      </c>
      <c r="E19" s="25">
        <f>'[4]Other Assumptions'!G19</f>
        <v>0</v>
      </c>
      <c r="F19" s="25">
        <f>'[4]Other Assumptions'!H19</f>
        <v>0</v>
      </c>
      <c r="G19" s="53">
        <f>'[4]Other Assumptions'!I19</f>
        <v>0</v>
      </c>
      <c r="H19" s="53">
        <f>'[4]Other Assumptions'!J19</f>
        <v>0</v>
      </c>
      <c r="I19" s="53">
        <f>'[4]Other Assumptions'!K19</f>
        <v>0.1</v>
      </c>
      <c r="J19" s="53">
        <f>'[4]Other Assumptions'!L19</f>
        <v>0.2</v>
      </c>
      <c r="K19" s="53">
        <f>'[4]Other Assumptions'!M19</f>
        <v>0.3</v>
      </c>
      <c r="L19" s="53">
        <f>'[4]Other Assumptions'!N19</f>
        <v>0.4</v>
      </c>
      <c r="M19" s="53">
        <f>'[4]Other Assumptions'!O19</f>
        <v>0.5</v>
      </c>
      <c r="N19" s="53">
        <f>'[4]Other Assumptions'!P19</f>
        <v>0.6</v>
      </c>
      <c r="O19" s="54">
        <f>'[4]Other Assumptions'!Q19</f>
        <v>0.7</v>
      </c>
    </row>
    <row r="20" spans="1:15" ht="13.5" thickTop="1" x14ac:dyDescent="0.2"/>
    <row r="21" spans="1:15" ht="13.5" thickBot="1" x14ac:dyDescent="0.25"/>
    <row r="22" spans="1:15" ht="16.5" thickTop="1" x14ac:dyDescent="0.25">
      <c r="A22" s="6" t="s">
        <v>58</v>
      </c>
      <c r="B22" s="7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  <c r="N22" s="7"/>
      <c r="O22" s="9"/>
    </row>
    <row r="23" spans="1:15" ht="13.5" thickBot="1" x14ac:dyDescent="0.25">
      <c r="A23" s="10"/>
      <c r="B23" s="11" t="s">
        <v>22</v>
      </c>
      <c r="C23" s="11" t="s">
        <v>23</v>
      </c>
      <c r="D23" s="11" t="s">
        <v>24</v>
      </c>
      <c r="E23" s="11" t="s">
        <v>118</v>
      </c>
      <c r="F23" s="11" t="s">
        <v>119</v>
      </c>
      <c r="G23" s="11" t="s">
        <v>25</v>
      </c>
      <c r="H23" s="11" t="s">
        <v>26</v>
      </c>
      <c r="I23" s="11" t="s">
        <v>27</v>
      </c>
      <c r="J23" s="11" t="s">
        <v>28</v>
      </c>
      <c r="K23" s="11" t="s">
        <v>29</v>
      </c>
      <c r="L23" s="11" t="s">
        <v>30</v>
      </c>
      <c r="M23" s="11" t="s">
        <v>120</v>
      </c>
      <c r="N23" s="11" t="s">
        <v>121</v>
      </c>
      <c r="O23" s="12" t="s">
        <v>122</v>
      </c>
    </row>
    <row r="24" spans="1:15" ht="14.25" thickTop="1" thickBot="1" x14ac:dyDescent="0.25">
      <c r="A24" s="13"/>
      <c r="B24" s="14" t="s">
        <v>31</v>
      </c>
      <c r="C24" s="14" t="s">
        <v>31</v>
      </c>
      <c r="D24" s="14" t="s">
        <v>31</v>
      </c>
      <c r="E24" s="14" t="s">
        <v>31</v>
      </c>
      <c r="F24" s="14" t="s">
        <v>31</v>
      </c>
      <c r="G24" s="14" t="s">
        <v>32</v>
      </c>
      <c r="H24" s="14" t="s">
        <v>32</v>
      </c>
      <c r="I24" s="14" t="s">
        <v>32</v>
      </c>
      <c r="J24" s="14" t="s">
        <v>32</v>
      </c>
      <c r="K24" s="14" t="s">
        <v>32</v>
      </c>
      <c r="L24" s="14" t="s">
        <v>32</v>
      </c>
      <c r="M24" s="14" t="s">
        <v>32</v>
      </c>
      <c r="N24" s="14" t="s">
        <v>32</v>
      </c>
      <c r="O24" s="15" t="s">
        <v>32</v>
      </c>
    </row>
    <row r="25" spans="1:15" ht="16.5" thickTop="1" x14ac:dyDescent="0.25">
      <c r="A25" s="16" t="s">
        <v>33</v>
      </c>
      <c r="B25" s="17">
        <f>'[4]Other Assumptions'!D25</f>
        <v>0</v>
      </c>
      <c r="C25" s="18">
        <f>'[4]Other Assumptions'!E25</f>
        <v>0</v>
      </c>
      <c r="D25" s="18">
        <f>'[4]Other Assumptions'!F25</f>
        <v>0</v>
      </c>
      <c r="E25" s="18">
        <f>'[4]Other Assumptions'!G25</f>
        <v>0</v>
      </c>
      <c r="F25" s="18">
        <f>'[4]Other Assumptions'!H25</f>
        <v>0</v>
      </c>
      <c r="G25" s="36">
        <f>'[4]Other Assumptions'!I25</f>
        <v>0</v>
      </c>
      <c r="H25" s="36">
        <f>'[4]Other Assumptions'!J25</f>
        <v>0</v>
      </c>
      <c r="I25" s="36">
        <f>'[4]Other Assumptions'!K25</f>
        <v>0</v>
      </c>
      <c r="J25" s="36">
        <f>'[4]Other Assumptions'!L25</f>
        <v>0</v>
      </c>
      <c r="K25" s="36">
        <f>'[4]Other Assumptions'!M25</f>
        <v>0</v>
      </c>
      <c r="L25" s="36">
        <f>'[4]Other Assumptions'!N25</f>
        <v>0</v>
      </c>
      <c r="M25" s="36">
        <f>'[4]Other Assumptions'!O25</f>
        <v>0</v>
      </c>
      <c r="N25" s="36">
        <f>'[4]Other Assumptions'!P25</f>
        <v>0</v>
      </c>
      <c r="O25" s="37">
        <f>'[4]Other Assumptions'!Q25</f>
        <v>0</v>
      </c>
    </row>
    <row r="26" spans="1:15" ht="15.75" x14ac:dyDescent="0.25">
      <c r="A26" s="16" t="s">
        <v>34</v>
      </c>
      <c r="B26" s="19">
        <f>'[4]Other Assumptions'!D26</f>
        <v>0</v>
      </c>
      <c r="C26" s="20">
        <f>'[4]Other Assumptions'!E26</f>
        <v>0</v>
      </c>
      <c r="D26" s="20">
        <f>'[4]Other Assumptions'!F26</f>
        <v>0</v>
      </c>
      <c r="E26" s="20">
        <f>'[4]Other Assumptions'!G26</f>
        <v>0</v>
      </c>
      <c r="F26" s="20">
        <f>'[4]Other Assumptions'!H26</f>
        <v>0</v>
      </c>
      <c r="G26" s="40">
        <f>'[4]Other Assumptions'!I26</f>
        <v>0</v>
      </c>
      <c r="H26" s="40">
        <f>'[4]Other Assumptions'!J26</f>
        <v>0</v>
      </c>
      <c r="I26" s="40">
        <f>'[4]Other Assumptions'!K26</f>
        <v>0</v>
      </c>
      <c r="J26" s="40">
        <f>'[4]Other Assumptions'!L26</f>
        <v>0</v>
      </c>
      <c r="K26" s="40">
        <f>'[4]Other Assumptions'!M26</f>
        <v>0</v>
      </c>
      <c r="L26" s="40">
        <f>'[4]Other Assumptions'!N26</f>
        <v>0</v>
      </c>
      <c r="M26" s="40">
        <f>'[4]Other Assumptions'!O26</f>
        <v>0</v>
      </c>
      <c r="N26" s="40">
        <f>'[4]Other Assumptions'!P26</f>
        <v>0</v>
      </c>
      <c r="O26" s="41">
        <f>'[4]Other Assumptions'!Q26</f>
        <v>0</v>
      </c>
    </row>
    <row r="27" spans="1:15" ht="15.75" x14ac:dyDescent="0.25">
      <c r="A27" s="16" t="s">
        <v>35</v>
      </c>
      <c r="B27" s="19">
        <f>'[4]Other Assumptions'!D27</f>
        <v>0</v>
      </c>
      <c r="C27" s="20">
        <f>'[4]Other Assumptions'!E27</f>
        <v>0</v>
      </c>
      <c r="D27" s="20">
        <f>'[4]Other Assumptions'!F27</f>
        <v>0</v>
      </c>
      <c r="E27" s="20">
        <f>'[4]Other Assumptions'!G27</f>
        <v>0</v>
      </c>
      <c r="F27" s="20">
        <f>'[4]Other Assumptions'!H27</f>
        <v>0</v>
      </c>
      <c r="G27" s="40">
        <f>'[4]Other Assumptions'!I27</f>
        <v>0</v>
      </c>
      <c r="H27" s="40">
        <f>'[4]Other Assumptions'!J27</f>
        <v>0</v>
      </c>
      <c r="I27" s="40">
        <f>'[4]Other Assumptions'!K27</f>
        <v>0</v>
      </c>
      <c r="J27" s="40">
        <f>'[4]Other Assumptions'!L27</f>
        <v>0</v>
      </c>
      <c r="K27" s="40">
        <f>'[4]Other Assumptions'!M27</f>
        <v>0</v>
      </c>
      <c r="L27" s="40">
        <f>'[4]Other Assumptions'!N27</f>
        <v>0</v>
      </c>
      <c r="M27" s="40">
        <f>'[4]Other Assumptions'!O27</f>
        <v>0</v>
      </c>
      <c r="N27" s="40">
        <f>'[4]Other Assumptions'!P27</f>
        <v>0</v>
      </c>
      <c r="O27" s="41">
        <f>'[4]Other Assumptions'!Q27</f>
        <v>0</v>
      </c>
    </row>
    <row r="28" spans="1:15" ht="15.75" x14ac:dyDescent="0.25">
      <c r="A28" s="16" t="s">
        <v>36</v>
      </c>
      <c r="B28" s="19">
        <f>'[4]Other Assumptions'!D28</f>
        <v>0</v>
      </c>
      <c r="C28" s="20">
        <f>'[4]Other Assumptions'!E28</f>
        <v>0</v>
      </c>
      <c r="D28" s="20">
        <f>'[4]Other Assumptions'!F28</f>
        <v>0</v>
      </c>
      <c r="E28" s="20">
        <f>'[4]Other Assumptions'!G28</f>
        <v>0</v>
      </c>
      <c r="F28" s="20">
        <f>'[4]Other Assumptions'!H28</f>
        <v>0</v>
      </c>
      <c r="G28" s="40">
        <f>'[4]Other Assumptions'!I28</f>
        <v>0</v>
      </c>
      <c r="H28" s="40">
        <f>'[4]Other Assumptions'!J28</f>
        <v>0</v>
      </c>
      <c r="I28" s="40">
        <f>'[4]Other Assumptions'!K28</f>
        <v>0</v>
      </c>
      <c r="J28" s="40">
        <f>'[4]Other Assumptions'!L28</f>
        <v>0</v>
      </c>
      <c r="K28" s="40">
        <f>'[4]Other Assumptions'!M28</f>
        <v>0</v>
      </c>
      <c r="L28" s="40">
        <f>'[4]Other Assumptions'!N28</f>
        <v>0</v>
      </c>
      <c r="M28" s="40">
        <f>'[4]Other Assumptions'!O28</f>
        <v>0</v>
      </c>
      <c r="N28" s="40">
        <f>'[4]Other Assumptions'!P28</f>
        <v>0</v>
      </c>
      <c r="O28" s="41">
        <f>'[4]Other Assumptions'!Q28</f>
        <v>0</v>
      </c>
    </row>
    <row r="29" spans="1:15" ht="15.75" x14ac:dyDescent="0.25">
      <c r="A29" s="16" t="s">
        <v>37</v>
      </c>
      <c r="B29" s="19">
        <f>'[4]Other Assumptions'!D29</f>
        <v>0</v>
      </c>
      <c r="C29" s="20">
        <f>'[4]Other Assumptions'!E29</f>
        <v>0</v>
      </c>
      <c r="D29" s="20">
        <f>'[4]Other Assumptions'!F29</f>
        <v>0</v>
      </c>
      <c r="E29" s="20">
        <f>'[4]Other Assumptions'!G29</f>
        <v>0</v>
      </c>
      <c r="F29" s="20">
        <f>'[4]Other Assumptions'!H29</f>
        <v>0</v>
      </c>
      <c r="G29" s="40">
        <f>'[4]Other Assumptions'!I29</f>
        <v>0</v>
      </c>
      <c r="H29" s="40">
        <f>'[4]Other Assumptions'!J29</f>
        <v>0</v>
      </c>
      <c r="I29" s="40">
        <f>'[4]Other Assumptions'!K29</f>
        <v>0</v>
      </c>
      <c r="J29" s="40">
        <f>'[4]Other Assumptions'!L29</f>
        <v>0</v>
      </c>
      <c r="K29" s="40">
        <f>'[4]Other Assumptions'!M29</f>
        <v>0</v>
      </c>
      <c r="L29" s="40">
        <f>'[4]Other Assumptions'!N29</f>
        <v>0</v>
      </c>
      <c r="M29" s="40">
        <f>'[4]Other Assumptions'!O29</f>
        <v>0</v>
      </c>
      <c r="N29" s="40">
        <f>'[4]Other Assumptions'!P29</f>
        <v>0</v>
      </c>
      <c r="O29" s="41">
        <f>'[4]Other Assumptions'!Q29</f>
        <v>0</v>
      </c>
    </row>
    <row r="30" spans="1:15" ht="15.75" x14ac:dyDescent="0.25">
      <c r="A30" s="16" t="s">
        <v>38</v>
      </c>
      <c r="B30" s="19">
        <f>'[4]Other Assumptions'!D30</f>
        <v>0</v>
      </c>
      <c r="C30" s="20">
        <f>'[4]Other Assumptions'!E30</f>
        <v>0</v>
      </c>
      <c r="D30" s="20">
        <f>'[4]Other Assumptions'!F30</f>
        <v>0</v>
      </c>
      <c r="E30" s="20">
        <f>'[4]Other Assumptions'!G30</f>
        <v>0</v>
      </c>
      <c r="F30" s="20">
        <f>'[4]Other Assumptions'!H30</f>
        <v>0</v>
      </c>
      <c r="G30" s="40">
        <f>'[4]Other Assumptions'!I30</f>
        <v>0</v>
      </c>
      <c r="H30" s="40">
        <f>'[4]Other Assumptions'!J30</f>
        <v>0</v>
      </c>
      <c r="I30" s="40">
        <f>'[4]Other Assumptions'!K30</f>
        <v>0</v>
      </c>
      <c r="J30" s="40">
        <f>'[4]Other Assumptions'!L30</f>
        <v>0</v>
      </c>
      <c r="K30" s="40">
        <f>'[4]Other Assumptions'!M30</f>
        <v>0</v>
      </c>
      <c r="L30" s="40">
        <f>'[4]Other Assumptions'!N30</f>
        <v>0</v>
      </c>
      <c r="M30" s="40">
        <f>'[4]Other Assumptions'!O30</f>
        <v>0</v>
      </c>
      <c r="N30" s="40">
        <f>'[4]Other Assumptions'!P30</f>
        <v>0</v>
      </c>
      <c r="O30" s="41">
        <f>'[4]Other Assumptions'!Q30</f>
        <v>0</v>
      </c>
    </row>
    <row r="31" spans="1:15" ht="15.75" x14ac:dyDescent="0.25">
      <c r="A31" s="16" t="s">
        <v>39</v>
      </c>
      <c r="B31" s="19">
        <f>'[4]Other Assumptions'!D31</f>
        <v>0</v>
      </c>
      <c r="C31" s="20">
        <f>'[4]Other Assumptions'!E31</f>
        <v>0</v>
      </c>
      <c r="D31" s="20">
        <f>'[4]Other Assumptions'!F31</f>
        <v>0</v>
      </c>
      <c r="E31" s="20">
        <f>'[4]Other Assumptions'!G31</f>
        <v>0</v>
      </c>
      <c r="F31" s="20">
        <f>'[4]Other Assumptions'!H31</f>
        <v>0</v>
      </c>
      <c r="G31" s="40">
        <f>'[4]Other Assumptions'!I31</f>
        <v>0</v>
      </c>
      <c r="H31" s="40">
        <f>'[4]Other Assumptions'!J31</f>
        <v>0</v>
      </c>
      <c r="I31" s="40">
        <f>'[4]Other Assumptions'!K31</f>
        <v>0</v>
      </c>
      <c r="J31" s="40">
        <f>'[4]Other Assumptions'!L31</f>
        <v>0</v>
      </c>
      <c r="K31" s="40">
        <f>'[4]Other Assumptions'!M31</f>
        <v>0</v>
      </c>
      <c r="L31" s="40">
        <f>'[4]Other Assumptions'!N31</f>
        <v>0</v>
      </c>
      <c r="M31" s="40">
        <f>'[4]Other Assumptions'!O31</f>
        <v>0</v>
      </c>
      <c r="N31" s="40">
        <f>'[4]Other Assumptions'!P31</f>
        <v>0</v>
      </c>
      <c r="O31" s="41">
        <f>'[4]Other Assumptions'!Q31</f>
        <v>0</v>
      </c>
    </row>
    <row r="32" spans="1:15" ht="15.75" x14ac:dyDescent="0.25">
      <c r="A32" s="16" t="s">
        <v>40</v>
      </c>
      <c r="B32" s="19">
        <f>'[4]Other Assumptions'!D32</f>
        <v>0</v>
      </c>
      <c r="C32" s="20">
        <f>'[4]Other Assumptions'!E32</f>
        <v>0</v>
      </c>
      <c r="D32" s="20">
        <f>'[4]Other Assumptions'!F32</f>
        <v>0</v>
      </c>
      <c r="E32" s="20">
        <f>'[4]Other Assumptions'!G32</f>
        <v>0</v>
      </c>
      <c r="F32" s="20">
        <f>'[4]Other Assumptions'!H32</f>
        <v>0</v>
      </c>
      <c r="G32" s="40">
        <f>'[4]Other Assumptions'!I32</f>
        <v>0</v>
      </c>
      <c r="H32" s="40">
        <f>'[4]Other Assumptions'!J32</f>
        <v>0</v>
      </c>
      <c r="I32" s="40">
        <f>'[4]Other Assumptions'!K32</f>
        <v>0</v>
      </c>
      <c r="J32" s="40">
        <f>'[4]Other Assumptions'!L32</f>
        <v>0</v>
      </c>
      <c r="K32" s="40">
        <f>'[4]Other Assumptions'!M32</f>
        <v>0</v>
      </c>
      <c r="L32" s="40">
        <f>'[4]Other Assumptions'!N32</f>
        <v>0</v>
      </c>
      <c r="M32" s="40">
        <f>'[4]Other Assumptions'!O32</f>
        <v>0</v>
      </c>
      <c r="N32" s="40">
        <f>'[4]Other Assumptions'!P32</f>
        <v>0</v>
      </c>
      <c r="O32" s="41">
        <f>'[4]Other Assumptions'!Q32</f>
        <v>0</v>
      </c>
    </row>
    <row r="33" spans="1:15" ht="15.75" x14ac:dyDescent="0.25">
      <c r="A33" s="16" t="s">
        <v>41</v>
      </c>
      <c r="B33" s="19">
        <f>'[4]Other Assumptions'!D33</f>
        <v>0</v>
      </c>
      <c r="C33" s="20">
        <f>'[4]Other Assumptions'!E33</f>
        <v>0</v>
      </c>
      <c r="D33" s="20">
        <f>'[4]Other Assumptions'!F33</f>
        <v>0</v>
      </c>
      <c r="E33" s="20">
        <f>'[4]Other Assumptions'!G33</f>
        <v>0</v>
      </c>
      <c r="F33" s="20">
        <f>'[4]Other Assumptions'!H33</f>
        <v>0</v>
      </c>
      <c r="G33" s="40">
        <f>'[4]Other Assumptions'!I33</f>
        <v>0</v>
      </c>
      <c r="H33" s="40">
        <f>'[4]Other Assumptions'!J33</f>
        <v>0</v>
      </c>
      <c r="I33" s="40">
        <f>'[4]Other Assumptions'!K33</f>
        <v>0</v>
      </c>
      <c r="J33" s="40">
        <f>'[4]Other Assumptions'!L33</f>
        <v>0</v>
      </c>
      <c r="K33" s="40">
        <f>'[4]Other Assumptions'!M33</f>
        <v>0</v>
      </c>
      <c r="L33" s="40">
        <f>'[4]Other Assumptions'!N33</f>
        <v>0</v>
      </c>
      <c r="M33" s="40">
        <f>'[4]Other Assumptions'!O33</f>
        <v>0</v>
      </c>
      <c r="N33" s="40">
        <f>'[4]Other Assumptions'!P33</f>
        <v>0</v>
      </c>
      <c r="O33" s="41">
        <f>'[4]Other Assumptions'!Q33</f>
        <v>0</v>
      </c>
    </row>
    <row r="34" spans="1:15" ht="15.75" x14ac:dyDescent="0.25">
      <c r="A34" s="16" t="s">
        <v>42</v>
      </c>
      <c r="B34" s="19">
        <f>'[4]Other Assumptions'!D34</f>
        <v>0</v>
      </c>
      <c r="C34" s="20">
        <f>'[4]Other Assumptions'!E34</f>
        <v>0</v>
      </c>
      <c r="D34" s="20">
        <f>'[4]Other Assumptions'!F34</f>
        <v>0</v>
      </c>
      <c r="E34" s="20">
        <f>'[4]Other Assumptions'!G34</f>
        <v>0</v>
      </c>
      <c r="F34" s="20">
        <f>'[4]Other Assumptions'!H34</f>
        <v>0</v>
      </c>
      <c r="G34" s="40">
        <f>'[4]Other Assumptions'!I34</f>
        <v>0</v>
      </c>
      <c r="H34" s="40">
        <f>'[4]Other Assumptions'!J34</f>
        <v>0</v>
      </c>
      <c r="I34" s="40">
        <f>'[4]Other Assumptions'!K34</f>
        <v>0</v>
      </c>
      <c r="J34" s="40">
        <f>'[4]Other Assumptions'!L34</f>
        <v>0</v>
      </c>
      <c r="K34" s="40">
        <f>'[4]Other Assumptions'!M34</f>
        <v>0</v>
      </c>
      <c r="L34" s="40">
        <f>'[4]Other Assumptions'!N34</f>
        <v>0</v>
      </c>
      <c r="M34" s="40">
        <f>'[4]Other Assumptions'!O34</f>
        <v>0</v>
      </c>
      <c r="N34" s="40">
        <f>'[4]Other Assumptions'!P34</f>
        <v>0</v>
      </c>
      <c r="O34" s="41">
        <f>'[4]Other Assumptions'!Q34</f>
        <v>0</v>
      </c>
    </row>
    <row r="35" spans="1:15" ht="15.75" x14ac:dyDescent="0.25">
      <c r="A35" s="16" t="s">
        <v>43</v>
      </c>
      <c r="B35" s="19">
        <f>'[4]Other Assumptions'!D35</f>
        <v>0</v>
      </c>
      <c r="C35" s="20">
        <f>'[4]Other Assumptions'!E35</f>
        <v>0</v>
      </c>
      <c r="D35" s="20">
        <f>'[4]Other Assumptions'!F35</f>
        <v>0</v>
      </c>
      <c r="E35" s="20">
        <f>'[4]Other Assumptions'!G35</f>
        <v>0</v>
      </c>
      <c r="F35" s="20">
        <f>'[4]Other Assumptions'!H35</f>
        <v>0</v>
      </c>
      <c r="G35" s="40">
        <f>'[4]Other Assumptions'!I35</f>
        <v>0</v>
      </c>
      <c r="H35" s="40">
        <f>'[4]Other Assumptions'!J35</f>
        <v>0</v>
      </c>
      <c r="I35" s="40">
        <f>'[4]Other Assumptions'!K35</f>
        <v>0</v>
      </c>
      <c r="J35" s="40">
        <f>'[4]Other Assumptions'!L35</f>
        <v>0</v>
      </c>
      <c r="K35" s="40">
        <f>'[4]Other Assumptions'!M35</f>
        <v>0</v>
      </c>
      <c r="L35" s="40">
        <f>'[4]Other Assumptions'!N35</f>
        <v>0</v>
      </c>
      <c r="M35" s="40">
        <f>'[4]Other Assumptions'!O35</f>
        <v>0</v>
      </c>
      <c r="N35" s="40">
        <f>'[4]Other Assumptions'!P35</f>
        <v>0</v>
      </c>
      <c r="O35" s="41">
        <f>'[4]Other Assumptions'!Q35</f>
        <v>0</v>
      </c>
    </row>
    <row r="36" spans="1:15" ht="15.75" x14ac:dyDescent="0.25">
      <c r="A36" s="16" t="s">
        <v>44</v>
      </c>
      <c r="B36" s="19">
        <f>'[4]Other Assumptions'!D36</f>
        <v>0</v>
      </c>
      <c r="C36" s="20">
        <f>'[4]Other Assumptions'!E36</f>
        <v>0</v>
      </c>
      <c r="D36" s="20">
        <f>'[4]Other Assumptions'!F36</f>
        <v>0</v>
      </c>
      <c r="E36" s="20">
        <f>'[4]Other Assumptions'!G36</f>
        <v>0</v>
      </c>
      <c r="F36" s="20">
        <f>'[4]Other Assumptions'!H36</f>
        <v>0</v>
      </c>
      <c r="G36" s="40">
        <f>'[4]Other Assumptions'!I36</f>
        <v>0</v>
      </c>
      <c r="H36" s="40">
        <f>'[4]Other Assumptions'!J36</f>
        <v>0</v>
      </c>
      <c r="I36" s="40">
        <f>'[4]Other Assumptions'!K36</f>
        <v>0</v>
      </c>
      <c r="J36" s="40">
        <f>'[4]Other Assumptions'!L36</f>
        <v>0</v>
      </c>
      <c r="K36" s="40">
        <f>'[4]Other Assumptions'!M36</f>
        <v>0</v>
      </c>
      <c r="L36" s="40">
        <f>'[4]Other Assumptions'!N36</f>
        <v>0</v>
      </c>
      <c r="M36" s="40">
        <f>'[4]Other Assumptions'!O36</f>
        <v>0</v>
      </c>
      <c r="N36" s="40">
        <f>'[4]Other Assumptions'!P36</f>
        <v>0</v>
      </c>
      <c r="O36" s="41">
        <f>'[4]Other Assumptions'!Q36</f>
        <v>0</v>
      </c>
    </row>
    <row r="37" spans="1:15" ht="15.75" x14ac:dyDescent="0.25">
      <c r="A37" s="16" t="s">
        <v>45</v>
      </c>
      <c r="B37" s="19">
        <f>'[4]Other Assumptions'!D37</f>
        <v>0</v>
      </c>
      <c r="C37" s="20">
        <f>'[4]Other Assumptions'!E37</f>
        <v>0</v>
      </c>
      <c r="D37" s="20">
        <f>'[4]Other Assumptions'!F37</f>
        <v>0</v>
      </c>
      <c r="E37" s="20">
        <f>'[4]Other Assumptions'!G37</f>
        <v>0</v>
      </c>
      <c r="F37" s="20">
        <f>'[4]Other Assumptions'!H37</f>
        <v>0</v>
      </c>
      <c r="G37" s="40">
        <f>'[4]Other Assumptions'!I37</f>
        <v>0</v>
      </c>
      <c r="H37" s="40">
        <f>'[4]Other Assumptions'!J37</f>
        <v>0</v>
      </c>
      <c r="I37" s="40">
        <f>'[4]Other Assumptions'!K37</f>
        <v>0</v>
      </c>
      <c r="J37" s="40">
        <f>'[4]Other Assumptions'!L37</f>
        <v>0</v>
      </c>
      <c r="K37" s="40">
        <f>'[4]Other Assumptions'!M37</f>
        <v>0</v>
      </c>
      <c r="L37" s="40">
        <f>'[4]Other Assumptions'!N37</f>
        <v>0</v>
      </c>
      <c r="M37" s="40">
        <f>'[4]Other Assumptions'!O37</f>
        <v>0</v>
      </c>
      <c r="N37" s="40">
        <f>'[4]Other Assumptions'!P37</f>
        <v>0</v>
      </c>
      <c r="O37" s="41">
        <f>'[4]Other Assumptions'!Q37</f>
        <v>0</v>
      </c>
    </row>
    <row r="38" spans="1:15" ht="16.5" thickBot="1" x14ac:dyDescent="0.3">
      <c r="A38" s="23" t="s">
        <v>46</v>
      </c>
      <c r="B38" s="24">
        <f>'[4]Other Assumptions'!D38</f>
        <v>0</v>
      </c>
      <c r="C38" s="25">
        <f>'[4]Other Assumptions'!E38</f>
        <v>0</v>
      </c>
      <c r="D38" s="25">
        <f>'[4]Other Assumptions'!F38</f>
        <v>0</v>
      </c>
      <c r="E38" s="25">
        <f>'[4]Other Assumptions'!G38</f>
        <v>0</v>
      </c>
      <c r="F38" s="25">
        <f>'[4]Other Assumptions'!H38</f>
        <v>0</v>
      </c>
      <c r="G38" s="53">
        <f>'[4]Other Assumptions'!I38</f>
        <v>0</v>
      </c>
      <c r="H38" s="53">
        <f>'[4]Other Assumptions'!J38</f>
        <v>0</v>
      </c>
      <c r="I38" s="53">
        <f>'[4]Other Assumptions'!K38</f>
        <v>0</v>
      </c>
      <c r="J38" s="53">
        <f>'[4]Other Assumptions'!L38</f>
        <v>0</v>
      </c>
      <c r="K38" s="53">
        <f>'[4]Other Assumptions'!M38</f>
        <v>0</v>
      </c>
      <c r="L38" s="53">
        <f>'[4]Other Assumptions'!N38</f>
        <v>0</v>
      </c>
      <c r="M38" s="53">
        <f>'[4]Other Assumptions'!O38</f>
        <v>0</v>
      </c>
      <c r="N38" s="53">
        <f>'[4]Other Assumptions'!P38</f>
        <v>0</v>
      </c>
      <c r="O38" s="54">
        <f>'[4]Other Assumptions'!Q38</f>
        <v>0</v>
      </c>
    </row>
    <row r="39" spans="1:15" ht="13.5" thickTop="1" x14ac:dyDescent="0.2"/>
    <row r="40" spans="1:15" ht="13.5" thickBot="1" x14ac:dyDescent="0.25"/>
    <row r="41" spans="1:15" ht="16.5" thickTop="1" x14ac:dyDescent="0.25">
      <c r="A41" s="6" t="s">
        <v>69</v>
      </c>
      <c r="B41" s="7"/>
      <c r="C41" s="8"/>
      <c r="D41" s="8"/>
      <c r="E41" s="8"/>
      <c r="F41" s="8"/>
      <c r="G41" s="7"/>
      <c r="H41" s="7"/>
      <c r="I41" s="7"/>
      <c r="J41" s="7"/>
      <c r="K41" s="7"/>
      <c r="L41" s="7"/>
      <c r="M41" s="7"/>
      <c r="N41" s="7"/>
      <c r="O41" s="9"/>
    </row>
    <row r="42" spans="1:15" ht="13.5" thickBot="1" x14ac:dyDescent="0.25">
      <c r="A42" s="10"/>
      <c r="B42" s="11" t="s">
        <v>22</v>
      </c>
      <c r="C42" s="11" t="s">
        <v>23</v>
      </c>
      <c r="D42" s="11" t="s">
        <v>24</v>
      </c>
      <c r="E42" s="11" t="s">
        <v>118</v>
      </c>
      <c r="F42" s="11" t="s">
        <v>119</v>
      </c>
      <c r="G42" s="11" t="s">
        <v>25</v>
      </c>
      <c r="H42" s="11" t="s">
        <v>26</v>
      </c>
      <c r="I42" s="11" t="s">
        <v>27</v>
      </c>
      <c r="J42" s="11" t="s">
        <v>28</v>
      </c>
      <c r="K42" s="11" t="s">
        <v>29</v>
      </c>
      <c r="L42" s="11" t="s">
        <v>30</v>
      </c>
      <c r="M42" s="11" t="s">
        <v>120</v>
      </c>
      <c r="N42" s="11" t="s">
        <v>121</v>
      </c>
      <c r="O42" s="12" t="s">
        <v>122</v>
      </c>
    </row>
    <row r="43" spans="1:15" ht="14.25" thickTop="1" thickBot="1" x14ac:dyDescent="0.25">
      <c r="A43" s="13"/>
      <c r="B43" s="14" t="s">
        <v>31</v>
      </c>
      <c r="C43" s="14" t="s">
        <v>31</v>
      </c>
      <c r="D43" s="14" t="s">
        <v>31</v>
      </c>
      <c r="E43" s="14" t="s">
        <v>31</v>
      </c>
      <c r="F43" s="14" t="s">
        <v>31</v>
      </c>
      <c r="G43" s="14" t="s">
        <v>32</v>
      </c>
      <c r="H43" s="14" t="s">
        <v>32</v>
      </c>
      <c r="I43" s="14" t="s">
        <v>32</v>
      </c>
      <c r="J43" s="14" t="s">
        <v>32</v>
      </c>
      <c r="K43" s="14" t="s">
        <v>32</v>
      </c>
      <c r="L43" s="14" t="s">
        <v>32</v>
      </c>
      <c r="M43" s="14" t="s">
        <v>32</v>
      </c>
      <c r="N43" s="14" t="s">
        <v>32</v>
      </c>
      <c r="O43" s="15" t="s">
        <v>32</v>
      </c>
    </row>
    <row r="44" spans="1:15" ht="16.5" thickTop="1" x14ac:dyDescent="0.25">
      <c r="A44" s="16" t="s">
        <v>33</v>
      </c>
      <c r="B44" s="17">
        <f>'[4]Other Assumptions'!D82</f>
        <v>0</v>
      </c>
      <c r="C44" s="18">
        <f>'[4]Other Assumptions'!E82</f>
        <v>0</v>
      </c>
      <c r="D44" s="18">
        <f>'[4]Other Assumptions'!F82</f>
        <v>0</v>
      </c>
      <c r="E44" s="18">
        <f>'[4]Other Assumptions'!G82</f>
        <v>0</v>
      </c>
      <c r="F44" s="18">
        <f>'[4]Other Assumptions'!H82</f>
        <v>0</v>
      </c>
      <c r="G44" s="36">
        <f>'[4]Other Assumptions'!I44</f>
        <v>0</v>
      </c>
      <c r="H44" s="36">
        <f>'[4]Other Assumptions'!J44</f>
        <v>0</v>
      </c>
      <c r="I44" s="36">
        <f>'[4]Other Assumptions'!K44</f>
        <v>0</v>
      </c>
      <c r="J44" s="36">
        <f>'[4]Other Assumptions'!L44</f>
        <v>0</v>
      </c>
      <c r="K44" s="36">
        <f>'[4]Other Assumptions'!M44</f>
        <v>0</v>
      </c>
      <c r="L44" s="36">
        <f>'[4]Other Assumptions'!N44</f>
        <v>0</v>
      </c>
      <c r="M44" s="36">
        <f>'[4]Other Assumptions'!O44</f>
        <v>0</v>
      </c>
      <c r="N44" s="36">
        <f>'[4]Other Assumptions'!P44</f>
        <v>0</v>
      </c>
      <c r="O44" s="37">
        <f>'[4]Other Assumptions'!Q44</f>
        <v>0</v>
      </c>
    </row>
    <row r="45" spans="1:15" ht="15.75" x14ac:dyDescent="0.25">
      <c r="A45" s="16" t="s">
        <v>34</v>
      </c>
      <c r="B45" s="19">
        <f>'[4]Other Assumptions'!D83</f>
        <v>0</v>
      </c>
      <c r="C45" s="20">
        <f>'[4]Other Assumptions'!E83</f>
        <v>0</v>
      </c>
      <c r="D45" s="20">
        <f>'[4]Other Assumptions'!F83</f>
        <v>0</v>
      </c>
      <c r="E45" s="20">
        <f>'[4]Other Assumptions'!G83</f>
        <v>0</v>
      </c>
      <c r="F45" s="20">
        <f>'[4]Other Assumptions'!H83</f>
        <v>0</v>
      </c>
      <c r="G45" s="40">
        <f>'[4]Other Assumptions'!I45</f>
        <v>0</v>
      </c>
      <c r="H45" s="40">
        <f>'[4]Other Assumptions'!J45</f>
        <v>0</v>
      </c>
      <c r="I45" s="40">
        <f>'[4]Other Assumptions'!K45</f>
        <v>0</v>
      </c>
      <c r="J45" s="40">
        <f>'[4]Other Assumptions'!L45</f>
        <v>0</v>
      </c>
      <c r="K45" s="40">
        <f>'[4]Other Assumptions'!M45</f>
        <v>0</v>
      </c>
      <c r="L45" s="40">
        <f>'[4]Other Assumptions'!N45</f>
        <v>0</v>
      </c>
      <c r="M45" s="40">
        <f>'[4]Other Assumptions'!O45</f>
        <v>0</v>
      </c>
      <c r="N45" s="40">
        <f>'[4]Other Assumptions'!P45</f>
        <v>0</v>
      </c>
      <c r="O45" s="41">
        <f>'[4]Other Assumptions'!Q45</f>
        <v>0</v>
      </c>
    </row>
    <row r="46" spans="1:15" ht="15.75" x14ac:dyDescent="0.25">
      <c r="A46" s="16" t="s">
        <v>35</v>
      </c>
      <c r="B46" s="19">
        <f>'[4]Other Assumptions'!D84</f>
        <v>0</v>
      </c>
      <c r="C46" s="20">
        <f>'[4]Other Assumptions'!E84</f>
        <v>0</v>
      </c>
      <c r="D46" s="20">
        <f>'[4]Other Assumptions'!F84</f>
        <v>0</v>
      </c>
      <c r="E46" s="20">
        <f>'[4]Other Assumptions'!G84</f>
        <v>0</v>
      </c>
      <c r="F46" s="20">
        <f>'[4]Other Assumptions'!H84</f>
        <v>0</v>
      </c>
      <c r="G46" s="40">
        <f>'[4]Other Assumptions'!I46</f>
        <v>0</v>
      </c>
      <c r="H46" s="40">
        <f>'[4]Other Assumptions'!J46</f>
        <v>0</v>
      </c>
      <c r="I46" s="40">
        <f>'[4]Other Assumptions'!K46</f>
        <v>0</v>
      </c>
      <c r="J46" s="40">
        <f>'[4]Other Assumptions'!L46</f>
        <v>0</v>
      </c>
      <c r="K46" s="40">
        <f>'[4]Other Assumptions'!M46</f>
        <v>0</v>
      </c>
      <c r="L46" s="40">
        <f>'[4]Other Assumptions'!N46</f>
        <v>0</v>
      </c>
      <c r="M46" s="40">
        <f>'[4]Other Assumptions'!O46</f>
        <v>0</v>
      </c>
      <c r="N46" s="40">
        <f>'[4]Other Assumptions'!P46</f>
        <v>0</v>
      </c>
      <c r="O46" s="41">
        <f>'[4]Other Assumptions'!Q46</f>
        <v>0</v>
      </c>
    </row>
    <row r="47" spans="1:15" ht="15.75" x14ac:dyDescent="0.25">
      <c r="A47" s="16" t="s">
        <v>36</v>
      </c>
      <c r="B47" s="19">
        <f>'[4]Other Assumptions'!D85</f>
        <v>0</v>
      </c>
      <c r="C47" s="20">
        <f>'[4]Other Assumptions'!E85</f>
        <v>0</v>
      </c>
      <c r="D47" s="20">
        <f>'[4]Other Assumptions'!F85</f>
        <v>0</v>
      </c>
      <c r="E47" s="20">
        <f>'[4]Other Assumptions'!G85</f>
        <v>0</v>
      </c>
      <c r="F47" s="20">
        <f>'[4]Other Assumptions'!H85</f>
        <v>0</v>
      </c>
      <c r="G47" s="40">
        <f>'[4]Other Assumptions'!I47</f>
        <v>0</v>
      </c>
      <c r="H47" s="40">
        <f>'[4]Other Assumptions'!J47</f>
        <v>0</v>
      </c>
      <c r="I47" s="40">
        <f>'[4]Other Assumptions'!K47</f>
        <v>0</v>
      </c>
      <c r="J47" s="40">
        <f>'[4]Other Assumptions'!L47</f>
        <v>0</v>
      </c>
      <c r="K47" s="40">
        <f>'[4]Other Assumptions'!M47</f>
        <v>0</v>
      </c>
      <c r="L47" s="40">
        <f>'[4]Other Assumptions'!N47</f>
        <v>0</v>
      </c>
      <c r="M47" s="40">
        <f>'[4]Other Assumptions'!O47</f>
        <v>0</v>
      </c>
      <c r="N47" s="40">
        <f>'[4]Other Assumptions'!P47</f>
        <v>0</v>
      </c>
      <c r="O47" s="41">
        <f>'[4]Other Assumptions'!Q47</f>
        <v>0</v>
      </c>
    </row>
    <row r="48" spans="1:15" ht="15.75" x14ac:dyDescent="0.25">
      <c r="A48" s="16" t="s">
        <v>37</v>
      </c>
      <c r="B48" s="19">
        <f>'[4]Other Assumptions'!D86</f>
        <v>0</v>
      </c>
      <c r="C48" s="20">
        <f>'[4]Other Assumptions'!E86</f>
        <v>0</v>
      </c>
      <c r="D48" s="20">
        <f>'[4]Other Assumptions'!F86</f>
        <v>0</v>
      </c>
      <c r="E48" s="20">
        <f>'[4]Other Assumptions'!G86</f>
        <v>0</v>
      </c>
      <c r="F48" s="20">
        <f>'[4]Other Assumptions'!H86</f>
        <v>0</v>
      </c>
      <c r="G48" s="40">
        <f>'[4]Other Assumptions'!I48</f>
        <v>0</v>
      </c>
      <c r="H48" s="40">
        <f>'[4]Other Assumptions'!J48</f>
        <v>0</v>
      </c>
      <c r="I48" s="40">
        <f>'[4]Other Assumptions'!K48</f>
        <v>0</v>
      </c>
      <c r="J48" s="40">
        <f>'[4]Other Assumptions'!L48</f>
        <v>0</v>
      </c>
      <c r="K48" s="40">
        <f>'[4]Other Assumptions'!M48</f>
        <v>0</v>
      </c>
      <c r="L48" s="40">
        <f>'[4]Other Assumptions'!N48</f>
        <v>0</v>
      </c>
      <c r="M48" s="40">
        <f>'[4]Other Assumptions'!O48</f>
        <v>0</v>
      </c>
      <c r="N48" s="40">
        <f>'[4]Other Assumptions'!P48</f>
        <v>0</v>
      </c>
      <c r="O48" s="41">
        <f>'[4]Other Assumptions'!Q48</f>
        <v>0</v>
      </c>
    </row>
    <row r="49" spans="1:15" ht="15.75" x14ac:dyDescent="0.25">
      <c r="A49" s="16" t="s">
        <v>38</v>
      </c>
      <c r="B49" s="19">
        <f>'[4]Other Assumptions'!D87</f>
        <v>0</v>
      </c>
      <c r="C49" s="20">
        <f>'[4]Other Assumptions'!E87</f>
        <v>0</v>
      </c>
      <c r="D49" s="20">
        <f>'[4]Other Assumptions'!F87</f>
        <v>0</v>
      </c>
      <c r="E49" s="20">
        <f>'[4]Other Assumptions'!G87</f>
        <v>0</v>
      </c>
      <c r="F49" s="20">
        <f>'[4]Other Assumptions'!H87</f>
        <v>0</v>
      </c>
      <c r="G49" s="40">
        <f>'[4]Other Assumptions'!I49</f>
        <v>0</v>
      </c>
      <c r="H49" s="40">
        <f>'[4]Other Assumptions'!J49</f>
        <v>0</v>
      </c>
      <c r="I49" s="40">
        <f>'[4]Other Assumptions'!K49</f>
        <v>0</v>
      </c>
      <c r="J49" s="40">
        <f>'[4]Other Assumptions'!L49</f>
        <v>0</v>
      </c>
      <c r="K49" s="40">
        <f>'[4]Other Assumptions'!M49</f>
        <v>0</v>
      </c>
      <c r="L49" s="40">
        <f>'[4]Other Assumptions'!N49</f>
        <v>0</v>
      </c>
      <c r="M49" s="40">
        <f>'[4]Other Assumptions'!O49</f>
        <v>0</v>
      </c>
      <c r="N49" s="40">
        <f>'[4]Other Assumptions'!P49</f>
        <v>0</v>
      </c>
      <c r="O49" s="41">
        <f>'[4]Other Assumptions'!Q49</f>
        <v>0</v>
      </c>
    </row>
    <row r="50" spans="1:15" ht="15.75" x14ac:dyDescent="0.25">
      <c r="A50" s="16" t="s">
        <v>39</v>
      </c>
      <c r="B50" s="19">
        <f>'[4]Other Assumptions'!D88</f>
        <v>0</v>
      </c>
      <c r="C50" s="20">
        <f>'[4]Other Assumptions'!E88</f>
        <v>0</v>
      </c>
      <c r="D50" s="20">
        <f>'[4]Other Assumptions'!F88</f>
        <v>0</v>
      </c>
      <c r="E50" s="20">
        <f>'[4]Other Assumptions'!G88</f>
        <v>0</v>
      </c>
      <c r="F50" s="20">
        <f>'[4]Other Assumptions'!H88</f>
        <v>0</v>
      </c>
      <c r="G50" s="40">
        <f>'[4]Other Assumptions'!I50</f>
        <v>0</v>
      </c>
      <c r="H50" s="40">
        <f>'[4]Other Assumptions'!J50</f>
        <v>0</v>
      </c>
      <c r="I50" s="40">
        <f>'[4]Other Assumptions'!K50</f>
        <v>0</v>
      </c>
      <c r="J50" s="40">
        <f>'[4]Other Assumptions'!L50</f>
        <v>0</v>
      </c>
      <c r="K50" s="40">
        <f>'[4]Other Assumptions'!M50</f>
        <v>0</v>
      </c>
      <c r="L50" s="40">
        <f>'[4]Other Assumptions'!N50</f>
        <v>0</v>
      </c>
      <c r="M50" s="40">
        <f>'[4]Other Assumptions'!O50</f>
        <v>0</v>
      </c>
      <c r="N50" s="40">
        <f>'[4]Other Assumptions'!P50</f>
        <v>0</v>
      </c>
      <c r="O50" s="41">
        <f>'[4]Other Assumptions'!Q50</f>
        <v>0</v>
      </c>
    </row>
    <row r="51" spans="1:15" ht="15.75" x14ac:dyDescent="0.25">
      <c r="A51" s="16" t="s">
        <v>40</v>
      </c>
      <c r="B51" s="19">
        <f>'[4]Other Assumptions'!D89</f>
        <v>0</v>
      </c>
      <c r="C51" s="20">
        <f>'[4]Other Assumptions'!E89</f>
        <v>0</v>
      </c>
      <c r="D51" s="20">
        <f>'[4]Other Assumptions'!F89</f>
        <v>0</v>
      </c>
      <c r="E51" s="20">
        <f>'[4]Other Assumptions'!G89</f>
        <v>0</v>
      </c>
      <c r="F51" s="20">
        <f>'[4]Other Assumptions'!H89</f>
        <v>0</v>
      </c>
      <c r="G51" s="40">
        <f>'[4]Other Assumptions'!I51</f>
        <v>0</v>
      </c>
      <c r="H51" s="40">
        <f>'[4]Other Assumptions'!J51</f>
        <v>0</v>
      </c>
      <c r="I51" s="40">
        <f>'[4]Other Assumptions'!K51</f>
        <v>0</v>
      </c>
      <c r="J51" s="40">
        <f>'[4]Other Assumptions'!L51</f>
        <v>0</v>
      </c>
      <c r="K51" s="40">
        <f>'[4]Other Assumptions'!M51</f>
        <v>0</v>
      </c>
      <c r="L51" s="40">
        <f>'[4]Other Assumptions'!N51</f>
        <v>0</v>
      </c>
      <c r="M51" s="40">
        <f>'[4]Other Assumptions'!O51</f>
        <v>0</v>
      </c>
      <c r="N51" s="40">
        <f>'[4]Other Assumptions'!P51</f>
        <v>0</v>
      </c>
      <c r="O51" s="41">
        <f>'[4]Other Assumptions'!Q51</f>
        <v>0</v>
      </c>
    </row>
    <row r="52" spans="1:15" ht="15.75" x14ac:dyDescent="0.25">
      <c r="A52" s="16" t="s">
        <v>41</v>
      </c>
      <c r="B52" s="19">
        <f>'[4]Other Assumptions'!D90</f>
        <v>0</v>
      </c>
      <c r="C52" s="20">
        <f>'[4]Other Assumptions'!E90</f>
        <v>0</v>
      </c>
      <c r="D52" s="20">
        <f>'[4]Other Assumptions'!F90</f>
        <v>0</v>
      </c>
      <c r="E52" s="20">
        <f>'[4]Other Assumptions'!G90</f>
        <v>0</v>
      </c>
      <c r="F52" s="20">
        <f>'[4]Other Assumptions'!H90</f>
        <v>0</v>
      </c>
      <c r="G52" s="40">
        <f>'[4]Other Assumptions'!I52</f>
        <v>0</v>
      </c>
      <c r="H52" s="40">
        <f>'[4]Other Assumptions'!J52</f>
        <v>0</v>
      </c>
      <c r="I52" s="40">
        <f>'[4]Other Assumptions'!K52</f>
        <v>0</v>
      </c>
      <c r="J52" s="40">
        <f>'[4]Other Assumptions'!L52</f>
        <v>0</v>
      </c>
      <c r="K52" s="40">
        <f>'[4]Other Assumptions'!M52</f>
        <v>0</v>
      </c>
      <c r="L52" s="40">
        <f>'[4]Other Assumptions'!N52</f>
        <v>0</v>
      </c>
      <c r="M52" s="40">
        <f>'[4]Other Assumptions'!O52</f>
        <v>0</v>
      </c>
      <c r="N52" s="40">
        <f>'[4]Other Assumptions'!P52</f>
        <v>0</v>
      </c>
      <c r="O52" s="41">
        <f>'[4]Other Assumptions'!Q52</f>
        <v>0</v>
      </c>
    </row>
    <row r="53" spans="1:15" ht="15.75" x14ac:dyDescent="0.25">
      <c r="A53" s="16" t="s">
        <v>42</v>
      </c>
      <c r="B53" s="19">
        <f>'[4]Other Assumptions'!D91</f>
        <v>0</v>
      </c>
      <c r="C53" s="20">
        <f>'[4]Other Assumptions'!E91</f>
        <v>0</v>
      </c>
      <c r="D53" s="20">
        <f>'[4]Other Assumptions'!F91</f>
        <v>0</v>
      </c>
      <c r="E53" s="20">
        <f>'[4]Other Assumptions'!G91</f>
        <v>0</v>
      </c>
      <c r="F53" s="20">
        <f>'[4]Other Assumptions'!H91</f>
        <v>0</v>
      </c>
      <c r="G53" s="40">
        <f>'[4]Other Assumptions'!I53</f>
        <v>0</v>
      </c>
      <c r="H53" s="40">
        <f>'[4]Other Assumptions'!J53</f>
        <v>0</v>
      </c>
      <c r="I53" s="40">
        <f>'[4]Other Assumptions'!K53</f>
        <v>0</v>
      </c>
      <c r="J53" s="40">
        <f>'[4]Other Assumptions'!L53</f>
        <v>0</v>
      </c>
      <c r="K53" s="40">
        <f>'[4]Other Assumptions'!M53</f>
        <v>0</v>
      </c>
      <c r="L53" s="40">
        <f>'[4]Other Assumptions'!N53</f>
        <v>0</v>
      </c>
      <c r="M53" s="40">
        <f>'[4]Other Assumptions'!O53</f>
        <v>0</v>
      </c>
      <c r="N53" s="40">
        <f>'[4]Other Assumptions'!P53</f>
        <v>0</v>
      </c>
      <c r="O53" s="41">
        <f>'[4]Other Assumptions'!Q53</f>
        <v>0</v>
      </c>
    </row>
    <row r="54" spans="1:15" ht="15.75" x14ac:dyDescent="0.25">
      <c r="A54" s="16" t="s">
        <v>43</v>
      </c>
      <c r="B54" s="19">
        <f>'[4]Other Assumptions'!D92</f>
        <v>0</v>
      </c>
      <c r="C54" s="20">
        <f>'[4]Other Assumptions'!E92</f>
        <v>0</v>
      </c>
      <c r="D54" s="20">
        <f>'[4]Other Assumptions'!F92</f>
        <v>0</v>
      </c>
      <c r="E54" s="20">
        <f>'[4]Other Assumptions'!G92</f>
        <v>0</v>
      </c>
      <c r="F54" s="20">
        <f>'[4]Other Assumptions'!H92</f>
        <v>0</v>
      </c>
      <c r="G54" s="40">
        <f>'[4]Other Assumptions'!I54</f>
        <v>0</v>
      </c>
      <c r="H54" s="40">
        <f>'[4]Other Assumptions'!J54</f>
        <v>0</v>
      </c>
      <c r="I54" s="40">
        <f>'[4]Other Assumptions'!K54</f>
        <v>0</v>
      </c>
      <c r="J54" s="40">
        <f>'[4]Other Assumptions'!L54</f>
        <v>0</v>
      </c>
      <c r="K54" s="40">
        <f>'[4]Other Assumptions'!M54</f>
        <v>0</v>
      </c>
      <c r="L54" s="40">
        <f>'[4]Other Assumptions'!N54</f>
        <v>0</v>
      </c>
      <c r="M54" s="40">
        <f>'[4]Other Assumptions'!O54</f>
        <v>0</v>
      </c>
      <c r="N54" s="40">
        <f>'[4]Other Assumptions'!P54</f>
        <v>0</v>
      </c>
      <c r="O54" s="41">
        <f>'[4]Other Assumptions'!Q54</f>
        <v>0</v>
      </c>
    </row>
    <row r="55" spans="1:15" ht="15.75" x14ac:dyDescent="0.25">
      <c r="A55" s="16" t="s">
        <v>44</v>
      </c>
      <c r="B55" s="19">
        <f>'[4]Other Assumptions'!D93</f>
        <v>0</v>
      </c>
      <c r="C55" s="20">
        <f>'[4]Other Assumptions'!E93</f>
        <v>0</v>
      </c>
      <c r="D55" s="20">
        <f>'[4]Other Assumptions'!F93</f>
        <v>0</v>
      </c>
      <c r="E55" s="20">
        <f>'[4]Other Assumptions'!G93</f>
        <v>0</v>
      </c>
      <c r="F55" s="20">
        <f>'[4]Other Assumptions'!H93</f>
        <v>0</v>
      </c>
      <c r="G55" s="40">
        <f>'[4]Other Assumptions'!I55</f>
        <v>0</v>
      </c>
      <c r="H55" s="40">
        <f>'[4]Other Assumptions'!J55</f>
        <v>0</v>
      </c>
      <c r="I55" s="40">
        <f>'[4]Other Assumptions'!K55</f>
        <v>0</v>
      </c>
      <c r="J55" s="40">
        <f>'[4]Other Assumptions'!L55</f>
        <v>0</v>
      </c>
      <c r="K55" s="40">
        <f>'[4]Other Assumptions'!M55</f>
        <v>0</v>
      </c>
      <c r="L55" s="40">
        <f>'[4]Other Assumptions'!N55</f>
        <v>0</v>
      </c>
      <c r="M55" s="40">
        <f>'[4]Other Assumptions'!O55</f>
        <v>0</v>
      </c>
      <c r="N55" s="40">
        <f>'[4]Other Assumptions'!P55</f>
        <v>0</v>
      </c>
      <c r="O55" s="41">
        <f>'[4]Other Assumptions'!Q55</f>
        <v>0</v>
      </c>
    </row>
    <row r="56" spans="1:15" ht="15.75" x14ac:dyDescent="0.25">
      <c r="A56" s="16" t="s">
        <v>45</v>
      </c>
      <c r="B56" s="19">
        <f>'[4]Other Assumptions'!D94</f>
        <v>0</v>
      </c>
      <c r="C56" s="20">
        <f>'[4]Other Assumptions'!E94</f>
        <v>0</v>
      </c>
      <c r="D56" s="20">
        <f>'[4]Other Assumptions'!F94</f>
        <v>0</v>
      </c>
      <c r="E56" s="20">
        <f>'[4]Other Assumptions'!G94</f>
        <v>0</v>
      </c>
      <c r="F56" s="20">
        <f>'[4]Other Assumptions'!H94</f>
        <v>0</v>
      </c>
      <c r="G56" s="40">
        <f>'[4]Other Assumptions'!I56</f>
        <v>0</v>
      </c>
      <c r="H56" s="40">
        <f>'[4]Other Assumptions'!J56</f>
        <v>0</v>
      </c>
      <c r="I56" s="40">
        <f>'[4]Other Assumptions'!K56</f>
        <v>0</v>
      </c>
      <c r="J56" s="40">
        <f>'[4]Other Assumptions'!L56</f>
        <v>0</v>
      </c>
      <c r="K56" s="40">
        <f>'[4]Other Assumptions'!M56</f>
        <v>0</v>
      </c>
      <c r="L56" s="40">
        <f>'[4]Other Assumptions'!N56</f>
        <v>0</v>
      </c>
      <c r="M56" s="40">
        <f>'[4]Other Assumptions'!O56</f>
        <v>0</v>
      </c>
      <c r="N56" s="40">
        <f>'[4]Other Assumptions'!P56</f>
        <v>0</v>
      </c>
      <c r="O56" s="41">
        <f>'[4]Other Assumptions'!Q56</f>
        <v>0</v>
      </c>
    </row>
    <row r="57" spans="1:15" ht="16.5" thickBot="1" x14ac:dyDescent="0.3">
      <c r="A57" s="23" t="s">
        <v>46</v>
      </c>
      <c r="B57" s="24">
        <f>'[4]Other Assumptions'!D95</f>
        <v>0</v>
      </c>
      <c r="C57" s="25">
        <f>'[4]Other Assumptions'!E95</f>
        <v>0</v>
      </c>
      <c r="D57" s="25">
        <f>'[4]Other Assumptions'!F95</f>
        <v>0</v>
      </c>
      <c r="E57" s="25">
        <f>'[4]Other Assumptions'!G95</f>
        <v>0</v>
      </c>
      <c r="F57" s="25">
        <f>'[4]Other Assumptions'!H95</f>
        <v>0</v>
      </c>
      <c r="G57" s="53">
        <f>'[4]Other Assumptions'!I57</f>
        <v>0</v>
      </c>
      <c r="H57" s="53">
        <f>'[4]Other Assumptions'!J57</f>
        <v>0</v>
      </c>
      <c r="I57" s="53">
        <f>'[4]Other Assumptions'!K57</f>
        <v>0</v>
      </c>
      <c r="J57" s="53">
        <f>'[4]Other Assumptions'!L57</f>
        <v>0</v>
      </c>
      <c r="K57" s="53">
        <f>'[4]Other Assumptions'!M57</f>
        <v>0</v>
      </c>
      <c r="L57" s="53">
        <f>'[4]Other Assumptions'!N57</f>
        <v>0</v>
      </c>
      <c r="M57" s="53">
        <f>'[4]Other Assumptions'!O57</f>
        <v>0</v>
      </c>
      <c r="N57" s="53">
        <f>'[4]Other Assumptions'!P57</f>
        <v>0</v>
      </c>
      <c r="O57" s="54">
        <f>'[4]Other Assumptions'!Q57</f>
        <v>0</v>
      </c>
    </row>
    <row r="58" spans="1:15" ht="13.5" thickTop="1" x14ac:dyDescent="0.2"/>
    <row r="59" spans="1:15" ht="13.5" thickBot="1" x14ac:dyDescent="0.25"/>
    <row r="60" spans="1:15" ht="16.5" thickTop="1" x14ac:dyDescent="0.25">
      <c r="A60" s="6" t="s">
        <v>47</v>
      </c>
      <c r="B60" s="7"/>
      <c r="C60" s="8"/>
      <c r="D60" s="8"/>
      <c r="E60" s="8"/>
      <c r="F60" s="8"/>
      <c r="G60" s="7"/>
      <c r="H60" s="7"/>
      <c r="I60" s="7"/>
      <c r="J60" s="7"/>
      <c r="K60" s="7"/>
      <c r="L60" s="7"/>
      <c r="M60" s="7"/>
      <c r="N60" s="7"/>
      <c r="O60" s="9"/>
    </row>
    <row r="61" spans="1:15" ht="13.5" thickBot="1" x14ac:dyDescent="0.25">
      <c r="A61" s="10"/>
      <c r="B61" s="11" t="s">
        <v>22</v>
      </c>
      <c r="C61" s="11" t="s">
        <v>23</v>
      </c>
      <c r="D61" s="11" t="s">
        <v>24</v>
      </c>
      <c r="E61" s="11" t="s">
        <v>118</v>
      </c>
      <c r="F61" s="11" t="s">
        <v>119</v>
      </c>
      <c r="G61" s="11" t="s">
        <v>25</v>
      </c>
      <c r="H61" s="11" t="s">
        <v>26</v>
      </c>
      <c r="I61" s="11" t="s">
        <v>27</v>
      </c>
      <c r="J61" s="11" t="s">
        <v>28</v>
      </c>
      <c r="K61" s="11" t="s">
        <v>29</v>
      </c>
      <c r="L61" s="11" t="s">
        <v>30</v>
      </c>
      <c r="M61" s="11" t="s">
        <v>120</v>
      </c>
      <c r="N61" s="11" t="s">
        <v>121</v>
      </c>
      <c r="O61" s="12" t="s">
        <v>122</v>
      </c>
    </row>
    <row r="62" spans="1:15" ht="14.25" thickTop="1" thickBot="1" x14ac:dyDescent="0.25">
      <c r="A62" s="13"/>
      <c r="B62" s="14" t="s">
        <v>31</v>
      </c>
      <c r="C62" s="14" t="s">
        <v>31</v>
      </c>
      <c r="D62" s="14" t="s">
        <v>31</v>
      </c>
      <c r="E62" s="14" t="s">
        <v>31</v>
      </c>
      <c r="F62" s="14" t="s">
        <v>31</v>
      </c>
      <c r="G62" s="14" t="s">
        <v>32</v>
      </c>
      <c r="H62" s="14" t="s">
        <v>32</v>
      </c>
      <c r="I62" s="14" t="s">
        <v>32</v>
      </c>
      <c r="J62" s="14" t="s">
        <v>32</v>
      </c>
      <c r="K62" s="14" t="s">
        <v>32</v>
      </c>
      <c r="L62" s="14" t="s">
        <v>32</v>
      </c>
      <c r="M62" s="14" t="s">
        <v>32</v>
      </c>
      <c r="N62" s="14" t="s">
        <v>32</v>
      </c>
      <c r="O62" s="15" t="s">
        <v>32</v>
      </c>
    </row>
    <row r="63" spans="1:15" ht="13.5" thickTop="1" x14ac:dyDescent="0.2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</row>
    <row r="64" spans="1:15" ht="15.75" x14ac:dyDescent="0.25">
      <c r="A64" s="16" t="s">
        <v>34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0"/>
    </row>
    <row r="65" spans="1:15" ht="15.75" x14ac:dyDescent="0.25">
      <c r="A65" s="16" t="s">
        <v>48</v>
      </c>
      <c r="B65" s="31"/>
      <c r="C65" s="31"/>
      <c r="D65" s="31"/>
      <c r="E65" s="31"/>
      <c r="F65" s="31"/>
      <c r="G65" s="31"/>
      <c r="H65" s="29"/>
      <c r="I65" s="29"/>
      <c r="J65" s="29"/>
      <c r="K65" s="29"/>
      <c r="L65" s="29"/>
      <c r="M65" s="33"/>
      <c r="N65" s="33"/>
      <c r="O65" s="55"/>
    </row>
    <row r="66" spans="1:15" ht="15.75" x14ac:dyDescent="0.25">
      <c r="A66" s="16" t="s">
        <v>49</v>
      </c>
      <c r="B66" s="29"/>
      <c r="C66" s="29"/>
      <c r="D66" s="29"/>
      <c r="E66" s="29"/>
      <c r="F66" s="29"/>
      <c r="G66" s="40">
        <f>'[4]Other Assumptions'!I66</f>
        <v>0</v>
      </c>
      <c r="H66" s="40">
        <f>'[4]Other Assumptions'!J66</f>
        <v>0</v>
      </c>
      <c r="I66" s="40">
        <f>'[4]Other Assumptions'!K66</f>
        <v>0</v>
      </c>
      <c r="J66" s="40">
        <f>'[4]Other Assumptions'!L66</f>
        <v>0</v>
      </c>
      <c r="K66" s="40">
        <f>'[4]Other Assumptions'!M66</f>
        <v>0</v>
      </c>
      <c r="L66" s="40">
        <f>'[4]Other Assumptions'!N66</f>
        <v>0</v>
      </c>
      <c r="M66" s="40">
        <f>'[4]Other Assumptions'!O66</f>
        <v>0</v>
      </c>
      <c r="N66" s="40">
        <f>'[4]Other Assumptions'!P66</f>
        <v>0</v>
      </c>
      <c r="O66" s="41">
        <f>'[4]Other Assumptions'!Q66</f>
        <v>0</v>
      </c>
    </row>
    <row r="67" spans="1:15" ht="15.75" x14ac:dyDescent="0.25">
      <c r="A67" s="16" t="s">
        <v>50</v>
      </c>
      <c r="B67" s="29"/>
      <c r="C67" s="29"/>
      <c r="D67" s="29"/>
      <c r="E67" s="29"/>
      <c r="F67" s="29"/>
      <c r="G67" s="40">
        <f>'[4]Other Assumptions'!I67</f>
        <v>0</v>
      </c>
      <c r="H67" s="40">
        <f>'[4]Other Assumptions'!J67</f>
        <v>0</v>
      </c>
      <c r="I67" s="40">
        <f>'[4]Other Assumptions'!K67</f>
        <v>0</v>
      </c>
      <c r="J67" s="40">
        <f>'[4]Other Assumptions'!L67</f>
        <v>0</v>
      </c>
      <c r="K67" s="40">
        <f>'[4]Other Assumptions'!M67</f>
        <v>0</v>
      </c>
      <c r="L67" s="40">
        <f>'[4]Other Assumptions'!N67</f>
        <v>0</v>
      </c>
      <c r="M67" s="40">
        <f>'[4]Other Assumptions'!O67</f>
        <v>0</v>
      </c>
      <c r="N67" s="40">
        <f>'[4]Other Assumptions'!P67</f>
        <v>0</v>
      </c>
      <c r="O67" s="41">
        <f>'[4]Other Assumptions'!Q67</f>
        <v>0</v>
      </c>
    </row>
    <row r="68" spans="1:15" ht="15.75" x14ac:dyDescent="0.25">
      <c r="A68" s="16" t="s">
        <v>51</v>
      </c>
      <c r="B68" s="29"/>
      <c r="C68" s="29"/>
      <c r="D68" s="29"/>
      <c r="E68" s="29"/>
      <c r="F68" s="29"/>
      <c r="G68" s="33"/>
      <c r="H68" s="33"/>
      <c r="I68" s="33"/>
      <c r="J68" s="33"/>
      <c r="K68" s="33"/>
      <c r="L68" s="33"/>
      <c r="M68" s="33"/>
      <c r="N68" s="33"/>
      <c r="O68" s="55"/>
    </row>
    <row r="69" spans="1:15" ht="15.75" x14ac:dyDescent="0.25">
      <c r="A69" s="16" t="s">
        <v>52</v>
      </c>
      <c r="B69" s="29"/>
      <c r="C69" s="29"/>
      <c r="D69" s="29"/>
      <c r="E69" s="29"/>
      <c r="F69" s="29"/>
      <c r="G69" s="40">
        <f>'[4]Other Assumptions'!I69</f>
        <v>0</v>
      </c>
      <c r="H69" s="40">
        <f>'[4]Other Assumptions'!J69</f>
        <v>0</v>
      </c>
      <c r="I69" s="40">
        <f>'[4]Other Assumptions'!K69</f>
        <v>0</v>
      </c>
      <c r="J69" s="40">
        <f>'[4]Other Assumptions'!L69</f>
        <v>0</v>
      </c>
      <c r="K69" s="40">
        <f>'[4]Other Assumptions'!M69</f>
        <v>0</v>
      </c>
      <c r="L69" s="40">
        <f>'[4]Other Assumptions'!N69</f>
        <v>0</v>
      </c>
      <c r="M69" s="40">
        <f>'[4]Other Assumptions'!O69</f>
        <v>0</v>
      </c>
      <c r="N69" s="40">
        <f>'[4]Other Assumptions'!P69</f>
        <v>0</v>
      </c>
      <c r="O69" s="41">
        <f>'[4]Other Assumptions'!Q69</f>
        <v>0</v>
      </c>
    </row>
    <row r="70" spans="1:15" ht="15.75" x14ac:dyDescent="0.25">
      <c r="A70" s="16" t="s">
        <v>53</v>
      </c>
      <c r="B70" s="29"/>
      <c r="C70" s="29"/>
      <c r="D70" s="29"/>
      <c r="E70" s="29"/>
      <c r="F70" s="29"/>
      <c r="G70" s="40">
        <f>'[4]Other Assumptions'!I70</f>
        <v>0</v>
      </c>
      <c r="H70" s="40">
        <f>'[4]Other Assumptions'!J70</f>
        <v>0</v>
      </c>
      <c r="I70" s="40">
        <f>'[4]Other Assumptions'!K70</f>
        <v>0</v>
      </c>
      <c r="J70" s="40">
        <f>'[4]Other Assumptions'!L70</f>
        <v>0</v>
      </c>
      <c r="K70" s="40">
        <f>'[4]Other Assumptions'!M70</f>
        <v>0</v>
      </c>
      <c r="L70" s="40">
        <f>'[4]Other Assumptions'!N70</f>
        <v>0</v>
      </c>
      <c r="M70" s="40">
        <f>'[4]Other Assumptions'!O70</f>
        <v>0</v>
      </c>
      <c r="N70" s="40">
        <f>'[4]Other Assumptions'!P70</f>
        <v>0</v>
      </c>
      <c r="O70" s="41">
        <f>'[4]Other Assumptions'!Q70</f>
        <v>0</v>
      </c>
    </row>
    <row r="71" spans="1:15" ht="15.75" x14ac:dyDescent="0.25">
      <c r="A71" s="16" t="s">
        <v>54</v>
      </c>
      <c r="B71" s="29"/>
      <c r="C71" s="29"/>
      <c r="D71" s="29"/>
      <c r="E71" s="29"/>
      <c r="F71" s="29"/>
      <c r="G71" s="40">
        <f>'[4]Other Assumptions'!I71</f>
        <v>0</v>
      </c>
      <c r="H71" s="40">
        <f>'[4]Other Assumptions'!J71</f>
        <v>0</v>
      </c>
      <c r="I71" s="40">
        <f>'[4]Other Assumptions'!K71</f>
        <v>0</v>
      </c>
      <c r="J71" s="40">
        <f>'[4]Other Assumptions'!L71</f>
        <v>0</v>
      </c>
      <c r="K71" s="40">
        <f>'[4]Other Assumptions'!M71</f>
        <v>0</v>
      </c>
      <c r="L71" s="40">
        <f>'[4]Other Assumptions'!N71</f>
        <v>0</v>
      </c>
      <c r="M71" s="40">
        <f>'[4]Other Assumptions'!O71</f>
        <v>0</v>
      </c>
      <c r="N71" s="40">
        <f>'[4]Other Assumptions'!P71</f>
        <v>0</v>
      </c>
      <c r="O71" s="41">
        <f>'[4]Other Assumptions'!Q71</f>
        <v>0</v>
      </c>
    </row>
    <row r="72" spans="1:15" ht="15.75" x14ac:dyDescent="0.25">
      <c r="A72" s="16" t="s">
        <v>55</v>
      </c>
      <c r="B72" s="29"/>
      <c r="C72" s="29"/>
      <c r="D72" s="29"/>
      <c r="E72" s="29"/>
      <c r="F72" s="29"/>
      <c r="G72" s="40">
        <f>'[4]Other Assumptions'!I72</f>
        <v>0</v>
      </c>
      <c r="H72" s="40">
        <f>'[4]Other Assumptions'!J72</f>
        <v>0</v>
      </c>
      <c r="I72" s="40">
        <f>'[4]Other Assumptions'!K72</f>
        <v>0</v>
      </c>
      <c r="J72" s="40">
        <f>'[4]Other Assumptions'!L72</f>
        <v>0</v>
      </c>
      <c r="K72" s="40">
        <f>'[4]Other Assumptions'!M72</f>
        <v>0</v>
      </c>
      <c r="L72" s="40">
        <f>'[4]Other Assumptions'!N72</f>
        <v>0</v>
      </c>
      <c r="M72" s="40">
        <f>'[4]Other Assumptions'!O72</f>
        <v>0</v>
      </c>
      <c r="N72" s="40">
        <f>'[4]Other Assumptions'!P72</f>
        <v>0</v>
      </c>
      <c r="O72" s="41">
        <f>'[4]Other Assumptions'!Q72</f>
        <v>0</v>
      </c>
    </row>
    <row r="73" spans="1:15" ht="15.75" x14ac:dyDescent="0.25">
      <c r="A73" s="16" t="s">
        <v>56</v>
      </c>
      <c r="B73" s="29"/>
      <c r="C73" s="29"/>
      <c r="D73" s="29"/>
      <c r="E73" s="29"/>
      <c r="F73" s="29"/>
      <c r="G73" s="40">
        <f>'[4]Other Assumptions'!I73</f>
        <v>0</v>
      </c>
      <c r="H73" s="40">
        <f>'[4]Other Assumptions'!J73</f>
        <v>0</v>
      </c>
      <c r="I73" s="40">
        <f>'[4]Other Assumptions'!K73</f>
        <v>0</v>
      </c>
      <c r="J73" s="40">
        <f>'[4]Other Assumptions'!L73</f>
        <v>0</v>
      </c>
      <c r="K73" s="40">
        <f>'[4]Other Assumptions'!M73</f>
        <v>0</v>
      </c>
      <c r="L73" s="40">
        <f>'[4]Other Assumptions'!N73</f>
        <v>0</v>
      </c>
      <c r="M73" s="40">
        <f>'[4]Other Assumptions'!O73</f>
        <v>0</v>
      </c>
      <c r="N73" s="40">
        <f>'[4]Other Assumptions'!P73</f>
        <v>0</v>
      </c>
      <c r="O73" s="41">
        <f>'[4]Other Assumptions'!Q73</f>
        <v>0</v>
      </c>
    </row>
    <row r="74" spans="1:15" x14ac:dyDescent="0.2">
      <c r="A74" s="32"/>
      <c r="B74" s="29"/>
      <c r="C74" s="29"/>
      <c r="D74" s="29"/>
      <c r="E74" s="29"/>
      <c r="F74" s="29"/>
      <c r="G74" s="33"/>
      <c r="H74" s="33"/>
      <c r="I74" s="33"/>
      <c r="J74" s="33"/>
      <c r="K74" s="33"/>
      <c r="L74" s="33"/>
      <c r="M74" s="33"/>
      <c r="N74" s="33"/>
      <c r="O74" s="55"/>
    </row>
    <row r="75" spans="1:15" ht="15.75" x14ac:dyDescent="0.25">
      <c r="A75" s="16" t="s">
        <v>41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3"/>
      <c r="N75" s="33"/>
      <c r="O75" s="55"/>
    </row>
    <row r="76" spans="1:15" ht="15.75" x14ac:dyDescent="0.25">
      <c r="A76" s="16" t="s">
        <v>48</v>
      </c>
      <c r="B76" s="31"/>
      <c r="C76" s="31"/>
      <c r="D76" s="31"/>
      <c r="E76" s="31"/>
      <c r="F76" s="31"/>
      <c r="G76" s="31"/>
      <c r="H76" s="33"/>
      <c r="I76" s="29"/>
      <c r="J76" s="29"/>
      <c r="K76" s="29"/>
      <c r="L76" s="29"/>
      <c r="M76" s="33"/>
      <c r="N76" s="33"/>
      <c r="O76" s="55"/>
    </row>
    <row r="77" spans="1:15" ht="15.75" x14ac:dyDescent="0.25">
      <c r="A77" s="16" t="s">
        <v>49</v>
      </c>
      <c r="B77" s="29"/>
      <c r="C77" s="29"/>
      <c r="D77" s="29"/>
      <c r="E77" s="29"/>
      <c r="F77" s="29"/>
      <c r="G77" s="40">
        <f>'[4]Other Assumptions'!I77</f>
        <v>0</v>
      </c>
      <c r="H77" s="40">
        <f>'[4]Other Assumptions'!J77</f>
        <v>0</v>
      </c>
      <c r="I77" s="40">
        <f>'[4]Other Assumptions'!K77</f>
        <v>0</v>
      </c>
      <c r="J77" s="40">
        <f>'[4]Other Assumptions'!L77</f>
        <v>0</v>
      </c>
      <c r="K77" s="40">
        <f>'[4]Other Assumptions'!M77</f>
        <v>0</v>
      </c>
      <c r="L77" s="40">
        <f>'[4]Other Assumptions'!N77</f>
        <v>0</v>
      </c>
      <c r="M77" s="40">
        <f>'[4]Other Assumptions'!O77</f>
        <v>0</v>
      </c>
      <c r="N77" s="40">
        <f>'[4]Other Assumptions'!P77</f>
        <v>0</v>
      </c>
      <c r="O77" s="41">
        <f>'[4]Other Assumptions'!Q77</f>
        <v>0</v>
      </c>
    </row>
    <row r="78" spans="1:15" ht="15.75" x14ac:dyDescent="0.25">
      <c r="A78" s="16" t="s">
        <v>50</v>
      </c>
      <c r="B78" s="29"/>
      <c r="C78" s="29"/>
      <c r="D78" s="29"/>
      <c r="E78" s="29"/>
      <c r="F78" s="29"/>
      <c r="G78" s="40">
        <f>'[4]Other Assumptions'!I78</f>
        <v>0</v>
      </c>
      <c r="H78" s="40">
        <f>'[4]Other Assumptions'!J78</f>
        <v>0</v>
      </c>
      <c r="I78" s="40">
        <f>'[4]Other Assumptions'!K78</f>
        <v>0</v>
      </c>
      <c r="J78" s="40">
        <f>'[4]Other Assumptions'!L78</f>
        <v>0</v>
      </c>
      <c r="K78" s="40">
        <f>'[4]Other Assumptions'!M78</f>
        <v>0</v>
      </c>
      <c r="L78" s="40">
        <f>'[4]Other Assumptions'!N78</f>
        <v>0</v>
      </c>
      <c r="M78" s="40">
        <f>'[4]Other Assumptions'!O78</f>
        <v>0</v>
      </c>
      <c r="N78" s="40">
        <f>'[4]Other Assumptions'!P78</f>
        <v>0</v>
      </c>
      <c r="O78" s="41">
        <f>'[4]Other Assumptions'!Q78</f>
        <v>0</v>
      </c>
    </row>
    <row r="79" spans="1:15" ht="15.75" x14ac:dyDescent="0.25">
      <c r="A79" s="16" t="s">
        <v>51</v>
      </c>
      <c r="B79" s="29"/>
      <c r="C79" s="29"/>
      <c r="D79" s="29"/>
      <c r="E79" s="29"/>
      <c r="F79" s="29"/>
      <c r="G79" s="33"/>
      <c r="H79" s="33"/>
      <c r="I79" s="33"/>
      <c r="J79" s="33"/>
      <c r="K79" s="33"/>
      <c r="L79" s="33"/>
      <c r="M79" s="33"/>
      <c r="N79" s="33"/>
      <c r="O79" s="55"/>
    </row>
    <row r="80" spans="1:15" ht="15.75" x14ac:dyDescent="0.25">
      <c r="A80" s="16" t="s">
        <v>52</v>
      </c>
      <c r="B80" s="29"/>
      <c r="C80" s="29"/>
      <c r="D80" s="29"/>
      <c r="E80" s="29"/>
      <c r="F80" s="29"/>
      <c r="G80" s="40">
        <f>'[4]Other Assumptions'!I80</f>
        <v>0</v>
      </c>
      <c r="H80" s="40">
        <f>'[4]Other Assumptions'!J80</f>
        <v>0</v>
      </c>
      <c r="I80" s="40">
        <f>'[4]Other Assumptions'!K80</f>
        <v>0</v>
      </c>
      <c r="J80" s="40">
        <f>'[4]Other Assumptions'!L80</f>
        <v>0</v>
      </c>
      <c r="K80" s="40">
        <f>'[4]Other Assumptions'!M80</f>
        <v>0</v>
      </c>
      <c r="L80" s="40">
        <f>'[4]Other Assumptions'!N80</f>
        <v>0</v>
      </c>
      <c r="M80" s="40">
        <f>'[4]Other Assumptions'!O80</f>
        <v>0</v>
      </c>
      <c r="N80" s="40">
        <f>'[4]Other Assumptions'!P80</f>
        <v>0</v>
      </c>
      <c r="O80" s="41">
        <f>'[4]Other Assumptions'!Q80</f>
        <v>0</v>
      </c>
    </row>
    <row r="81" spans="1:15" ht="15.75" x14ac:dyDescent="0.25">
      <c r="A81" s="16" t="s">
        <v>53</v>
      </c>
      <c r="B81" s="29"/>
      <c r="C81" s="29"/>
      <c r="D81" s="29"/>
      <c r="E81" s="29"/>
      <c r="F81" s="29"/>
      <c r="G81" s="40">
        <f>'[4]Other Assumptions'!I81</f>
        <v>0</v>
      </c>
      <c r="H81" s="40">
        <f>'[4]Other Assumptions'!J81</f>
        <v>0</v>
      </c>
      <c r="I81" s="40">
        <f>'[4]Other Assumptions'!K81</f>
        <v>0</v>
      </c>
      <c r="J81" s="40">
        <f>'[4]Other Assumptions'!L81</f>
        <v>0</v>
      </c>
      <c r="K81" s="40">
        <f>'[4]Other Assumptions'!M81</f>
        <v>0</v>
      </c>
      <c r="L81" s="40">
        <f>'[4]Other Assumptions'!N81</f>
        <v>0</v>
      </c>
      <c r="M81" s="40">
        <f>'[4]Other Assumptions'!O81</f>
        <v>0</v>
      </c>
      <c r="N81" s="40">
        <f>'[4]Other Assumptions'!P81</f>
        <v>0</v>
      </c>
      <c r="O81" s="41">
        <f>'[4]Other Assumptions'!Q81</f>
        <v>0</v>
      </c>
    </row>
    <row r="82" spans="1:15" ht="15.75" x14ac:dyDescent="0.25">
      <c r="A82" s="16" t="s">
        <v>54</v>
      </c>
      <c r="B82" s="29"/>
      <c r="C82" s="29"/>
      <c r="D82" s="29"/>
      <c r="E82" s="29"/>
      <c r="F82" s="29"/>
      <c r="G82" s="40">
        <f>'[4]Other Assumptions'!I82</f>
        <v>0</v>
      </c>
      <c r="H82" s="40">
        <f>'[4]Other Assumptions'!J82</f>
        <v>0</v>
      </c>
      <c r="I82" s="40">
        <f>'[4]Other Assumptions'!K82</f>
        <v>0</v>
      </c>
      <c r="J82" s="40">
        <f>'[4]Other Assumptions'!L82</f>
        <v>0</v>
      </c>
      <c r="K82" s="40">
        <f>'[4]Other Assumptions'!M82</f>
        <v>0</v>
      </c>
      <c r="L82" s="40">
        <f>'[4]Other Assumptions'!N82</f>
        <v>0</v>
      </c>
      <c r="M82" s="40">
        <f>'[4]Other Assumptions'!O82</f>
        <v>0</v>
      </c>
      <c r="N82" s="40">
        <f>'[4]Other Assumptions'!P82</f>
        <v>0</v>
      </c>
      <c r="O82" s="41">
        <f>'[4]Other Assumptions'!Q82</f>
        <v>0</v>
      </c>
    </row>
    <row r="83" spans="1:15" ht="15.75" x14ac:dyDescent="0.25">
      <c r="A83" s="16" t="s">
        <v>55</v>
      </c>
      <c r="B83" s="29"/>
      <c r="C83" s="29"/>
      <c r="D83" s="29"/>
      <c r="E83" s="29"/>
      <c r="F83" s="29"/>
      <c r="G83" s="40">
        <f>'[4]Other Assumptions'!I83</f>
        <v>0</v>
      </c>
      <c r="H83" s="40">
        <f>'[4]Other Assumptions'!J83</f>
        <v>0</v>
      </c>
      <c r="I83" s="40">
        <f>'[4]Other Assumptions'!K83</f>
        <v>0</v>
      </c>
      <c r="J83" s="40">
        <f>'[4]Other Assumptions'!L83</f>
        <v>0</v>
      </c>
      <c r="K83" s="40">
        <f>'[4]Other Assumptions'!M83</f>
        <v>0</v>
      </c>
      <c r="L83" s="40">
        <f>'[4]Other Assumptions'!N83</f>
        <v>0</v>
      </c>
      <c r="M83" s="40">
        <f>'[4]Other Assumptions'!O83</f>
        <v>0</v>
      </c>
      <c r="N83" s="40">
        <f>'[4]Other Assumptions'!P83</f>
        <v>0</v>
      </c>
      <c r="O83" s="41">
        <f>'[4]Other Assumptions'!Q83</f>
        <v>0</v>
      </c>
    </row>
    <row r="84" spans="1:15" ht="15.75" x14ac:dyDescent="0.25">
      <c r="A84" s="16" t="s">
        <v>56</v>
      </c>
      <c r="B84" s="29"/>
      <c r="C84" s="29"/>
      <c r="D84" s="29"/>
      <c r="E84" s="29"/>
      <c r="F84" s="29"/>
      <c r="G84" s="40">
        <f>'[4]Other Assumptions'!I84</f>
        <v>0</v>
      </c>
      <c r="H84" s="40">
        <f>'[4]Other Assumptions'!J84</f>
        <v>0</v>
      </c>
      <c r="I84" s="40">
        <f>'[4]Other Assumptions'!K84</f>
        <v>0</v>
      </c>
      <c r="J84" s="40">
        <f>'[4]Other Assumptions'!L84</f>
        <v>0</v>
      </c>
      <c r="K84" s="40">
        <f>'[4]Other Assumptions'!M84</f>
        <v>0</v>
      </c>
      <c r="L84" s="40">
        <f>'[4]Other Assumptions'!N84</f>
        <v>0</v>
      </c>
      <c r="M84" s="40">
        <f>'[4]Other Assumptions'!O84</f>
        <v>0</v>
      </c>
      <c r="N84" s="40">
        <f>'[4]Other Assumptions'!P84</f>
        <v>0</v>
      </c>
      <c r="O84" s="41">
        <f>'[4]Other Assumptions'!Q84</f>
        <v>0</v>
      </c>
    </row>
    <row r="85" spans="1:15" x14ac:dyDescent="0.2">
      <c r="A85" s="3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3"/>
      <c r="N85" s="33"/>
      <c r="O85" s="55"/>
    </row>
    <row r="86" spans="1:15" ht="15.75" x14ac:dyDescent="0.25">
      <c r="A86" s="16" t="s">
        <v>44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3"/>
      <c r="N86" s="33"/>
      <c r="O86" s="55"/>
    </row>
    <row r="87" spans="1:15" ht="15.75" x14ac:dyDescent="0.25">
      <c r="A87" s="16" t="s">
        <v>48</v>
      </c>
      <c r="B87" s="31"/>
      <c r="C87" s="31"/>
      <c r="D87" s="31"/>
      <c r="E87" s="31"/>
      <c r="F87" s="31"/>
      <c r="G87" s="31"/>
      <c r="H87" s="29"/>
      <c r="I87" s="29"/>
      <c r="J87" s="29"/>
      <c r="K87" s="29"/>
      <c r="L87" s="29"/>
      <c r="M87" s="33"/>
      <c r="N87" s="33"/>
      <c r="O87" s="55"/>
    </row>
    <row r="88" spans="1:15" ht="15.75" x14ac:dyDescent="0.25">
      <c r="A88" s="16" t="s">
        <v>49</v>
      </c>
      <c r="B88" s="29"/>
      <c r="C88" s="29"/>
      <c r="D88" s="29"/>
      <c r="E88" s="29"/>
      <c r="F88" s="29"/>
      <c r="G88" s="40">
        <f>'[4]Other Assumptions'!I88</f>
        <v>0</v>
      </c>
      <c r="H88" s="40">
        <f>'[4]Other Assumptions'!J88</f>
        <v>0</v>
      </c>
      <c r="I88" s="40">
        <f>'[4]Other Assumptions'!K88</f>
        <v>0</v>
      </c>
      <c r="J88" s="40">
        <f>'[4]Other Assumptions'!L88</f>
        <v>0</v>
      </c>
      <c r="K88" s="40">
        <f>'[4]Other Assumptions'!M88</f>
        <v>0</v>
      </c>
      <c r="L88" s="40">
        <f>'[4]Other Assumptions'!N88</f>
        <v>0</v>
      </c>
      <c r="M88" s="40">
        <f>'[4]Other Assumptions'!O88</f>
        <v>0</v>
      </c>
      <c r="N88" s="40">
        <f>'[4]Other Assumptions'!P88</f>
        <v>0</v>
      </c>
      <c r="O88" s="41">
        <f>'[4]Other Assumptions'!Q88</f>
        <v>0</v>
      </c>
    </row>
    <row r="89" spans="1:15" ht="15.75" x14ac:dyDescent="0.25">
      <c r="A89" s="16" t="s">
        <v>50</v>
      </c>
      <c r="B89" s="29"/>
      <c r="C89" s="29"/>
      <c r="D89" s="29"/>
      <c r="E89" s="29"/>
      <c r="F89" s="29"/>
      <c r="G89" s="40">
        <f>'[4]Other Assumptions'!I89</f>
        <v>0</v>
      </c>
      <c r="H89" s="40">
        <f>'[4]Other Assumptions'!J89</f>
        <v>0</v>
      </c>
      <c r="I89" s="40">
        <f>'[4]Other Assumptions'!K89</f>
        <v>0</v>
      </c>
      <c r="J89" s="40">
        <f>'[4]Other Assumptions'!L89</f>
        <v>0</v>
      </c>
      <c r="K89" s="40">
        <f>'[4]Other Assumptions'!M89</f>
        <v>0</v>
      </c>
      <c r="L89" s="40">
        <f>'[4]Other Assumptions'!N89</f>
        <v>0</v>
      </c>
      <c r="M89" s="40">
        <f>'[4]Other Assumptions'!O89</f>
        <v>0</v>
      </c>
      <c r="N89" s="40">
        <f>'[4]Other Assumptions'!P89</f>
        <v>0</v>
      </c>
      <c r="O89" s="41">
        <f>'[4]Other Assumptions'!Q89</f>
        <v>0</v>
      </c>
    </row>
    <row r="90" spans="1:15" ht="15.75" x14ac:dyDescent="0.25">
      <c r="A90" s="16" t="s">
        <v>51</v>
      </c>
      <c r="B90" s="29"/>
      <c r="C90" s="29"/>
      <c r="D90" s="29"/>
      <c r="E90" s="29"/>
      <c r="F90" s="29"/>
      <c r="G90" s="33"/>
      <c r="H90" s="33"/>
      <c r="I90" s="33"/>
      <c r="J90" s="33"/>
      <c r="K90" s="33"/>
      <c r="L90" s="33"/>
      <c r="M90" s="33"/>
      <c r="N90" s="33"/>
      <c r="O90" s="55"/>
    </row>
    <row r="91" spans="1:15" ht="15.75" x14ac:dyDescent="0.25">
      <c r="A91" s="16" t="s">
        <v>52</v>
      </c>
      <c r="B91" s="29"/>
      <c r="C91" s="29"/>
      <c r="D91" s="29"/>
      <c r="E91" s="29"/>
      <c r="F91" s="29"/>
      <c r="G91" s="40">
        <f>'[4]Other Assumptions'!I91</f>
        <v>0</v>
      </c>
      <c r="H91" s="40">
        <f>'[4]Other Assumptions'!J91</f>
        <v>0</v>
      </c>
      <c r="I91" s="40">
        <f>'[4]Other Assumptions'!K91</f>
        <v>0</v>
      </c>
      <c r="J91" s="40">
        <f>'[4]Other Assumptions'!L91</f>
        <v>0</v>
      </c>
      <c r="K91" s="40">
        <f>'[4]Other Assumptions'!M91</f>
        <v>0</v>
      </c>
      <c r="L91" s="40">
        <f>'[4]Other Assumptions'!N91</f>
        <v>0</v>
      </c>
      <c r="M91" s="40">
        <f>'[4]Other Assumptions'!O91</f>
        <v>0</v>
      </c>
      <c r="N91" s="40">
        <f>'[4]Other Assumptions'!P91</f>
        <v>0</v>
      </c>
      <c r="O91" s="41">
        <f>'[4]Other Assumptions'!Q91</f>
        <v>0</v>
      </c>
    </row>
    <row r="92" spans="1:15" ht="15.75" x14ac:dyDescent="0.25">
      <c r="A92" s="16" t="s">
        <v>53</v>
      </c>
      <c r="B92" s="29"/>
      <c r="C92" s="29"/>
      <c r="D92" s="29"/>
      <c r="E92" s="29"/>
      <c r="F92" s="29"/>
      <c r="G92" s="40">
        <f>'[4]Other Assumptions'!I92</f>
        <v>0</v>
      </c>
      <c r="H92" s="40">
        <f>'[4]Other Assumptions'!J92</f>
        <v>0</v>
      </c>
      <c r="I92" s="40">
        <f>'[4]Other Assumptions'!K92</f>
        <v>0</v>
      </c>
      <c r="J92" s="40">
        <f>'[4]Other Assumptions'!L92</f>
        <v>0</v>
      </c>
      <c r="K92" s="40">
        <f>'[4]Other Assumptions'!M92</f>
        <v>0</v>
      </c>
      <c r="L92" s="40">
        <f>'[4]Other Assumptions'!N92</f>
        <v>0</v>
      </c>
      <c r="M92" s="40">
        <f>'[4]Other Assumptions'!O92</f>
        <v>0</v>
      </c>
      <c r="N92" s="40">
        <f>'[4]Other Assumptions'!P92</f>
        <v>0</v>
      </c>
      <c r="O92" s="41">
        <f>'[4]Other Assumptions'!Q92</f>
        <v>0</v>
      </c>
    </row>
    <row r="93" spans="1:15" ht="15.75" x14ac:dyDescent="0.25">
      <c r="A93" s="16" t="s">
        <v>54</v>
      </c>
      <c r="B93" s="29"/>
      <c r="C93" s="29"/>
      <c r="D93" s="29"/>
      <c r="E93" s="29"/>
      <c r="F93" s="29"/>
      <c r="G93" s="40">
        <f>'[4]Other Assumptions'!I93</f>
        <v>0</v>
      </c>
      <c r="H93" s="40">
        <f>'[4]Other Assumptions'!J93</f>
        <v>0</v>
      </c>
      <c r="I93" s="40">
        <f>'[4]Other Assumptions'!K93</f>
        <v>0</v>
      </c>
      <c r="J93" s="40">
        <f>'[4]Other Assumptions'!L93</f>
        <v>0</v>
      </c>
      <c r="K93" s="40">
        <f>'[4]Other Assumptions'!M93</f>
        <v>0</v>
      </c>
      <c r="L93" s="40">
        <f>'[4]Other Assumptions'!N93</f>
        <v>0</v>
      </c>
      <c r="M93" s="40">
        <f>'[4]Other Assumptions'!O93</f>
        <v>0</v>
      </c>
      <c r="N93" s="40">
        <f>'[4]Other Assumptions'!P93</f>
        <v>0</v>
      </c>
      <c r="O93" s="41">
        <f>'[4]Other Assumptions'!Q93</f>
        <v>0</v>
      </c>
    </row>
    <row r="94" spans="1:15" ht="15.75" x14ac:dyDescent="0.25">
      <c r="A94" s="16" t="s">
        <v>55</v>
      </c>
      <c r="B94" s="29"/>
      <c r="C94" s="29"/>
      <c r="D94" s="29"/>
      <c r="E94" s="29"/>
      <c r="F94" s="29"/>
      <c r="G94" s="40">
        <f>'[4]Other Assumptions'!I94</f>
        <v>0</v>
      </c>
      <c r="H94" s="40">
        <f>'[4]Other Assumptions'!J94</f>
        <v>0</v>
      </c>
      <c r="I94" s="40">
        <f>'[4]Other Assumptions'!K94</f>
        <v>0</v>
      </c>
      <c r="J94" s="40">
        <f>'[4]Other Assumptions'!L94</f>
        <v>0</v>
      </c>
      <c r="K94" s="40">
        <f>'[4]Other Assumptions'!M94</f>
        <v>0</v>
      </c>
      <c r="L94" s="40">
        <f>'[4]Other Assumptions'!N94</f>
        <v>0</v>
      </c>
      <c r="M94" s="40">
        <f>'[4]Other Assumptions'!O94</f>
        <v>0</v>
      </c>
      <c r="N94" s="40">
        <f>'[4]Other Assumptions'!P94</f>
        <v>0</v>
      </c>
      <c r="O94" s="41">
        <f>'[4]Other Assumptions'!Q94</f>
        <v>0</v>
      </c>
    </row>
    <row r="95" spans="1:15" ht="16.5" thickBot="1" x14ac:dyDescent="0.3">
      <c r="A95" s="23" t="s">
        <v>56</v>
      </c>
      <c r="B95" s="34"/>
      <c r="C95" s="34"/>
      <c r="D95" s="34"/>
      <c r="E95" s="34"/>
      <c r="F95" s="34"/>
      <c r="G95" s="53">
        <f>'[4]Other Assumptions'!I95</f>
        <v>0</v>
      </c>
      <c r="H95" s="53">
        <f>'[4]Other Assumptions'!J95</f>
        <v>0</v>
      </c>
      <c r="I95" s="53">
        <f>'[4]Other Assumptions'!K95</f>
        <v>0</v>
      </c>
      <c r="J95" s="53">
        <f>'[4]Other Assumptions'!L95</f>
        <v>0</v>
      </c>
      <c r="K95" s="53">
        <f>'[4]Other Assumptions'!M95</f>
        <v>0</v>
      </c>
      <c r="L95" s="53">
        <f>'[4]Other Assumptions'!N95</f>
        <v>0</v>
      </c>
      <c r="M95" s="53">
        <f>'[4]Other Assumptions'!O95</f>
        <v>0</v>
      </c>
      <c r="N95" s="53">
        <f>'[4]Other Assumptions'!P95</f>
        <v>0</v>
      </c>
      <c r="O95" s="54">
        <f>'[4]Other Assumptions'!Q95</f>
        <v>0</v>
      </c>
    </row>
    <row r="96" spans="1:15" ht="13.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Q177"/>
  <sheetViews>
    <sheetView topLeftCell="A115" workbookViewId="0">
      <selection activeCell="N166" sqref="N166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13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'Total Distance Tables Sup #2'!B5</f>
        <v>17.849116999</v>
      </c>
      <c r="C5" s="4">
        <f ca="1">'Total Distance Tables Sup #2'!C5</f>
        <v>18.992021773173029</v>
      </c>
      <c r="D5" s="4">
        <f ca="1">'Total Distance Tables Sup #2'!D5</f>
        <v>20.325937333113501</v>
      </c>
      <c r="E5" s="4">
        <f ca="1">'Total Distance Tables Sup #2'!E5</f>
        <v>21.330147332011897</v>
      </c>
      <c r="F5" s="4">
        <f ca="1">'Total Distance Tables Sup #2'!F5</f>
        <v>22.091682171974927</v>
      </c>
      <c r="G5" s="4">
        <f ca="1">'Total Distance Tables Sup #2'!G5</f>
        <v>22.779314856411517</v>
      </c>
      <c r="H5" s="4">
        <f ca="1">'Total Distance Tables Sup #2'!H5</f>
        <v>23.351477732448135</v>
      </c>
      <c r="I5" s="1">
        <f ca="1">'Total Distance Tables Sup #2'!I5</f>
        <v>23.636995808823816</v>
      </c>
      <c r="J5" s="1">
        <f ca="1">'Total Distance Tables Sup #2'!J5</f>
        <v>23.859885886621267</v>
      </c>
      <c r="K5" s="1">
        <f ca="1">'Total Distance Tables Sup #2'!K5</f>
        <v>24.043415545539332</v>
      </c>
    </row>
    <row r="6" spans="1:11" x14ac:dyDescent="0.2">
      <c r="A6" t="str">
        <f ca="1">OFFSET(Northland_Reference,7,2)</f>
        <v>Cyclist</v>
      </c>
      <c r="B6" s="4">
        <f ca="1">'Total Distance Tables Sup #2'!B6</f>
        <v>1.0072239942000001</v>
      </c>
      <c r="C6" s="4">
        <f ca="1">'Total Distance Tables Sup #2'!C6</f>
        <v>1.1107449647065137</v>
      </c>
      <c r="D6" s="4">
        <f ca="1">'Total Distance Tables Sup #2'!D6</f>
        <v>1.3930147312206085</v>
      </c>
      <c r="E6" s="4">
        <f ca="1">'Total Distance Tables Sup #2'!E6</f>
        <v>1.6567683376821922</v>
      </c>
      <c r="F6" s="4">
        <f ca="1">'Total Distance Tables Sup #2'!F6</f>
        <v>1.9493768674359957</v>
      </c>
      <c r="G6" s="4">
        <f ca="1">'Total Distance Tables Sup #2'!G6</f>
        <v>2.285643624598773</v>
      </c>
      <c r="H6" s="4">
        <f ca="1">'Total Distance Tables Sup #2'!H6</f>
        <v>2.6406857193119411</v>
      </c>
      <c r="I6" s="1">
        <f ca="1">'Total Distance Tables Sup #2'!I6</f>
        <v>2.6746183847403278</v>
      </c>
      <c r="J6" s="1">
        <f ca="1">'Total Distance Tables Sup #2'!J6</f>
        <v>2.7014832058646676</v>
      </c>
      <c r="K6" s="1">
        <f ca="1">'Total Distance Tables Sup #2'!K6</f>
        <v>2.7239047878963527</v>
      </c>
    </row>
    <row r="7" spans="1:11" x14ac:dyDescent="0.2">
      <c r="A7" t="str">
        <f ca="1">OFFSET(Northland_Reference,14,2)</f>
        <v>Light Vehicle Driver</v>
      </c>
      <c r="B7" s="4">
        <f ca="1">'Total Distance Tables Sup #2'!B7</f>
        <v>1011.4273062</v>
      </c>
      <c r="C7" s="4">
        <f ca="1">'Total Distance Tables Sup #2'!C7*(1-'Other Assumptions'!G6)</f>
        <v>1114.4236289552919</v>
      </c>
      <c r="D7" s="4">
        <f ca="1">'Total Distance Tables Sup #2'!D7*(1-'Other Assumptions'!H6)</f>
        <v>1173.637629036305</v>
      </c>
      <c r="E7" s="4">
        <f ca="1">'Total Distance Tables Sup #2'!E7*(1-'Other Assumptions'!I6)</f>
        <v>1103.446785957608</v>
      </c>
      <c r="F7" s="4">
        <f ca="1">'Total Distance Tables Sup #2'!F7*(1-'Other Assumptions'!J6)</f>
        <v>1016.1768947186825</v>
      </c>
      <c r="G7" s="4">
        <f ca="1">'Total Distance Tables Sup #2'!G7*(1-'Other Assumptions'!K6)</f>
        <v>909.80653680805858</v>
      </c>
      <c r="H7" s="4">
        <f ca="1">'Total Distance Tables Sup #2'!H7*(1-'Other Assumptions'!L6)</f>
        <v>793.07504059983978</v>
      </c>
      <c r="I7" s="1">
        <f ca="1">'Total Distance Tables Sup #2'!I7*(1-'Other Assumptions'!M6)</f>
        <v>670.44257573772632</v>
      </c>
      <c r="J7" s="1">
        <f ca="1">'Total Distance Tables Sup #2'!J7*(1-'Other Assumptions'!N6)</f>
        <v>542.59025353497088</v>
      </c>
      <c r="K7" s="1">
        <f ca="1">'Total Distance Tables Sup #2'!K7*(1-'Other Assumptions'!O6)</f>
        <v>410.95942608326811</v>
      </c>
    </row>
    <row r="8" spans="1:11" x14ac:dyDescent="0.2">
      <c r="A8" t="str">
        <f ca="1">OFFSET(Northland_Reference,21,2)</f>
        <v>Light Vehicle Passenger</v>
      </c>
      <c r="B8" s="4">
        <f ca="1">'Total Distance Tables Sup #2'!B8</f>
        <v>666.23785996000004</v>
      </c>
      <c r="C8" s="4">
        <f ca="1">'Total Distance Tables Sup #2'!C8*(1-'Other Assumptions'!G6)</f>
        <v>706.99571814390356</v>
      </c>
      <c r="D8" s="4">
        <f ca="1">'Total Distance Tables Sup #2'!D8*(1-'Other Assumptions'!H6)</f>
        <v>729.32342906434963</v>
      </c>
      <c r="E8" s="4">
        <f ca="1">'Total Distance Tables Sup #2'!E8*(1-'Other Assumptions'!I6)</f>
        <v>672.13101551115028</v>
      </c>
      <c r="F8" s="4">
        <f ca="1">'Total Distance Tables Sup #2'!F8*(1-'Other Assumptions'!J6)</f>
        <v>605.88219787750961</v>
      </c>
      <c r="G8" s="4">
        <f ca="1">'Total Distance Tables Sup #2'!G8*(1-'Other Assumptions'!K6)</f>
        <v>533.40924092384057</v>
      </c>
      <c r="H8" s="4">
        <f ca="1">'Total Distance Tables Sup #2'!H8*(1-'Other Assumptions'!L6)</f>
        <v>457.15366986764968</v>
      </c>
      <c r="I8" s="1">
        <f ca="1">'Total Distance Tables Sup #2'!I8*(1-'Other Assumptions'!M6)</f>
        <v>386.65434969687806</v>
      </c>
      <c r="J8" s="1">
        <f ca="1">'Total Distance Tables Sup #2'!J8*(1-'Other Assumptions'!N6)</f>
        <v>313.07420434527091</v>
      </c>
      <c r="K8" s="1">
        <f ca="1">'Total Distance Tables Sup #2'!K8*(1-'Other Assumptions'!O6)</f>
        <v>237.24042082093601</v>
      </c>
    </row>
    <row r="9" spans="1:11" x14ac:dyDescent="0.2">
      <c r="A9" t="str">
        <f ca="1">OFFSET(Northland_Reference,28,2)</f>
        <v>Taxi/Vehicle Share</v>
      </c>
      <c r="B9" s="4">
        <f ca="1">'Total Distance Tables Sup #2'!B9</f>
        <v>0.75976041549999995</v>
      </c>
      <c r="C9" s="4">
        <f ca="1">'Total Distance Tables Sup #2'!C9+((C7+C8)*'Other Assumptions'!G6/(1-'Other Assumptions'!G6))</f>
        <v>0.87234578553496545</v>
      </c>
      <c r="D9" s="4">
        <f ca="1">'Total Distance Tables Sup #2'!D9+((D7+D8)*'Other Assumptions'!H6/(1-'Other Assumptions'!H6))</f>
        <v>0.96408812070281047</v>
      </c>
      <c r="E9" s="4">
        <f ca="1">'Total Distance Tables Sup #2'!E9+((E7+E8)*'Other Assumptions'!I6/(1-'Other Assumptions'!I6))</f>
        <v>198.3323903281572</v>
      </c>
      <c r="F9" s="4">
        <f ca="1">'Total Distance Tables Sup #2'!F9+((F7+F8)*'Other Assumptions'!J6/(1-'Other Assumptions'!J6))</f>
        <v>406.62839137038821</v>
      </c>
      <c r="G9" s="4">
        <f ca="1">'Total Distance Tables Sup #2'!G9+((G7+G8)*'Other Assumptions'!K6/(1-'Other Assumptions'!K6))</f>
        <v>619.68250118995832</v>
      </c>
      <c r="H9" s="4">
        <f ca="1">'Total Distance Tables Sup #2'!H9+((H7+H8)*'Other Assumptions'!L6/(1-'Other Assumptions'!L6))</f>
        <v>834.68871089915433</v>
      </c>
      <c r="I9" s="1">
        <f ca="1">'Total Distance Tables Sup #2'!I9+((I7+I8)*'Other Assumptions'!M6/(1-'Other Assumptions'!M6))</f>
        <v>1058.3129497112775</v>
      </c>
      <c r="J9" s="1">
        <f ca="1">'Total Distance Tables Sup #2'!J9+((J7+J8)*'Other Assumptions'!N6/(1-'Other Assumptions'!N6))</f>
        <v>1284.7225587737782</v>
      </c>
      <c r="K9" s="1">
        <f ca="1">'Total Distance Tables Sup #2'!K9+((K7+K8)*'Other Assumptions'!O6/(1-'Other Assumptions'!O6))</f>
        <v>1513.6999643116903</v>
      </c>
    </row>
    <row r="10" spans="1:11" x14ac:dyDescent="0.2">
      <c r="A10" t="str">
        <f ca="1">OFFSET(Northland_Reference,35,2)</f>
        <v>Motorcyclist</v>
      </c>
      <c r="B10" s="4">
        <f ca="1">'Total Distance Tables Sup #2'!B10</f>
        <v>9.2423909657000003</v>
      </c>
      <c r="C10" s="4">
        <f ca="1">'Total Distance Tables Sup #2'!C10</f>
        <v>10.195102034266119</v>
      </c>
      <c r="D10" s="4">
        <f ca="1">'Total Distance Tables Sup #2'!D10</f>
        <v>10.710686716169121</v>
      </c>
      <c r="E10" s="4">
        <f ca="1">'Total Distance Tables Sup #2'!E10</f>
        <v>10.988708683702917</v>
      </c>
      <c r="F10" s="4">
        <f ca="1">'Total Distance Tables Sup #2'!F10</f>
        <v>11.127551202043438</v>
      </c>
      <c r="G10" s="4">
        <f ca="1">'Total Distance Tables Sup #2'!G10</f>
        <v>11.051081679298122</v>
      </c>
      <c r="H10" s="4">
        <f ca="1">'Total Distance Tables Sup #2'!H10</f>
        <v>10.901766283085157</v>
      </c>
      <c r="I10" s="1">
        <f ca="1">'Total Distance Tables Sup #2'!I10</f>
        <v>11.123116406099317</v>
      </c>
      <c r="J10" s="1">
        <f ca="1">'Total Distance Tables Sup #2'!J10</f>
        <v>11.317848978190924</v>
      </c>
      <c r="K10" s="1">
        <f ca="1">'Total Distance Tables Sup #2'!K10</f>
        <v>11.496387361808544</v>
      </c>
    </row>
    <row r="11" spans="1:11" x14ac:dyDescent="0.2">
      <c r="A11" t="str">
        <f ca="1">OFFSET(Auckland_Reference,42,2)</f>
        <v>Local Train</v>
      </c>
      <c r="B11" s="4">
        <f ca="1">'Total Distance Tables Sup #2'!B11</f>
        <v>0</v>
      </c>
      <c r="C11" s="4">
        <f ca="1">'Total Distance Tables Sup #2'!C11</f>
        <v>0</v>
      </c>
      <c r="D11" s="4">
        <f ca="1">'Total Distance Tables Sup #2'!D11</f>
        <v>0</v>
      </c>
      <c r="E11" s="4">
        <f ca="1">'Total Distance Tables Sup #2'!E11</f>
        <v>0</v>
      </c>
      <c r="F11" s="4">
        <f ca="1">'Total Distance Tables Sup #2'!F11</f>
        <v>0</v>
      </c>
      <c r="G11" s="4">
        <f ca="1">'Total Distance Tables Sup #2'!G11</f>
        <v>0</v>
      </c>
      <c r="H11" s="4">
        <f ca="1">'Total Distance Tables Sup #2'!H11</f>
        <v>0</v>
      </c>
      <c r="I11" s="1">
        <f ca="1">'Total Distance Tables Sup #2'!I11</f>
        <v>0</v>
      </c>
      <c r="J11" s="1">
        <f ca="1">'Total Distance Tables Sup #2'!J11</f>
        <v>0</v>
      </c>
      <c r="K11" s="1">
        <f ca="1">'Total Distance Tables Sup #2'!K11</f>
        <v>0</v>
      </c>
    </row>
    <row r="12" spans="1:11" x14ac:dyDescent="0.2">
      <c r="A12" t="str">
        <f ca="1">OFFSET(Northland_Reference,42,2)</f>
        <v>Local Bus</v>
      </c>
      <c r="B12" s="4">
        <f ca="1">'Total Distance Tables Sup #2'!B12</f>
        <v>44.734594063999999</v>
      </c>
      <c r="C12" s="4">
        <f ca="1">'Total Distance Tables Sup #2'!C12</f>
        <v>44.210536509503747</v>
      </c>
      <c r="D12" s="4">
        <f ca="1">'Total Distance Tables Sup #2'!D12</f>
        <v>43.739248920842712</v>
      </c>
      <c r="E12" s="4">
        <f ca="1">'Total Distance Tables Sup #2'!E12</f>
        <v>43.431846711174501</v>
      </c>
      <c r="F12" s="4">
        <f ca="1">'Total Distance Tables Sup #2'!F12</f>
        <v>42.285976873369115</v>
      </c>
      <c r="G12" s="4">
        <f ca="1">'Total Distance Tables Sup #2'!G12</f>
        <v>41.53290022531516</v>
      </c>
      <c r="H12" s="4">
        <f ca="1">'Total Distance Tables Sup #2'!H12</f>
        <v>40.584136226170948</v>
      </c>
      <c r="I12" s="1">
        <f ca="1">'Total Distance Tables Sup #2'!I12</f>
        <v>41.204591726580155</v>
      </c>
      <c r="J12" s="1">
        <f ca="1">'Total Distance Tables Sup #2'!J12</f>
        <v>41.716510625213509</v>
      </c>
      <c r="K12" s="1">
        <f ca="1">'Total Distance Tables Sup #2'!K12</f>
        <v>42.159594898909269</v>
      </c>
    </row>
    <row r="13" spans="1:11" x14ac:dyDescent="0.2">
      <c r="A13" t="str">
        <f ca="1">OFFSET(Northland_Reference,49,2)</f>
        <v>Local Ferry</v>
      </c>
      <c r="B13" s="4">
        <f ca="1">'Total Distance Tables Sup #2'!B13</f>
        <v>0</v>
      </c>
      <c r="C13" s="4">
        <f ca="1">'Total Distance Tables Sup #2'!C13</f>
        <v>0</v>
      </c>
      <c r="D13" s="4">
        <f ca="1">'Total Distance Tables Sup #2'!D13</f>
        <v>0</v>
      </c>
      <c r="E13" s="4">
        <f ca="1">'Total Distance Tables Sup #2'!E13</f>
        <v>0</v>
      </c>
      <c r="F13" s="4">
        <f ca="1">'Total Distance Tables Sup #2'!F13</f>
        <v>0</v>
      </c>
      <c r="G13" s="4">
        <f ca="1">'Total Distance Tables Sup #2'!G13</f>
        <v>0</v>
      </c>
      <c r="H13" s="4">
        <f ca="1">'Total Distance Tables Sup #2'!H13</f>
        <v>0</v>
      </c>
      <c r="I13" s="1">
        <f ca="1">'Total Distance Tables Sup #2'!I13</f>
        <v>0</v>
      </c>
      <c r="J13" s="1">
        <f ca="1">'Total Distance Tables Sup #2'!J13</f>
        <v>0</v>
      </c>
      <c r="K13" s="1">
        <f ca="1">'Total Distance Tables Sup #2'!K13</f>
        <v>0</v>
      </c>
    </row>
    <row r="14" spans="1:11" x14ac:dyDescent="0.2">
      <c r="A14" t="str">
        <f ca="1">OFFSET(Northland_Reference,56,2)</f>
        <v>Other Household Travel</v>
      </c>
      <c r="B14" s="4">
        <f ca="1">'Total Distance Tables Sup #2'!B14</f>
        <v>0</v>
      </c>
      <c r="C14" s="4">
        <f ca="1">'Total Distance Tables Sup #2'!C14</f>
        <v>0</v>
      </c>
      <c r="D14" s="4">
        <f ca="1">'Total Distance Tables Sup #2'!D14</f>
        <v>0</v>
      </c>
      <c r="E14" s="4">
        <f ca="1">'Total Distance Tables Sup #2'!E14</f>
        <v>0</v>
      </c>
      <c r="F14" s="4">
        <f ca="1">'Total Distance Tables Sup #2'!F14</f>
        <v>0</v>
      </c>
      <c r="G14" s="4">
        <f ca="1">'Total Distance Tables Sup #2'!G14</f>
        <v>0</v>
      </c>
      <c r="H14" s="4">
        <f ca="1">'Total Distance Tables Sup #2'!H14</f>
        <v>0</v>
      </c>
      <c r="I14" s="1">
        <f ca="1">'Total Distance Tables Sup #2'!I14</f>
        <v>0</v>
      </c>
      <c r="J14" s="1">
        <f ca="1">'Total Distance Tables Sup #2'!J14</f>
        <v>0</v>
      </c>
      <c r="K14" s="1">
        <f ca="1">'Total Distance Tables Sup #2'!K14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'Total Distance Tables Sup #2'!B16</f>
        <v>294.55939388000002</v>
      </c>
      <c r="C16" s="4">
        <f ca="1">'Total Distance Tables Sup #2'!C16+'Total Distance Tables Sup #2'!C18*'Other Assumptions'!G66*'Other Assumptions'!G73+'Total Distance Tables Sup #2'!C19*'Other Assumptions'!G66*'Other Assumptions'!G73</f>
        <v>321.02138978441405</v>
      </c>
      <c r="D16" s="4">
        <f ca="1">'Total Distance Tables Sup #2'!D16+'Total Distance Tables Sup #2'!D18*'Other Assumptions'!H66*'Other Assumptions'!H73+'Total Distance Tables Sup #2'!D19*'Other Assumptions'!H66*'Other Assumptions'!H73</f>
        <v>343.56891489907753</v>
      </c>
      <c r="E16" s="4">
        <f ca="1">'Total Distance Tables Sup #2'!E16+'Total Distance Tables Sup #2'!E18*'Other Assumptions'!I66*'Other Assumptions'!I73+'Total Distance Tables Sup #2'!E19*'Other Assumptions'!I66*'Other Assumptions'!I73</f>
        <v>359.9079914756598</v>
      </c>
      <c r="F16" s="4">
        <f ca="1">'Total Distance Tables Sup #2'!F16+'Total Distance Tables Sup #2'!F18*'Other Assumptions'!J66*'Other Assumptions'!J73+'Total Distance Tables Sup #2'!F19*'Other Assumptions'!J66*'Other Assumptions'!J73</f>
        <v>375.96464905913007</v>
      </c>
      <c r="G16" s="4">
        <f ca="1">'Total Distance Tables Sup #2'!G16+'Total Distance Tables Sup #2'!G18*'Other Assumptions'!K66*'Other Assumptions'!K73+'Total Distance Tables Sup #2'!G19*'Other Assumptions'!K66*'Other Assumptions'!K73</f>
        <v>391.30433967564932</v>
      </c>
      <c r="H16" s="4">
        <f ca="1">'Total Distance Tables Sup #2'!H16+'Total Distance Tables Sup #2'!H18*'Other Assumptions'!L66*'Other Assumptions'!L73+'Total Distance Tables Sup #2'!H19*'Other Assumptions'!L66*'Other Assumptions'!L73</f>
        <v>405.31707098586577</v>
      </c>
      <c r="I16" s="1">
        <f ca="1">'Total Distance Tables Sup #2'!I16+'Total Distance Tables Sup #2'!I18*'Other Assumptions'!M66*'Other Assumptions'!M73+'Total Distance Tables Sup #2'!I19*'Other Assumptions'!M66*'Other Assumptions'!M73</f>
        <v>414.86544647605569</v>
      </c>
      <c r="J16" s="1">
        <f ca="1">'Total Distance Tables Sup #2'!J16+'Total Distance Tables Sup #2'!J18*'Other Assumptions'!N66*'Other Assumptions'!N73+'Total Distance Tables Sup #2'!J19*'Other Assumptions'!N66*'Other Assumptions'!N73</f>
        <v>423.15614199136502</v>
      </c>
      <c r="K16" s="1">
        <f ca="1">'Total Distance Tables Sup #2'!K16+'Total Distance Tables Sup #2'!K18*'Other Assumptions'!O66*'Other Assumptions'!O73+'Total Distance Tables Sup #2'!K19*'Other Assumptions'!O66*'Other Assumptions'!O73</f>
        <v>430.38172033389151</v>
      </c>
    </row>
    <row r="17" spans="1:17" x14ac:dyDescent="0.2">
      <c r="A17" t="str">
        <f ca="1">OFFSET(Auckland_Reference,7,2)</f>
        <v>Cyclist</v>
      </c>
      <c r="B17" s="4">
        <f ca="1">'Total Distance Tables Sup #2'!B17</f>
        <v>55.843008154000003</v>
      </c>
      <c r="C17" s="4">
        <f ca="1">'Total Distance Tables Sup #2'!C17+'Total Distance Tables Sup #2'!C18*'Other Assumptions'!G66*'Other Assumptions'!G72+'Total Distance Tables Sup #2'!C19*'Other Assumptions'!G66*'Other Assumptions'!G72</f>
        <v>63.103369259163827</v>
      </c>
      <c r="D17" s="4">
        <f ca="1">'Total Distance Tables Sup #2'!D17+'Total Distance Tables Sup #2'!D18*'Other Assumptions'!H66*'Other Assumptions'!H72+'Total Distance Tables Sup #2'!D19*'Other Assumptions'!H66*'Other Assumptions'!H72</f>
        <v>80.821263580201517</v>
      </c>
      <c r="E17" s="4">
        <f ca="1">'Total Distance Tables Sup #2'!E17+'Total Distance Tables Sup #2'!E18*'Other Assumptions'!I66*'Other Assumptions'!I72+'Total Distance Tables Sup #2'!E19*'Other Assumptions'!I66*'Other Assumptions'!I72</f>
        <v>97.72714244453968</v>
      </c>
      <c r="F17" s="4">
        <f ca="1">'Total Distance Tables Sup #2'!F17+'Total Distance Tables Sup #2'!F18*'Other Assumptions'!J66*'Other Assumptions'!J72+'Total Distance Tables Sup #2'!F19*'Other Assumptions'!J66*'Other Assumptions'!J72</f>
        <v>117.06191884413977</v>
      </c>
      <c r="G17" s="4">
        <f ca="1">'Total Distance Tables Sup #2'!G17+'Total Distance Tables Sup #2'!G18*'Other Assumptions'!K66*'Other Assumptions'!K72+'Total Distance Tables Sup #2'!G19*'Other Assumptions'!K66*'Other Assumptions'!K72</f>
        <v>139.73821408389034</v>
      </c>
      <c r="H17" s="4">
        <f ca="1">'Total Distance Tables Sup #2'!H17+'Total Distance Tables Sup #2'!H18*'Other Assumptions'!L66*'Other Assumptions'!L72+'Total Distance Tables Sup #2'!H19*'Other Assumptions'!L66*'Other Assumptions'!L72</f>
        <v>164.5215456911076</v>
      </c>
      <c r="I17" s="1">
        <f ca="1">'Total Distance Tables Sup #2'!I17+'Total Distance Tables Sup #2'!I18*'Other Assumptions'!M66*'Other Assumptions'!M72+'Total Distance Tables Sup #2'!I19*'Other Assumptions'!M66*'Other Assumptions'!M72</f>
        <v>169.78322974426345</v>
      </c>
      <c r="J17" s="1">
        <f ca="1">'Total Distance Tables Sup #2'!J17+'Total Distance Tables Sup #2'!J18*'Other Assumptions'!N66*'Other Assumptions'!N72+'Total Distance Tables Sup #2'!J19*'Other Assumptions'!N66*'Other Assumptions'!N72</f>
        <v>174.69655944570812</v>
      </c>
      <c r="K17" s="1">
        <f ca="1">'Total Distance Tables Sup #2'!K17+'Total Distance Tables Sup #2'!K18*'Other Assumptions'!O66*'Other Assumptions'!O72+'Total Distance Tables Sup #2'!K19*'Other Assumptions'!O66*'Other Assumptions'!O72</f>
        <v>179.40731620441048</v>
      </c>
    </row>
    <row r="18" spans="1:17" x14ac:dyDescent="0.2">
      <c r="A18" t="str">
        <f ca="1">OFFSET(Auckland_Reference,14,2)</f>
        <v>Light Vehicle Driver</v>
      </c>
      <c r="B18" s="4">
        <f ca="1">'Total Distance Tables Sup #2'!B18</f>
        <v>9374.4733825999992</v>
      </c>
      <c r="C18" s="4">
        <f ca="1">'Total Distance Tables Sup #2'!C18*(1-'Other Assumptions'!G7)*(1-'Other Assumptions'!G66)</f>
        <v>10545.664852441845</v>
      </c>
      <c r="D18" s="4">
        <f ca="1">'Total Distance Tables Sup #2'!D18*(1-'Other Assumptions'!H7)*(1-'Other Assumptions'!H66)</f>
        <v>11199.758543902939</v>
      </c>
      <c r="E18" s="4">
        <f ca="1">'Total Distance Tables Sup #2'!E18*(1-'Other Assumptions'!I7)*(1-'Other Assumptions'!I66)</f>
        <v>10585.986421263782</v>
      </c>
      <c r="F18" s="4">
        <f ca="1">'Total Distance Tables Sup #2'!F18*(1-'Other Assumptions'!J7)*(1-'Other Assumptions'!J66)</f>
        <v>9875.2327830345657</v>
      </c>
      <c r="G18" s="4">
        <f ca="1">'Total Distance Tables Sup #2'!G18*(1-'Other Assumptions'!K7)*(1-'Other Assumptions'!K66)</f>
        <v>8956.6618764373252</v>
      </c>
      <c r="H18" s="4">
        <f ca="1">'Total Distance Tables Sup #2'!H18*(1-'Other Assumptions'!L7)*(1-'Other Assumptions'!L66)</f>
        <v>7917.0012326176138</v>
      </c>
      <c r="I18" s="1">
        <f ca="1">'Total Distance Tables Sup #2'!I18*(1-'Other Assumptions'!M7)*(1-'Other Assumptions'!M66)</f>
        <v>6791.7715395910454</v>
      </c>
      <c r="J18" s="1">
        <f ca="1">'Total Distance Tables Sup #2'!J18*(1-'Other Assumptions'!N7)*(1-'Other Assumptions'!N66)</f>
        <v>5575.4703515208266</v>
      </c>
      <c r="K18" s="1">
        <f ca="1">'Total Distance Tables Sup #2'!K18*(1-'Other Assumptions'!O7)*(1-'Other Assumptions'!O66)</f>
        <v>4280.625660411647</v>
      </c>
    </row>
    <row r="19" spans="1:17" x14ac:dyDescent="0.2">
      <c r="A19" t="str">
        <f ca="1">OFFSET(Auckland_Reference,21,2)</f>
        <v>Light Vehicle Passenger</v>
      </c>
      <c r="B19" s="4">
        <f ca="1">'Total Distance Tables Sup #2'!B19</f>
        <v>4814.6436660999998</v>
      </c>
      <c r="C19" s="4">
        <f ca="1">'Total Distance Tables Sup #2'!C19*(1-'Other Assumptions'!G7)*(1-'Other Assumptions'!G66+'Other Assumptions'!G66*'Other Assumptions'!G69)+'Total Distance Tables Sup #2'!C18*(1-'Other Assumptions'!G7)*'Other Assumptions'!G66*'Other Assumptions'!G69</f>
        <v>5196.8328487547815</v>
      </c>
      <c r="D19" s="4">
        <f ca="1">'Total Distance Tables Sup #2'!D19*(1-'Other Assumptions'!H7)*(1-'Other Assumptions'!H66+'Other Assumptions'!H66*'Other Assumptions'!H69)+'Total Distance Tables Sup #2'!D18*(1-'Other Assumptions'!H7)*'Other Assumptions'!H66*'Other Assumptions'!H69</f>
        <v>5331.245432064351</v>
      </c>
      <c r="E19" s="4">
        <f ca="1">'Total Distance Tables Sup #2'!E19*(1-'Other Assumptions'!I7)*(1-'Other Assumptions'!I66+'Other Assumptions'!I66*'Other Assumptions'!I69)+'Total Distance Tables Sup #2'!E18*(1-'Other Assumptions'!I7)*'Other Assumptions'!I66*'Other Assumptions'!I69</f>
        <v>4871.5715397046379</v>
      </c>
      <c r="F19" s="4">
        <f ca="1">'Total Distance Tables Sup #2'!F19*(1-'Other Assumptions'!J7)*(1-'Other Assumptions'!J66+'Other Assumptions'!J66*'Other Assumptions'!J69)+'Total Distance Tables Sup #2'!F18*(1-'Other Assumptions'!J7)*'Other Assumptions'!J66*'Other Assumptions'!J69</f>
        <v>4414.911023337294</v>
      </c>
      <c r="G19" s="4">
        <f ca="1">'Total Distance Tables Sup #2'!G19*(1-'Other Assumptions'!K7)*(1-'Other Assumptions'!K66+'Other Assumptions'!K66*'Other Assumptions'!K69)+'Total Distance Tables Sup #2'!G18*(1-'Other Assumptions'!K7)*'Other Assumptions'!K66*'Other Assumptions'!K69</f>
        <v>3906.9490611651863</v>
      </c>
      <c r="H19" s="4">
        <f ca="1">'Total Distance Tables Sup #2'!H19*(1-'Other Assumptions'!L7)*(1-'Other Assumptions'!L66+'Other Assumptions'!L66*'Other Assumptions'!L69)+'Total Distance Tables Sup #2'!H18*(1-'Other Assumptions'!L7)*'Other Assumptions'!L66*'Other Assumptions'!L69</f>
        <v>3367.4694956583298</v>
      </c>
      <c r="I19" s="1">
        <f ca="1">'Total Distance Tables Sup #2'!I19*(1-'Other Assumptions'!M7)*(1-'Other Assumptions'!M66+'Other Assumptions'!M66*'Other Assumptions'!M69)+'Total Distance Tables Sup #2'!I18*(1-'Other Assumptions'!M7)*'Other Assumptions'!M66*'Other Assumptions'!M69</f>
        <v>2874.656252131344</v>
      </c>
      <c r="J19" s="1">
        <f ca="1">'Total Distance Tables Sup #2'!J19*(1-'Other Assumptions'!N7)*(1-'Other Assumptions'!N66+'Other Assumptions'!N66*'Other Assumptions'!N69)+'Total Distance Tables Sup #2'!J18*(1-'Other Assumptions'!N7)*'Other Assumptions'!N66*'Other Assumptions'!N69</f>
        <v>2347.342849540672</v>
      </c>
      <c r="K19" s="1">
        <f ca="1">'Total Distance Tables Sup #2'!K19*(1-'Other Assumptions'!O7)*(1-'Other Assumptions'!O66+'Other Assumptions'!O66*'Other Assumptions'!O69)+'Total Distance Tables Sup #2'!K18*(1-'Other Assumptions'!O7)*'Other Assumptions'!O66*'Other Assumptions'!O69</f>
        <v>1791.3782525314473</v>
      </c>
    </row>
    <row r="20" spans="1:17" x14ac:dyDescent="0.2">
      <c r="A20" t="str">
        <f ca="1">OFFSET(Auckland_Reference,28,2)</f>
        <v>Taxi/Vehicle Share</v>
      </c>
      <c r="B20" s="4">
        <f ca="1">'Total Distance Tables Sup #2'!B20</f>
        <v>41.157157814999998</v>
      </c>
      <c r="C20" s="4">
        <f ca="1">'Total Distance Tables Sup #2'!C20+((C18+C19)*'Other Assumptions'!G7/(1-'Other Assumptions'!G7))</f>
        <v>48.423127295137689</v>
      </c>
      <c r="D20" s="4">
        <f ca="1">'Total Distance Tables Sup #2'!D20+((D18+D19)*'Other Assumptions'!H7/(1-'Other Assumptions'!H7))</f>
        <v>54.652826859218308</v>
      </c>
      <c r="E20" s="4">
        <f ca="1">'Total Distance Tables Sup #2'!E20+((E18+E19)*'Other Assumptions'!I7/(1-'Other Assumptions'!I7))</f>
        <v>1777.7898430699888</v>
      </c>
      <c r="F20" s="4">
        <f ca="1">'Total Distance Tables Sup #2'!F20+((F18+F19)*'Other Assumptions'!J7/(1-'Other Assumptions'!J7))</f>
        <v>3637.876403029667</v>
      </c>
      <c r="G20" s="4">
        <f ca="1">'Total Distance Tables Sup #2'!G20+((G18+G19)*'Other Assumptions'!K7/(1-'Other Assumptions'!K7))</f>
        <v>5582.3561495247886</v>
      </c>
      <c r="H20" s="4">
        <f ca="1">'Total Distance Tables Sup #2'!H20+((H18+H19)*'Other Assumptions'!L7/(1-'Other Assumptions'!L7))</f>
        <v>7596.2060918576226</v>
      </c>
      <c r="I20" s="1">
        <f ca="1">'Total Distance Tables Sup #2'!I20+((I18+I19)*'Other Assumptions'!M7/(1-'Other Assumptions'!M7))</f>
        <v>9741.8503366384757</v>
      </c>
      <c r="J20" s="1">
        <f ca="1">'Total Distance Tables Sup #2'!J20+((J18+J19)*'Other Assumptions'!N7/(1-'Other Assumptions'!N7))</f>
        <v>11961.675461894483</v>
      </c>
      <c r="K20" s="1">
        <f ca="1">'Total Distance Tables Sup #2'!K20+((K18+K19)*'Other Assumptions'!O7/(1-'Other Assumptions'!O7))</f>
        <v>14247.399509209024</v>
      </c>
      <c r="L20" s="4"/>
      <c r="M20" s="4"/>
      <c r="N20" s="4"/>
      <c r="O20" s="4"/>
      <c r="P20" s="4"/>
      <c r="Q20" s="4"/>
    </row>
    <row r="21" spans="1:17" x14ac:dyDescent="0.2">
      <c r="A21" t="str">
        <f ca="1">OFFSET(Auckland_Reference,35,2)</f>
        <v>Motorcyclist</v>
      </c>
      <c r="B21" s="4">
        <f ca="1">'Total Distance Tables Sup #2'!B21</f>
        <v>43.570185572</v>
      </c>
      <c r="C21" s="4">
        <f ca="1">'Total Distance Tables Sup #2'!C21</f>
        <v>49.248397504015529</v>
      </c>
      <c r="D21" s="4">
        <f ca="1">'Total Distance Tables Sup #2'!D21</f>
        <v>52.838389925703254</v>
      </c>
      <c r="E21" s="4">
        <f ca="1">'Total Distance Tables Sup #2'!E21</f>
        <v>55.114060181872198</v>
      </c>
      <c r="F21" s="4">
        <f ca="1">'Total Distance Tables Sup #2'!F21</f>
        <v>56.817453327540775</v>
      </c>
      <c r="G21" s="4">
        <f ca="1">'Total Distance Tables Sup #2'!G21</f>
        <v>57.447851724737596</v>
      </c>
      <c r="H21" s="4">
        <f ca="1">'Total Distance Tables Sup #2'!H21</f>
        <v>57.751765252598638</v>
      </c>
      <c r="I21" s="1">
        <f ca="1">'Total Distance Tables Sup #2'!I21</f>
        <v>60.037386629467356</v>
      </c>
      <c r="J21" s="1">
        <f ca="1">'Total Distance Tables Sup #2'!J21</f>
        <v>62.231218755642864</v>
      </c>
      <c r="K21" s="1">
        <f ca="1">'Total Distance Tables Sup #2'!K21</f>
        <v>64.383109381230923</v>
      </c>
    </row>
    <row r="22" spans="1:17" x14ac:dyDescent="0.2">
      <c r="A22" t="str">
        <f ca="1">OFFSET(Auckland_Reference,42,2)</f>
        <v>Local Train</v>
      </c>
      <c r="B22" s="4">
        <f ca="1">'Total Distance Tables Sup #2'!B22</f>
        <v>158.68929399999999</v>
      </c>
      <c r="C22" s="4">
        <f ca="1">'Total Distance Tables Sup #2'!C22+'Total Distance Tables Sup #2'!C18*'Other Assumptions'!G66*'Other Assumptions'!G71+'Total Distance Tables Sup #2'!C19*'Other Assumptions'!G66*'Other Assumptions'!G71</f>
        <v>316.60247944885913</v>
      </c>
      <c r="D22" s="4">
        <f ca="1">'Total Distance Tables Sup #2'!D22+'Total Distance Tables Sup #2'!D18*'Other Assumptions'!H66*'Other Assumptions'!H71+'Total Distance Tables Sup #2'!D19*'Other Assumptions'!H66*'Other Assumptions'!H71</f>
        <v>622.77958371507737</v>
      </c>
      <c r="E22" s="4">
        <f ca="1">'Total Distance Tables Sup #2'!E22+'Total Distance Tables Sup #2'!E18*'Other Assumptions'!I66*'Other Assumptions'!I71+'Total Distance Tables Sup #2'!E19*'Other Assumptions'!I66*'Other Assumptions'!I71</f>
        <v>902.05050670302876</v>
      </c>
      <c r="F22" s="4">
        <f ca="1">'Total Distance Tables Sup #2'!F22+'Total Distance Tables Sup #2'!F18*'Other Assumptions'!J66*'Other Assumptions'!J71+'Total Distance Tables Sup #2'!F19*'Other Assumptions'!J66*'Other Assumptions'!J71</f>
        <v>1014.5348551085546</v>
      </c>
      <c r="G22" s="4">
        <f ca="1">'Total Distance Tables Sup #2'!G22+'Total Distance Tables Sup #2'!G18*'Other Assumptions'!K66*'Other Assumptions'!K71+'Total Distance Tables Sup #2'!G19*'Other Assumptions'!K66*'Other Assumptions'!K71</f>
        <v>1118.5366655347614</v>
      </c>
      <c r="H22" s="4">
        <f ca="1">'Total Distance Tables Sup #2'!H22+'Total Distance Tables Sup #2'!H18*'Other Assumptions'!L66*'Other Assumptions'!L71+'Total Distance Tables Sup #2'!H19*'Other Assumptions'!L66*'Other Assumptions'!L71</f>
        <v>1213.9221684860038</v>
      </c>
      <c r="I22" s="1">
        <f ca="1">'Total Distance Tables Sup #2'!I22+'Total Distance Tables Sup #2'!I18*'Other Assumptions'!M66*'Other Assumptions'!M71+'Total Distance Tables Sup #2'!I19*'Other Assumptions'!M66*'Other Assumptions'!M71</f>
        <v>1338.4795222561095</v>
      </c>
      <c r="J22" s="1">
        <f ca="1">'Total Distance Tables Sup #2'!J22+'Total Distance Tables Sup #2'!J18*'Other Assumptions'!N66*'Other Assumptions'!N71+'Total Distance Tables Sup #2'!J19*'Other Assumptions'!N66*'Other Assumptions'!N71</f>
        <v>1469.5087670610669</v>
      </c>
      <c r="K22" s="1">
        <f ca="1">'Total Distance Tables Sup #2'!K22+'Total Distance Tables Sup #2'!K18*'Other Assumptions'!O66*'Other Assumptions'!O71+'Total Distance Tables Sup #2'!K19*'Other Assumptions'!O66*'Other Assumptions'!O71</f>
        <v>1613.7158850488663</v>
      </c>
    </row>
    <row r="23" spans="1:17" x14ac:dyDescent="0.2">
      <c r="A23" t="str">
        <f ca="1">OFFSET(Auckland_Reference,49,2)</f>
        <v>Local Bus</v>
      </c>
      <c r="B23" s="4">
        <f ca="1">'Total Distance Tables Sup #2'!B23</f>
        <v>438.79018300000001</v>
      </c>
      <c r="C23" s="4">
        <f ca="1">'Total Distance Tables Sup #2'!C23+'Total Distance Tables Sup #2'!C18*'Other Assumptions'!G66*'Other Assumptions'!G70+'Total Distance Tables Sup #2'!C19*'Other Assumptions'!G66*'Other Assumptions'!G70</f>
        <v>466.70233909568009</v>
      </c>
      <c r="D23" s="4">
        <f ca="1">'Total Distance Tables Sup #2'!D23+'Total Distance Tables Sup #2'!D18*'Other Assumptions'!H66*'Other Assumptions'!H70+'Total Distance Tables Sup #2'!D19*'Other Assumptions'!H66*'Other Assumptions'!H70</f>
        <v>612.34079847648843</v>
      </c>
      <c r="E23" s="4">
        <f ca="1">'Total Distance Tables Sup #2'!E23+'Total Distance Tables Sup #2'!E18*'Other Assumptions'!I66*'Other Assumptions'!I70+'Total Distance Tables Sup #2'!E19*'Other Assumptions'!I66*'Other Assumptions'!I70</f>
        <v>733.22808150172034</v>
      </c>
      <c r="F23" s="4">
        <f ca="1">'Total Distance Tables Sup #2'!F23+'Total Distance Tables Sup #2'!F18*'Other Assumptions'!J66*'Other Assumptions'!J70+'Total Distance Tables Sup #2'!F19*'Other Assumptions'!J66*'Other Assumptions'!J70</f>
        <v>784.25600785752545</v>
      </c>
      <c r="G23" s="4">
        <f ca="1">'Total Distance Tables Sup #2'!G23+'Total Distance Tables Sup #2'!G18*'Other Assumptions'!K66*'Other Assumptions'!K70+'Total Distance Tables Sup #2'!G19*'Other Assumptions'!K66*'Other Assumptions'!K70</f>
        <v>826.72232102138798</v>
      </c>
      <c r="H23" s="4">
        <f ca="1">'Total Distance Tables Sup #2'!H23+'Total Distance Tables Sup #2'!H18*'Other Assumptions'!L66*'Other Assumptions'!L70+'Total Distance Tables Sup #2'!H19*'Other Assumptions'!L66*'Other Assumptions'!L70</f>
        <v>862.28223910927261</v>
      </c>
      <c r="I23" s="1">
        <f ca="1">'Total Distance Tables Sup #2'!I23+'Total Distance Tables Sup #2'!I18*'Other Assumptions'!M66*'Other Assumptions'!M70+'Total Distance Tables Sup #2'!I19*'Other Assumptions'!M66*'Other Assumptions'!M70</f>
        <v>932.83215667246668</v>
      </c>
      <c r="J23" s="1">
        <f ca="1">'Total Distance Tables Sup #2'!J23+'Total Distance Tables Sup #2'!J18*'Other Assumptions'!N66*'Other Assumptions'!N70+'Total Distance Tables Sup #2'!J19*'Other Assumptions'!N66*'Other Assumptions'!N70</f>
        <v>1006.293736752051</v>
      </c>
      <c r="K23" s="1">
        <f ca="1">'Total Distance Tables Sup #2'!K23+'Total Distance Tables Sup #2'!K18*'Other Assumptions'!O66*'Other Assumptions'!O70+'Total Distance Tables Sup #2'!K19*'Other Assumptions'!O66*'Other Assumptions'!O70</f>
        <v>1085.776588110223</v>
      </c>
    </row>
    <row r="24" spans="1:17" x14ac:dyDescent="0.2">
      <c r="A24" t="str">
        <f ca="1">OFFSET(Auckland_Reference,56,2)</f>
        <v>Local Ferry</v>
      </c>
      <c r="B24" s="4">
        <f ca="1">'Total Distance Tables Sup #2'!B24</f>
        <v>0</v>
      </c>
      <c r="C24" s="4">
        <f ca="1">'Total Distance Tables Sup #2'!C24</f>
        <v>0</v>
      </c>
      <c r="D24" s="4">
        <f ca="1">'Total Distance Tables Sup #2'!D24</f>
        <v>0</v>
      </c>
      <c r="E24" s="4">
        <f ca="1">'Total Distance Tables Sup #2'!E24</f>
        <v>0</v>
      </c>
      <c r="F24" s="4">
        <f ca="1">'Total Distance Tables Sup #2'!F24</f>
        <v>0</v>
      </c>
      <c r="G24" s="4">
        <f ca="1">'Total Distance Tables Sup #2'!G24</f>
        <v>0</v>
      </c>
      <c r="H24" s="4">
        <f ca="1">'Total Distance Tables Sup #2'!H24</f>
        <v>0</v>
      </c>
      <c r="I24" s="1">
        <f ca="1">'Total Distance Tables Sup #2'!I24</f>
        <v>0</v>
      </c>
      <c r="J24" s="1">
        <f ca="1">'Total Distance Tables Sup #2'!J24</f>
        <v>0</v>
      </c>
      <c r="K24" s="1">
        <f ca="1">'Total Distance Tables Sup #2'!K24</f>
        <v>0</v>
      </c>
    </row>
    <row r="25" spans="1:17" x14ac:dyDescent="0.2">
      <c r="A25" t="str">
        <f ca="1">OFFSET(Auckland_Reference,63,2)</f>
        <v>Other Household Travel</v>
      </c>
      <c r="B25" s="4">
        <f ca="1">'Total Distance Tables Sup #2'!B25</f>
        <v>1.8241938706</v>
      </c>
      <c r="C25" s="4">
        <f ca="1">'Total Distance Tables Sup #2'!C25</f>
        <v>1.8247395548120247</v>
      </c>
      <c r="D25" s="4">
        <f ca="1">'Total Distance Tables Sup #2'!D25</f>
        <v>1.7523776218586544</v>
      </c>
      <c r="E25" s="4">
        <f ca="1">'Total Distance Tables Sup #2'!E25</f>
        <v>2.0194934604915908</v>
      </c>
      <c r="F25" s="4">
        <f ca="1">'Total Distance Tables Sup #2'!F25</f>
        <v>2.1587599506921595</v>
      </c>
      <c r="G25" s="4">
        <f ca="1">'Total Distance Tables Sup #2'!G25</f>
        <v>2.147982068889811</v>
      </c>
      <c r="H25" s="4">
        <f ca="1">'Total Distance Tables Sup #2'!H25</f>
        <v>2.0889530747354486</v>
      </c>
      <c r="I25" s="1">
        <f ca="1">'Total Distance Tables Sup #2'!I25</f>
        <v>2.1378040668588532</v>
      </c>
      <c r="J25" s="1">
        <f ca="1">'Total Distance Tables Sup #2'!J25</f>
        <v>2.1815406951859435</v>
      </c>
      <c r="K25" s="1">
        <f ca="1">'Total Distance Tables Sup #2'!K25</f>
        <v>2.2221028908118754</v>
      </c>
    </row>
    <row r="26" spans="1:17" x14ac:dyDescent="0.2">
      <c r="A26" t="str">
        <f ca="1">OFFSET(Waikato_Reference,0,0)</f>
        <v>03 WAIKATO</v>
      </c>
      <c r="I26" s="1"/>
      <c r="J26" s="1"/>
      <c r="K26" s="1"/>
    </row>
    <row r="27" spans="1:17" x14ac:dyDescent="0.2">
      <c r="A27" t="str">
        <f ca="1">OFFSET(Waikato_Reference,0,2)</f>
        <v>Pedestrian</v>
      </c>
      <c r="B27" s="4">
        <f ca="1">'Total Distance Tables Sup #2'!B27</f>
        <v>52.675735545000002</v>
      </c>
      <c r="C27" s="4">
        <f ca="1">'Total Distance Tables Sup #2'!C27</f>
        <v>56.693094616848931</v>
      </c>
      <c r="D27" s="4">
        <f ca="1">'Total Distance Tables Sup #2'!D27</f>
        <v>60.842374663221484</v>
      </c>
      <c r="E27" s="4">
        <f ca="1">'Total Distance Tables Sup #2'!E27</f>
        <v>63.973811196913353</v>
      </c>
      <c r="F27" s="4">
        <f ca="1">'Total Distance Tables Sup #2'!F27</f>
        <v>66.443534260680352</v>
      </c>
      <c r="G27" s="4">
        <f ca="1">'Total Distance Tables Sup #2'!G27</f>
        <v>68.692198640868483</v>
      </c>
      <c r="H27" s="4">
        <f ca="1">'Total Distance Tables Sup #2'!H27</f>
        <v>70.653665872562073</v>
      </c>
      <c r="I27" s="1">
        <f ca="1">'Total Distance Tables Sup #2'!I27</f>
        <v>71.724064495496648</v>
      </c>
      <c r="J27" s="1">
        <f ca="1">'Total Distance Tables Sup #2'!J27</f>
        <v>72.57503648909433</v>
      </c>
      <c r="K27" s="1">
        <f ca="1">'Total Distance Tables Sup #2'!K27</f>
        <v>73.274135764349083</v>
      </c>
    </row>
    <row r="28" spans="1:17" x14ac:dyDescent="0.2">
      <c r="A28" t="str">
        <f ca="1">OFFSET(Waikato_Reference,7,2)</f>
        <v>Cyclist</v>
      </c>
      <c r="B28" s="4">
        <f ca="1">'Total Distance Tables Sup #2'!B28</f>
        <v>21.829422874999999</v>
      </c>
      <c r="C28" s="4">
        <f ca="1">'Total Distance Tables Sup #2'!C28</f>
        <v>24.349813323058839</v>
      </c>
      <c r="D28" s="4">
        <f ca="1">'Total Distance Tables Sup #2'!D28</f>
        <v>30.622003487433247</v>
      </c>
      <c r="E28" s="4">
        <f ca="1">'Total Distance Tables Sup #2'!E28</f>
        <v>36.491563715508967</v>
      </c>
      <c r="F28" s="4">
        <f ca="1">'Total Distance Tables Sup #2'!F28</f>
        <v>43.05683131844313</v>
      </c>
      <c r="G28" s="4">
        <f ca="1">'Total Distance Tables Sup #2'!G28</f>
        <v>50.617139077141594</v>
      </c>
      <c r="H28" s="4">
        <f ca="1">'Total Distance Tables Sup #2'!H28</f>
        <v>58.675846903260314</v>
      </c>
      <c r="I28" s="1">
        <f ca="1">'Total Distance Tables Sup #2'!I28</f>
        <v>59.601440786629489</v>
      </c>
      <c r="J28" s="1">
        <f ca="1">'Total Distance Tables Sup #2'!J28</f>
        <v>60.345305637909149</v>
      </c>
      <c r="K28" s="1">
        <f ca="1">'Total Distance Tables Sup #2'!K28</f>
        <v>60.96334440290903</v>
      </c>
    </row>
    <row r="29" spans="1:17" x14ac:dyDescent="0.2">
      <c r="A29" t="str">
        <f ca="1">OFFSET(Waikato_Reference,14,2)</f>
        <v>Light Vehicle Driver</v>
      </c>
      <c r="B29" s="4">
        <f ca="1">'Total Distance Tables Sup #2'!B29</f>
        <v>3709.9843593000001</v>
      </c>
      <c r="C29" s="4">
        <f ca="1">'Total Distance Tables Sup #2'!C29*(1-'Other Assumptions'!G8)</f>
        <v>4134.7838188859669</v>
      </c>
      <c r="D29" s="4">
        <f ca="1">'Total Distance Tables Sup #2'!D29*(1-'Other Assumptions'!H8)</f>
        <v>4365.5787913147242</v>
      </c>
      <c r="E29" s="4">
        <f ca="1">'Total Distance Tables Sup #2'!E29*(1-'Other Assumptions'!I8)</f>
        <v>4111.7324283044254</v>
      </c>
      <c r="F29" s="4">
        <f ca="1">'Total Distance Tables Sup #2'!F29*(1-'Other Assumptions'!J8)</f>
        <v>3796.3788060878414</v>
      </c>
      <c r="G29" s="4">
        <f ca="1">'Total Distance Tables Sup #2'!G29*(1-'Other Assumptions'!K8)</f>
        <v>3407.1711906850528</v>
      </c>
      <c r="H29" s="4">
        <f ca="1">'Total Distance Tables Sup #2'!H29*(1-'Other Assumptions'!L8)</f>
        <v>2979.2573537795497</v>
      </c>
      <c r="I29" s="1">
        <f ca="1">'Total Distance Tables Sup #2'!I29*(1-'Other Assumptions'!M8)</f>
        <v>2525.8543732214061</v>
      </c>
      <c r="J29" s="1">
        <f ca="1">'Total Distance Tables Sup #2'!J29*(1-'Other Assumptions'!N8)</f>
        <v>2049.1119856797504</v>
      </c>
      <c r="K29" s="1">
        <f ca="1">'Total Distance Tables Sup #2'!K29*(1-'Other Assumptions'!O8)</f>
        <v>1554.9949582236036</v>
      </c>
    </row>
    <row r="30" spans="1:17" x14ac:dyDescent="0.2">
      <c r="A30" t="str">
        <f ca="1">OFFSET(Waikato_Reference,21,2)</f>
        <v>Light Vehicle Passenger</v>
      </c>
      <c r="B30" s="4">
        <f ca="1">'Total Distance Tables Sup #2'!B30</f>
        <v>1955.0668243</v>
      </c>
      <c r="C30" s="4">
        <f ca="1">'Total Distance Tables Sup #2'!C30*(1-'Other Assumptions'!G8)</f>
        <v>2098.5251246685793</v>
      </c>
      <c r="D30" s="4">
        <f ca="1">'Total Distance Tables Sup #2'!D30*(1-'Other Assumptions'!H8)</f>
        <v>2169.6653013674068</v>
      </c>
      <c r="E30" s="4">
        <f ca="1">'Total Distance Tables Sup #2'!E30*(1-'Other Assumptions'!I8)</f>
        <v>2002.4411190591566</v>
      </c>
      <c r="F30" s="4">
        <f ca="1">'Total Distance Tables Sup #2'!F30*(1-'Other Assumptions'!J8)</f>
        <v>1809.1680667914611</v>
      </c>
      <c r="G30" s="4">
        <f ca="1">'Total Distance Tables Sup #2'!G30*(1-'Other Assumptions'!K8)</f>
        <v>1596.0185688208985</v>
      </c>
      <c r="H30" s="4">
        <f ca="1">'Total Distance Tables Sup #2'!H30*(1-'Other Assumptions'!L8)</f>
        <v>1371.5596749525751</v>
      </c>
      <c r="I30" s="1">
        <f ca="1">'Total Distance Tables Sup #2'!I30*(1-'Other Assumptions'!M8)</f>
        <v>1163.4029866288183</v>
      </c>
      <c r="J30" s="1">
        <f ca="1">'Total Distance Tables Sup #2'!J30*(1-'Other Assumptions'!N8)</f>
        <v>944.28551262718702</v>
      </c>
      <c r="K30" s="1">
        <f ca="1">'Total Distance Tables Sup #2'!K30*(1-'Other Assumptions'!O8)</f>
        <v>716.94003810113679</v>
      </c>
    </row>
    <row r="31" spans="1:17" x14ac:dyDescent="0.2">
      <c r="A31" t="str">
        <f ca="1">OFFSET(Waikato_Reference,28,2)</f>
        <v>Taxi/Vehicle Share</v>
      </c>
      <c r="B31" s="4">
        <f ca="1">'Total Distance Tables Sup #2'!B31</f>
        <v>2.4426175743999998</v>
      </c>
      <c r="C31" s="4">
        <f ca="1">'Total Distance Tables Sup #2'!C31+((C29+C30)*'Other Assumptions'!G8/(1-'Other Assumptions'!G8))</f>
        <v>2.8368251868126371</v>
      </c>
      <c r="D31" s="4">
        <f ca="1">'Total Distance Tables Sup #2'!D31+((D29+D30)*'Other Assumptions'!H8/(1-'Other Assumptions'!H8))</f>
        <v>3.143816927924282</v>
      </c>
      <c r="E31" s="4">
        <f ca="1">'Total Distance Tables Sup #2'!E31+((E29+E30)*'Other Assumptions'!I8/(1-'Other Assumptions'!I8))</f>
        <v>682.77014126176925</v>
      </c>
      <c r="F31" s="4">
        <f ca="1">'Total Distance Tables Sup #2'!F31+((F29+F30)*'Other Assumptions'!J8/(1-'Other Assumptions'!J8))</f>
        <v>1405.0354774772509</v>
      </c>
      <c r="G31" s="4">
        <f ca="1">'Total Distance Tables Sup #2'!G31+((G29+G30)*'Other Assumptions'!K8/(1-'Other Assumptions'!K8))</f>
        <v>2148.0397011416862</v>
      </c>
      <c r="H31" s="4">
        <f ca="1">'Total Distance Tables Sup #2'!H31+((H29+H30)*'Other Assumptions'!L8/(1-'Other Assumptions'!L8))</f>
        <v>2904.509622121288</v>
      </c>
      <c r="I31" s="1">
        <f ca="1">'Total Distance Tables Sup #2'!I31+((I29+I30)*'Other Assumptions'!M8/(1-'Other Assumptions'!M8))</f>
        <v>3693.277116868242</v>
      </c>
      <c r="J31" s="1">
        <f ca="1">'Total Distance Tables Sup #2'!J31+((J29+J30)*'Other Assumptions'!N8/(1-'Other Assumptions'!N8))</f>
        <v>4494.1583319491392</v>
      </c>
      <c r="K31" s="1">
        <f ca="1">'Total Distance Tables Sup #2'!K31+((K29+K30)*'Other Assumptions'!O8/(1-'Other Assumptions'!O8))</f>
        <v>5305.2774054699139</v>
      </c>
    </row>
    <row r="32" spans="1:17" x14ac:dyDescent="0.2">
      <c r="A32" t="str">
        <f ca="1">OFFSET(Waikato_Reference,35,2)</f>
        <v>Motorcyclist</v>
      </c>
      <c r="B32" s="4">
        <f ca="1">'Total Distance Tables Sup #2'!B32</f>
        <v>38.030338682999997</v>
      </c>
      <c r="C32" s="4">
        <f ca="1">'Total Distance Tables Sup #2'!C32</f>
        <v>42.432881628855164</v>
      </c>
      <c r="D32" s="4">
        <f ca="1">'Total Distance Tables Sup #2'!D32</f>
        <v>44.70178601711234</v>
      </c>
      <c r="E32" s="4">
        <f ca="1">'Total Distance Tables Sup #2'!E32</f>
        <v>45.95227467096116</v>
      </c>
      <c r="F32" s="4">
        <f ca="1">'Total Distance Tables Sup #2'!F32</f>
        <v>46.663308220010805</v>
      </c>
      <c r="G32" s="4">
        <f ca="1">'Total Distance Tables Sup #2'!G32</f>
        <v>46.464742359480589</v>
      </c>
      <c r="H32" s="4">
        <f ca="1">'Total Distance Tables Sup #2'!H32</f>
        <v>45.990611430233997</v>
      </c>
      <c r="I32" s="1">
        <f ca="1">'Total Distance Tables Sup #2'!I32</f>
        <v>47.059908818824951</v>
      </c>
      <c r="J32" s="1">
        <f ca="1">'Total Distance Tables Sup #2'!J32</f>
        <v>47.999286316297827</v>
      </c>
      <c r="K32" s="1">
        <f ca="1">'Total Distance Tables Sup #2'!K32</f>
        <v>48.850376567683178</v>
      </c>
    </row>
    <row r="33" spans="1:11" x14ac:dyDescent="0.2">
      <c r="A33" t="str">
        <f ca="1">OFFSET(Waikato_Reference,42,2)</f>
        <v>Local Train</v>
      </c>
      <c r="B33" s="4">
        <f ca="1">'Total Distance Tables Sup #2'!B33</f>
        <v>0</v>
      </c>
      <c r="C33" s="4">
        <f ca="1">'Total Distance Tables Sup #2'!C33</f>
        <v>0</v>
      </c>
      <c r="D33" s="4">
        <f ca="1">'Total Distance Tables Sup #2'!D33</f>
        <v>0</v>
      </c>
      <c r="E33" s="4">
        <f ca="1">'Total Distance Tables Sup #2'!E33</f>
        <v>0</v>
      </c>
      <c r="F33" s="4">
        <f ca="1">'Total Distance Tables Sup #2'!F33</f>
        <v>0</v>
      </c>
      <c r="G33" s="4">
        <f ca="1">'Total Distance Tables Sup #2'!G33</f>
        <v>0</v>
      </c>
      <c r="H33" s="4">
        <f ca="1">'Total Distance Tables Sup #2'!H33</f>
        <v>0</v>
      </c>
      <c r="I33" s="1">
        <f ca="1">'Total Distance Tables Sup #2'!I33</f>
        <v>0</v>
      </c>
      <c r="J33" s="1">
        <f ca="1">'Total Distance Tables Sup #2'!J33</f>
        <v>0</v>
      </c>
      <c r="K33" s="1">
        <f ca="1">'Total Distance Tables Sup #2'!K33</f>
        <v>0</v>
      </c>
    </row>
    <row r="34" spans="1:11" x14ac:dyDescent="0.2">
      <c r="A34" t="str">
        <f ca="1">OFFSET(Waikato_Reference,49,2)</f>
        <v>Local Bus</v>
      </c>
      <c r="B34" s="4">
        <f ca="1">'Total Distance Tables Sup #2'!B34</f>
        <v>54.303948532</v>
      </c>
      <c r="C34" s="4">
        <f ca="1">'Total Distance Tables Sup #2'!C34</f>
        <v>54.284867913554585</v>
      </c>
      <c r="D34" s="4">
        <f ca="1">'Total Distance Tables Sup #2'!D34</f>
        <v>53.85436766129304</v>
      </c>
      <c r="E34" s="4">
        <f ca="1">'Total Distance Tables Sup #2'!E34</f>
        <v>53.580985945781713</v>
      </c>
      <c r="F34" s="4">
        <f ca="1">'Total Distance Tables Sup #2'!F34</f>
        <v>52.31356812034452</v>
      </c>
      <c r="G34" s="4">
        <f ca="1">'Total Distance Tables Sup #2'!G34</f>
        <v>51.51729532309465</v>
      </c>
      <c r="H34" s="4">
        <f ca="1">'Total Distance Tables Sup #2'!H34</f>
        <v>50.509221444386178</v>
      </c>
      <c r="I34" s="1">
        <f ca="1">'Total Distance Tables Sup #2'!I34</f>
        <v>51.429495656695977</v>
      </c>
      <c r="J34" s="1">
        <f ca="1">'Total Distance Tables Sup #2'!J34</f>
        <v>52.194039661279326</v>
      </c>
      <c r="K34" s="1">
        <f ca="1">'Total Distance Tables Sup #2'!K34</f>
        <v>52.850001925564719</v>
      </c>
    </row>
    <row r="35" spans="1:11" x14ac:dyDescent="0.2">
      <c r="A35" t="str">
        <f ca="1">OFFSET(Waikato_Reference,56,2)</f>
        <v>Local Ferry</v>
      </c>
      <c r="B35" s="4">
        <f ca="1">'Total Distance Tables Sup #2'!B35</f>
        <v>0</v>
      </c>
      <c r="C35" s="4">
        <f ca="1">'Total Distance Tables Sup #2'!C35</f>
        <v>0</v>
      </c>
      <c r="D35" s="4">
        <f ca="1">'Total Distance Tables Sup #2'!D35</f>
        <v>0</v>
      </c>
      <c r="E35" s="4">
        <f ca="1">'Total Distance Tables Sup #2'!E35</f>
        <v>0</v>
      </c>
      <c r="F35" s="4">
        <f ca="1">'Total Distance Tables Sup #2'!F35</f>
        <v>0</v>
      </c>
      <c r="G35" s="4">
        <f ca="1">'Total Distance Tables Sup #2'!G35</f>
        <v>0</v>
      </c>
      <c r="H35" s="4">
        <f ca="1">'Total Distance Tables Sup #2'!H35</f>
        <v>0</v>
      </c>
      <c r="I35" s="1">
        <f ca="1">'Total Distance Tables Sup #2'!I35</f>
        <v>0</v>
      </c>
      <c r="J35" s="1">
        <f ca="1">'Total Distance Tables Sup #2'!J35</f>
        <v>0</v>
      </c>
      <c r="K35" s="1">
        <f ca="1">'Total Distance Tables Sup #2'!K35</f>
        <v>0</v>
      </c>
    </row>
    <row r="36" spans="1:11" x14ac:dyDescent="0.2">
      <c r="A36" t="str">
        <f ca="1">OFFSET(Waikato_Reference,63,2)</f>
        <v>Other Household Travel</v>
      </c>
      <c r="B36" s="4">
        <f ca="1">'Total Distance Tables Sup #2'!B36</f>
        <v>0</v>
      </c>
      <c r="C36" s="4">
        <f ca="1">'Total Distance Tables Sup #2'!C36</f>
        <v>0</v>
      </c>
      <c r="D36" s="4">
        <f ca="1">'Total Distance Tables Sup #2'!D36</f>
        <v>0</v>
      </c>
      <c r="E36" s="4">
        <f ca="1">'Total Distance Tables Sup #2'!E36</f>
        <v>0</v>
      </c>
      <c r="F36" s="4">
        <f ca="1">'Total Distance Tables Sup #2'!F36</f>
        <v>0</v>
      </c>
      <c r="G36" s="4">
        <f ca="1">'Total Distance Tables Sup #2'!G36</f>
        <v>0</v>
      </c>
      <c r="H36" s="4">
        <f ca="1">'Total Distance Tables Sup #2'!H36</f>
        <v>0</v>
      </c>
      <c r="I36" s="1">
        <f ca="1">'Total Distance Tables Sup #2'!I36</f>
        <v>0</v>
      </c>
      <c r="J36" s="1">
        <f ca="1">'Total Distance Tables Sup #2'!J36</f>
        <v>0</v>
      </c>
      <c r="K36" s="1">
        <f ca="1">'Total Distance Tables Sup #2'!K36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'Total Distance Tables Sup #2'!B38</f>
        <v>35.579183637</v>
      </c>
      <c r="C38" s="4">
        <f ca="1">'Total Distance Tables Sup #2'!C38</f>
        <v>37.720087808483846</v>
      </c>
      <c r="D38" s="4">
        <f ca="1">'Total Distance Tables Sup #2'!D38</f>
        <v>40.118417570497947</v>
      </c>
      <c r="E38" s="4">
        <f ca="1">'Total Distance Tables Sup #2'!E38</f>
        <v>41.87304484905772</v>
      </c>
      <c r="F38" s="4">
        <f ca="1">'Total Distance Tables Sup #2'!F38</f>
        <v>43.174437602469112</v>
      </c>
      <c r="G38" s="4">
        <f ca="1">'Total Distance Tables Sup #2'!G38</f>
        <v>44.301607639657689</v>
      </c>
      <c r="H38" s="4">
        <f ca="1">'Total Distance Tables Sup #2'!H38</f>
        <v>45.232711574269672</v>
      </c>
      <c r="I38" s="1">
        <f ca="1">'Total Distance Tables Sup #2'!I38</f>
        <v>45.57908575929082</v>
      </c>
      <c r="J38" s="1">
        <f ca="1">'Total Distance Tables Sup #2'!J38</f>
        <v>45.776955990017761</v>
      </c>
      <c r="K38" s="1">
        <f ca="1">'Total Distance Tables Sup #2'!K38</f>
        <v>45.871671437459618</v>
      </c>
    </row>
    <row r="39" spans="1:11" x14ac:dyDescent="0.2">
      <c r="A39" t="str">
        <f ca="1">OFFSET(BOP_Reference,7,2)</f>
        <v>Cyclist</v>
      </c>
      <c r="B39" s="4">
        <f ca="1">'Total Distance Tables Sup #2'!B39</f>
        <v>8.5028812633000008</v>
      </c>
      <c r="C39" s="4">
        <f ca="1">'Total Distance Tables Sup #2'!C39</f>
        <v>9.3427915116397084</v>
      </c>
      <c r="D39" s="4">
        <f ca="1">'Total Distance Tables Sup #2'!D39</f>
        <v>11.644201978681483</v>
      </c>
      <c r="E39" s="4">
        <f ca="1">'Total Distance Tables Sup #2'!E39</f>
        <v>13.774101598990592</v>
      </c>
      <c r="F39" s="4">
        <f ca="1">'Total Distance Tables Sup #2'!F39</f>
        <v>16.134463150868619</v>
      </c>
      <c r="G39" s="4">
        <f ca="1">'Total Distance Tables Sup #2'!G39</f>
        <v>18.82557085179576</v>
      </c>
      <c r="H39" s="4">
        <f ca="1">'Total Distance Tables Sup #2'!H39</f>
        <v>21.66285934979442</v>
      </c>
      <c r="I39" s="1">
        <f ca="1">'Total Distance Tables Sup #2'!I39</f>
        <v>21.842179197708951</v>
      </c>
      <c r="J39" s="1">
        <f ca="1">'Total Distance Tables Sup #2'!J39</f>
        <v>21.950359060969788</v>
      </c>
      <c r="K39" s="1">
        <f ca="1">'Total Distance Tables Sup #2'!K39</f>
        <v>22.009041752203657</v>
      </c>
    </row>
    <row r="40" spans="1:11" x14ac:dyDescent="0.2">
      <c r="A40" t="str">
        <f ca="1">OFFSET(BOP_Reference,14,2)</f>
        <v>Light Vehicle Driver</v>
      </c>
      <c r="B40" s="4">
        <f ca="1">'Total Distance Tables Sup #2'!B40</f>
        <v>1972.0747595</v>
      </c>
      <c r="C40" s="4">
        <f ca="1">'Total Distance Tables Sup #2'!C40*(1-'Other Assumptions'!G9)</f>
        <v>2165.016770853179</v>
      </c>
      <c r="D40" s="4">
        <f ca="1">'Total Distance Tables Sup #2'!D40*(1-'Other Assumptions'!H9)</f>
        <v>2265.4973574171531</v>
      </c>
      <c r="E40" s="4">
        <f ca="1">'Total Distance Tables Sup #2'!E40*(1-'Other Assumptions'!I9)</f>
        <v>2118.1602638537111</v>
      </c>
      <c r="F40" s="4">
        <f ca="1">'Total Distance Tables Sup #2'!F40*(1-'Other Assumptions'!J9)</f>
        <v>1941.6191912467639</v>
      </c>
      <c r="G40" s="4">
        <f ca="1">'Total Distance Tables Sup #2'!G40*(1-'Other Assumptions'!K9)</f>
        <v>1729.6125684536873</v>
      </c>
      <c r="H40" s="4">
        <f ca="1">'Total Distance Tables Sup #2'!H40*(1-'Other Assumptions'!L9)</f>
        <v>1501.3902294957695</v>
      </c>
      <c r="I40" s="1">
        <f ca="1">'Total Distance Tables Sup #2'!I40*(1-'Other Assumptions'!M9)</f>
        <v>1263.503793456289</v>
      </c>
      <c r="J40" s="1">
        <f ca="1">'Total Distance Tables Sup #2'!J40*(1-'Other Assumptions'!N9)</f>
        <v>1017.4023795298081</v>
      </c>
      <c r="K40" s="1">
        <f ca="1">'Total Distance Tables Sup #2'!K40*(1-'Other Assumptions'!O9)</f>
        <v>766.28466974333514</v>
      </c>
    </row>
    <row r="41" spans="1:11" x14ac:dyDescent="0.2">
      <c r="A41" t="str">
        <f ca="1">OFFSET(BOP_Reference,21,2)</f>
        <v>Light Vehicle Passenger</v>
      </c>
      <c r="B41" s="4">
        <f ca="1">'Total Distance Tables Sup #2'!B41</f>
        <v>1385.2330090999999</v>
      </c>
      <c r="C41" s="4">
        <f ca="1">'Total Distance Tables Sup #2'!C41*(1-'Other Assumptions'!G9)</f>
        <v>1464.6456289752832</v>
      </c>
      <c r="D41" s="4">
        <f ca="1">'Total Distance Tables Sup #2'!D41*(1-'Other Assumptions'!H9)</f>
        <v>1501.1589621483217</v>
      </c>
      <c r="E41" s="4">
        <f ca="1">'Total Distance Tables Sup #2'!E41*(1-'Other Assumptions'!I9)</f>
        <v>1375.6493411218171</v>
      </c>
      <c r="F41" s="4">
        <f ca="1">'Total Distance Tables Sup #2'!F41*(1-'Other Assumptions'!J9)</f>
        <v>1234.2228343148506</v>
      </c>
      <c r="G41" s="4">
        <f ca="1">'Total Distance Tables Sup #2'!G41*(1-'Other Assumptions'!K9)</f>
        <v>1081.0082094697289</v>
      </c>
      <c r="H41" s="4">
        <f ca="1">'Total Distance Tables Sup #2'!H41*(1-'Other Assumptions'!L9)</f>
        <v>922.48969834580112</v>
      </c>
      <c r="I41" s="1">
        <f ca="1">'Total Distance Tables Sup #2'!I41*(1-'Other Assumptions'!M9)</f>
        <v>776.70914698153626</v>
      </c>
      <c r="J41" s="1">
        <f ca="1">'Total Distance Tables Sup #2'!J41*(1-'Other Assumptions'!N9)</f>
        <v>625.73312118083447</v>
      </c>
      <c r="K41" s="1">
        <f ca="1">'Total Distance Tables Sup #2'!K41*(1-'Other Assumptions'!O9)</f>
        <v>471.52151492463764</v>
      </c>
    </row>
    <row r="42" spans="1:11" x14ac:dyDescent="0.2">
      <c r="A42" t="str">
        <f ca="1">OFFSET(BOP_Reference,28,2)</f>
        <v>Taxi/Vehicle Share</v>
      </c>
      <c r="B42" s="4">
        <f ca="1">'Total Distance Tables Sup #2'!B42</f>
        <v>0.98369936449999995</v>
      </c>
      <c r="C42" s="4">
        <f ca="1">'Total Distance Tables Sup #2'!C42+((C40+C41)*'Other Assumptions'!G9/(1-'Other Assumptions'!G9))</f>
        <v>1.1253734071136658</v>
      </c>
      <c r="D42" s="4">
        <f ca="1">'Total Distance Tables Sup #2'!D42+((D40+D41)*'Other Assumptions'!H9/(1-'Other Assumptions'!H9))</f>
        <v>1.2359941902045979</v>
      </c>
      <c r="E42" s="4">
        <f ca="1">'Total Distance Tables Sup #2'!E42+((E40+E41)*'Other Assumptions'!I9/(1-'Other Assumptions'!I9))</f>
        <v>389.53478993193681</v>
      </c>
      <c r="F42" s="4">
        <f ca="1">'Total Distance Tables Sup #2'!F42+((F40+F41)*'Other Assumptions'!J9/(1-'Other Assumptions'!J9))</f>
        <v>795.37415254641871</v>
      </c>
      <c r="G42" s="4">
        <f ca="1">'Total Distance Tables Sup #2'!G42+((G40+G41)*'Other Assumptions'!K9/(1-'Other Assumptions'!K9))</f>
        <v>1206.0189547279456</v>
      </c>
      <c r="H42" s="4">
        <f ca="1">'Total Distance Tables Sup #2'!H42+((H40+H41)*'Other Assumptions'!L9/(1-'Other Assumptions'!L9))</f>
        <v>1617.4334283891324</v>
      </c>
      <c r="I42" s="1">
        <f ca="1">'Total Distance Tables Sup #2'!I42+((I40+I41)*'Other Assumptions'!M9/(1-'Other Assumptions'!M9))</f>
        <v>2041.7360181480715</v>
      </c>
      <c r="J42" s="1">
        <f ca="1">'Total Distance Tables Sup #2'!J42+((J40+J41)*'Other Assumptions'!N9/(1-'Other Assumptions'!N9))</f>
        <v>2466.2309231498502</v>
      </c>
      <c r="K42" s="1">
        <f ca="1">'Total Distance Tables Sup #2'!K42+((K40+K41)*'Other Assumptions'!O9/(1-'Other Assumptions'!O9))</f>
        <v>2889.7432234679832</v>
      </c>
    </row>
    <row r="43" spans="1:11" x14ac:dyDescent="0.2">
      <c r="A43" t="str">
        <f ca="1">OFFSET(BOP_Reference,35,2)</f>
        <v>Motorcyclist</v>
      </c>
      <c r="B43" s="4">
        <f ca="1">'Total Distance Tables Sup #2'!B43</f>
        <v>35.608960758999999</v>
      </c>
      <c r="C43" s="4">
        <f ca="1">'Total Distance Tables Sup #2'!C43</f>
        <v>39.137113588161128</v>
      </c>
      <c r="D43" s="4">
        <f ca="1">'Total Distance Tables Sup #2'!D43</f>
        <v>40.860742035464092</v>
      </c>
      <c r="E43" s="4">
        <f ca="1">'Total Distance Tables Sup #2'!E43</f>
        <v>41.694912596440986</v>
      </c>
      <c r="F43" s="4">
        <f ca="1">'Total Distance Tables Sup #2'!F43</f>
        <v>42.033274545002904</v>
      </c>
      <c r="G43" s="4">
        <f ca="1">'Total Distance Tables Sup #2'!G43</f>
        <v>41.541228741084026</v>
      </c>
      <c r="H43" s="4">
        <f ca="1">'Total Distance Tables Sup #2'!H43</f>
        <v>40.816037674361112</v>
      </c>
      <c r="I43" s="1">
        <f ca="1">'Total Distance Tables Sup #2'!I43</f>
        <v>41.456776891303583</v>
      </c>
      <c r="J43" s="1">
        <f ca="1">'Total Distance Tables Sup #2'!J43</f>
        <v>41.969922092735658</v>
      </c>
      <c r="K43" s="1">
        <f ca="1">'Total Distance Tables Sup #2'!K43</f>
        <v>42.394108949951388</v>
      </c>
    </row>
    <row r="44" spans="1:11" x14ac:dyDescent="0.2">
      <c r="A44" t="str">
        <f ca="1">OFFSET(Auckland_Reference,42,2)</f>
        <v>Local Train</v>
      </c>
      <c r="B44" s="4">
        <f ca="1">'Total Distance Tables Sup #2'!B44</f>
        <v>0</v>
      </c>
      <c r="C44" s="4">
        <f ca="1">'Total Distance Tables Sup #2'!C44</f>
        <v>0</v>
      </c>
      <c r="D44" s="4">
        <f ca="1">'Total Distance Tables Sup #2'!D44</f>
        <v>0</v>
      </c>
      <c r="E44" s="4">
        <f ca="1">'Total Distance Tables Sup #2'!E44</f>
        <v>0</v>
      </c>
      <c r="F44" s="4">
        <f ca="1">'Total Distance Tables Sup #2'!F44</f>
        <v>0</v>
      </c>
      <c r="G44" s="4">
        <f ca="1">'Total Distance Tables Sup #2'!G44</f>
        <v>0</v>
      </c>
      <c r="H44" s="4">
        <f ca="1">'Total Distance Tables Sup #2'!H44</f>
        <v>0</v>
      </c>
      <c r="I44" s="1">
        <f ca="1">'Total Distance Tables Sup #2'!I44</f>
        <v>0</v>
      </c>
      <c r="J44" s="1">
        <f ca="1">'Total Distance Tables Sup #2'!J44</f>
        <v>0</v>
      </c>
      <c r="K44" s="1">
        <f ca="1">'Total Distance Tables Sup #2'!K44</f>
        <v>0</v>
      </c>
    </row>
    <row r="45" spans="1:11" x14ac:dyDescent="0.2">
      <c r="A45" t="str">
        <f ca="1">OFFSET(BOP_Reference,42,2)</f>
        <v>Local Bus</v>
      </c>
      <c r="B45" s="4">
        <f ca="1">'Total Distance Tables Sup #2'!B45</f>
        <v>52.669440211999998</v>
      </c>
      <c r="C45" s="4">
        <f ca="1">'Total Distance Tables Sup #2'!C45</f>
        <v>51.863669360445719</v>
      </c>
      <c r="D45" s="4">
        <f ca="1">'Total Distance Tables Sup #2'!D45</f>
        <v>50.991817570640528</v>
      </c>
      <c r="E45" s="4">
        <f ca="1">'Total Distance Tables Sup #2'!E45</f>
        <v>50.359909619139813</v>
      </c>
      <c r="F45" s="4">
        <f ca="1">'Total Distance Tables Sup #2'!F45</f>
        <v>48.812407656394882</v>
      </c>
      <c r="G45" s="4">
        <f ca="1">'Total Distance Tables Sup #2'!G45</f>
        <v>47.709739669433688</v>
      </c>
      <c r="H45" s="4">
        <f ca="1">'Total Distance Tables Sup #2'!H45</f>
        <v>46.43340377726021</v>
      </c>
      <c r="I45" s="1">
        <f ca="1">'Total Distance Tables Sup #2'!I45</f>
        <v>46.93047025035969</v>
      </c>
      <c r="J45" s="1">
        <f ca="1">'Total Distance Tables Sup #2'!J45</f>
        <v>47.274014251731444</v>
      </c>
      <c r="K45" s="1">
        <f ca="1">'Total Distance Tables Sup #2'!K45</f>
        <v>47.509536199977966</v>
      </c>
    </row>
    <row r="46" spans="1:11" x14ac:dyDescent="0.2">
      <c r="A46" t="str">
        <f ca="1">OFFSET(Waikato_Reference,56,2)</f>
        <v>Local Ferry</v>
      </c>
      <c r="B46" s="4">
        <f>'Total Distance Tables Sup #2'!B46</f>
        <v>0</v>
      </c>
      <c r="C46" s="4">
        <f ca="1">'Total Distance Tables Sup #2'!C46</f>
        <v>0</v>
      </c>
      <c r="D46" s="4">
        <f ca="1">'Total Distance Tables Sup #2'!D46</f>
        <v>0</v>
      </c>
      <c r="E46" s="4">
        <f ca="1">'Total Distance Tables Sup #2'!E46</f>
        <v>0</v>
      </c>
      <c r="F46" s="4">
        <f ca="1">'Total Distance Tables Sup #2'!F46</f>
        <v>0</v>
      </c>
      <c r="G46" s="4">
        <f ca="1">'Total Distance Tables Sup #2'!G46</f>
        <v>0</v>
      </c>
      <c r="H46" s="4">
        <f ca="1">'Total Distance Tables Sup #2'!H46</f>
        <v>0</v>
      </c>
      <c r="I46" s="1">
        <f ca="1">'Total Distance Tables Sup #2'!I46</f>
        <v>0</v>
      </c>
      <c r="J46" s="1">
        <f ca="1">'Total Distance Tables Sup #2'!J46</f>
        <v>0</v>
      </c>
      <c r="K46" s="1">
        <f ca="1">'Total Distance Tables Sup #2'!K46</f>
        <v>0</v>
      </c>
    </row>
    <row r="47" spans="1:11" x14ac:dyDescent="0.2">
      <c r="A47" t="str">
        <f ca="1">OFFSET(BOP_Reference,49,2)</f>
        <v>Other Household Travel</v>
      </c>
      <c r="B47" s="4">
        <f ca="1">'Total Distance Tables Sup #2'!B47</f>
        <v>0</v>
      </c>
      <c r="C47" s="4">
        <f ca="1">'Total Distance Tables Sup #2'!C47</f>
        <v>0</v>
      </c>
      <c r="D47" s="4">
        <f ca="1">'Total Distance Tables Sup #2'!D47</f>
        <v>0</v>
      </c>
      <c r="E47" s="4">
        <f ca="1">'Total Distance Tables Sup #2'!E47</f>
        <v>0</v>
      </c>
      <c r="F47" s="4">
        <f ca="1">'Total Distance Tables Sup #2'!F47</f>
        <v>0</v>
      </c>
      <c r="G47" s="4">
        <f ca="1">'Total Distance Tables Sup #2'!G47</f>
        <v>0</v>
      </c>
      <c r="H47" s="4">
        <f ca="1">'Total Distance Tables Sup #2'!H47</f>
        <v>0</v>
      </c>
      <c r="I47" s="1">
        <f ca="1">'Total Distance Tables Sup #2'!I47</f>
        <v>0</v>
      </c>
      <c r="J47" s="1">
        <f ca="1">'Total Distance Tables Sup #2'!J47</f>
        <v>0</v>
      </c>
      <c r="K47" s="1">
        <f ca="1">'Total Distance Tables Sup #2'!K47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'Total Distance Tables Sup #2'!B49</f>
        <v>7.5635235767999998</v>
      </c>
      <c r="C49" s="4">
        <f ca="1">'Total Distance Tables Sup #2'!C49</f>
        <v>7.6668020780627968</v>
      </c>
      <c r="D49" s="4">
        <f ca="1">'Total Distance Tables Sup #2'!D49</f>
        <v>7.9507011286910503</v>
      </c>
      <c r="E49" s="4">
        <f ca="1">'Total Distance Tables Sup #2'!E49</f>
        <v>8.1365865185795396</v>
      </c>
      <c r="F49" s="4">
        <f ca="1">'Total Distance Tables Sup #2'!F49</f>
        <v>8.2331131628667205</v>
      </c>
      <c r="G49" s="4">
        <f ca="1">'Total Distance Tables Sup #2'!G49</f>
        <v>8.2848264896669246</v>
      </c>
      <c r="H49" s="4">
        <f ca="1">'Total Distance Tables Sup #2'!H49</f>
        <v>8.3015505927276614</v>
      </c>
      <c r="I49" s="1">
        <f ca="1">'Total Distance Tables Sup #2'!I49</f>
        <v>8.2104773018047457</v>
      </c>
      <c r="J49" s="1">
        <f ca="1">'Total Distance Tables Sup #2'!J49</f>
        <v>8.094715792881475</v>
      </c>
      <c r="K49" s="1">
        <f ca="1">'Total Distance Tables Sup #2'!K49</f>
        <v>7.9635940104914145</v>
      </c>
    </row>
    <row r="50" spans="1:11" x14ac:dyDescent="0.2">
      <c r="A50" t="str">
        <f ca="1">OFFSET(Gisborne_Reference,7,2)</f>
        <v>Cyclist</v>
      </c>
      <c r="B50" s="4">
        <f ca="1">'Total Distance Tables Sup #2'!B50</f>
        <v>3.8031873472000002</v>
      </c>
      <c r="C50" s="4">
        <f ca="1">'Total Distance Tables Sup #2'!C50</f>
        <v>3.995504584703685</v>
      </c>
      <c r="D50" s="4">
        <f ca="1">'Total Distance Tables Sup #2'!D50</f>
        <v>4.8553974182931592</v>
      </c>
      <c r="E50" s="4">
        <f ca="1">'Total Distance Tables Sup #2'!E50</f>
        <v>5.6315041119463061</v>
      </c>
      <c r="F50" s="4">
        <f ca="1">'Total Distance Tables Sup #2'!F50</f>
        <v>6.4735921462257808</v>
      </c>
      <c r="G50" s="4">
        <f ca="1">'Total Distance Tables Sup #2'!G50</f>
        <v>7.4073950030263207</v>
      </c>
      <c r="H50" s="4">
        <f ca="1">'Total Distance Tables Sup #2'!H50</f>
        <v>8.3651897134040514</v>
      </c>
      <c r="I50" s="1">
        <f ca="1">'Total Distance Tables Sup #2'!I50</f>
        <v>8.2785100422272357</v>
      </c>
      <c r="J50" s="1">
        <f ca="1">'Total Distance Tables Sup #2'!J50</f>
        <v>8.1667590556084821</v>
      </c>
      <c r="K50" s="1">
        <f ca="1">'Total Distance Tables Sup #2'!K50</f>
        <v>8.0393159990061935</v>
      </c>
    </row>
    <row r="51" spans="1:11" x14ac:dyDescent="0.2">
      <c r="A51" t="str">
        <f ca="1">OFFSET(Gisborne_Reference,14,2)</f>
        <v>Light Vehicle Driver</v>
      </c>
      <c r="B51" s="4">
        <f ca="1">'Total Distance Tables Sup #2'!B51</f>
        <v>241.40144318</v>
      </c>
      <c r="C51" s="4">
        <f ca="1">'Total Distance Tables Sup #2'!C51*(1-'Other Assumptions'!G10)</f>
        <v>253.3909636869648</v>
      </c>
      <c r="D51" s="4">
        <f ca="1">'Total Distance Tables Sup #2'!D51*(1-'Other Assumptions'!H10)</f>
        <v>258.35214798907072</v>
      </c>
      <c r="E51" s="4">
        <f ca="1">'Total Distance Tables Sup #2'!E51*(1-'Other Assumptions'!I10)</f>
        <v>236.68306360524554</v>
      </c>
      <c r="F51" s="4">
        <f ca="1">'Total Distance Tables Sup #2'!F51*(1-'Other Assumptions'!J10)</f>
        <v>212.77377313616776</v>
      </c>
      <c r="G51" s="4">
        <f ca="1">'Total Distance Tables Sup #2'!G51*(1-'Other Assumptions'!K10)</f>
        <v>185.74876671576246</v>
      </c>
      <c r="H51" s="4">
        <f ca="1">'Total Distance Tables Sup #2'!H51*(1-'Other Assumptions'!L10)</f>
        <v>158.12396204269467</v>
      </c>
      <c r="I51" s="1">
        <f ca="1">'Total Distance Tables Sup #2'!I51*(1-'Other Assumptions'!M10)</f>
        <v>130.61087852208377</v>
      </c>
      <c r="J51" s="1">
        <f ca="1">'Total Distance Tables Sup #2'!J51*(1-'Other Assumptions'!N10)</f>
        <v>103.24045986083978</v>
      </c>
      <c r="K51" s="1">
        <f ca="1">'Total Distance Tables Sup #2'!K51*(1-'Other Assumptions'!O10)</f>
        <v>76.341314162240266</v>
      </c>
    </row>
    <row r="52" spans="1:11" x14ac:dyDescent="0.2">
      <c r="A52" t="str">
        <f ca="1">OFFSET(Gisborne_Reference,21,2)</f>
        <v>Light Vehicle Passenger</v>
      </c>
      <c r="B52" s="4">
        <f ca="1">'Total Distance Tables Sup #2'!B52</f>
        <v>174.74236519999999</v>
      </c>
      <c r="C52" s="4">
        <f ca="1">'Total Distance Tables Sup #2'!C52*(1-'Other Assumptions'!G10)</f>
        <v>176.65311847740119</v>
      </c>
      <c r="D52" s="4">
        <f ca="1">'Total Distance Tables Sup #2'!D52*(1-'Other Assumptions'!H10)</f>
        <v>176.36056968037889</v>
      </c>
      <c r="E52" s="4">
        <f ca="1">'Total Distance Tables Sup #2'!E52*(1-'Other Assumptions'!I10)</f>
        <v>158.30665224249944</v>
      </c>
      <c r="F52" s="4">
        <f ca="1">'Total Distance Tables Sup #2'!F52*(1-'Other Assumptions'!J10)</f>
        <v>139.24164738672494</v>
      </c>
      <c r="G52" s="4">
        <f ca="1">'Total Distance Tables Sup #2'!G52*(1-'Other Assumptions'!K10)</f>
        <v>119.4660538185408</v>
      </c>
      <c r="H52" s="4">
        <f ca="1">'Total Distance Tables Sup #2'!H52*(1-'Other Assumptions'!L10)</f>
        <v>99.93028857575645</v>
      </c>
      <c r="I52" s="1">
        <f ca="1">'Total Distance Tables Sup #2'!I52*(1-'Other Assumptions'!M10)</f>
        <v>82.583875884409835</v>
      </c>
      <c r="J52" s="1">
        <f ca="1">'Total Distance Tables Sup #2'!J52*(1-'Other Assumptions'!N10)</f>
        <v>65.310481053084274</v>
      </c>
      <c r="K52" s="1">
        <f ca="1">'Total Distance Tables Sup #2'!K52*(1-'Other Assumptions'!O10)</f>
        <v>48.318124665522262</v>
      </c>
    </row>
    <row r="53" spans="1:11" x14ac:dyDescent="0.2">
      <c r="A53" t="str">
        <f ca="1">OFFSET(Gisborne_Reference,28,2)</f>
        <v>Taxi/Vehicle Share</v>
      </c>
      <c r="B53" s="4">
        <f ca="1">'Total Distance Tables Sup #2'!B53</f>
        <v>0.1174510768</v>
      </c>
      <c r="C53" s="4">
        <f ca="1">'Total Distance Tables Sup #2'!C53+((C51+C52)*'Other Assumptions'!G10/(1-'Other Assumptions'!G10))</f>
        <v>0.12847085995886276</v>
      </c>
      <c r="D53" s="4">
        <f ca="1">'Total Distance Tables Sup #2'!D53+((D51+D52)*'Other Assumptions'!H10/(1-'Other Assumptions'!H10))</f>
        <v>0.13757657370376708</v>
      </c>
      <c r="E53" s="4">
        <f ca="1">'Total Distance Tables Sup #2'!E53+((E51+E52)*'Other Assumptions'!I10/(1-'Other Assumptions'!I10))</f>
        <v>44.033305411135366</v>
      </c>
      <c r="F53" s="4">
        <f ca="1">'Total Distance Tables Sup #2'!F53+((F51+F52)*'Other Assumptions'!J10/(1-'Other Assumptions'!J10))</f>
        <v>88.155261637012757</v>
      </c>
      <c r="G53" s="4">
        <f ca="1">'Total Distance Tables Sup #2'!G53+((G51+G52)*'Other Assumptions'!K10/(1-'Other Assumptions'!K10))</f>
        <v>130.96045694234172</v>
      </c>
      <c r="H53" s="4">
        <f ca="1">'Total Distance Tables Sup #2'!H53+((H51+H52)*'Other Assumptions'!L10/(1-'Other Assumptions'!L10))</f>
        <v>172.1921757373708</v>
      </c>
      <c r="I53" s="1">
        <f ca="1">'Total Distance Tables Sup #2'!I53+((I51+I52)*'Other Assumptions'!M10/(1-'Other Assumptions'!M10))</f>
        <v>213.34885037737527</v>
      </c>
      <c r="J53" s="1">
        <f ca="1">'Total Distance Tables Sup #2'!J53+((J51+J52)*'Other Assumptions'!N10/(1-'Other Assumptions'!N10))</f>
        <v>252.97813431572817</v>
      </c>
      <c r="K53" s="1">
        <f ca="1">'Total Distance Tables Sup #2'!K53+((K51+K52)*'Other Assumptions'!O10/(1-'Other Assumptions'!O10))</f>
        <v>291.02109025392423</v>
      </c>
    </row>
    <row r="54" spans="1:11" x14ac:dyDescent="0.2">
      <c r="A54" t="str">
        <f ca="1">OFFSET(Gisborne_Reference,35,2)</f>
        <v>Motorcyclist</v>
      </c>
      <c r="B54" s="4">
        <f ca="1">'Total Distance Tables Sup #2'!B54</f>
        <v>0.95186353219999997</v>
      </c>
      <c r="C54" s="4">
        <f ca="1">'Total Distance Tables Sup #2'!C54</f>
        <v>1.0002707122978947</v>
      </c>
      <c r="D54" s="4">
        <f ca="1">'Total Distance Tables Sup #2'!D54</f>
        <v>1.0182515657889506</v>
      </c>
      <c r="E54" s="4">
        <f ca="1">'Total Distance Tables Sup #2'!E54</f>
        <v>1.0187742880243813</v>
      </c>
      <c r="F54" s="4">
        <f ca="1">'Total Distance Tables Sup #2'!F54</f>
        <v>1.0079008779491758</v>
      </c>
      <c r="G54" s="4">
        <f ca="1">'Total Distance Tables Sup #2'!G54</f>
        <v>0.97685582969866991</v>
      </c>
      <c r="H54" s="4">
        <f ca="1">'Total Distance Tables Sup #2'!H54</f>
        <v>0.94194303950428282</v>
      </c>
      <c r="I54" s="1">
        <f ca="1">'Total Distance Tables Sup #2'!I54</f>
        <v>0.93904311493141446</v>
      </c>
      <c r="J54" s="1">
        <f ca="1">'Total Distance Tables Sup #2'!J54</f>
        <v>0.93321145578272513</v>
      </c>
      <c r="K54" s="1">
        <f ca="1">'Total Distance Tables Sup #2'!K54</f>
        <v>0.92545916639180903</v>
      </c>
    </row>
    <row r="55" spans="1:11" x14ac:dyDescent="0.2">
      <c r="A55" t="str">
        <f ca="1">OFFSET(Gisborne_Reference,42,2)</f>
        <v>Local Train</v>
      </c>
      <c r="B55" s="4">
        <f ca="1">'Total Distance Tables Sup #2'!B55</f>
        <v>0</v>
      </c>
      <c r="C55" s="4">
        <f ca="1">'Total Distance Tables Sup #2'!C55</f>
        <v>0</v>
      </c>
      <c r="D55" s="4">
        <f ca="1">'Total Distance Tables Sup #2'!D55</f>
        <v>0</v>
      </c>
      <c r="E55" s="4">
        <f ca="1">'Total Distance Tables Sup #2'!E55</f>
        <v>0</v>
      </c>
      <c r="F55" s="4">
        <f ca="1">'Total Distance Tables Sup #2'!F55</f>
        <v>0</v>
      </c>
      <c r="G55" s="4">
        <f ca="1">'Total Distance Tables Sup #2'!G55</f>
        <v>0</v>
      </c>
      <c r="H55" s="4">
        <f ca="1">'Total Distance Tables Sup #2'!H55</f>
        <v>0</v>
      </c>
      <c r="I55" s="1">
        <f ca="1">'Total Distance Tables Sup #2'!I55</f>
        <v>0</v>
      </c>
      <c r="J55" s="1">
        <f ca="1">'Total Distance Tables Sup #2'!J55</f>
        <v>0</v>
      </c>
      <c r="K55" s="1">
        <f ca="1">'Total Distance Tables Sup #2'!K55</f>
        <v>0</v>
      </c>
    </row>
    <row r="56" spans="1:11" x14ac:dyDescent="0.2">
      <c r="A56" t="str">
        <f ca="1">OFFSET(Gisborne_Reference,49,2)</f>
        <v>Local Bus</v>
      </c>
      <c r="B56" s="4">
        <f ca="1">'Total Distance Tables Sup #2'!B56</f>
        <v>4.8778387282000004</v>
      </c>
      <c r="C56" s="4">
        <f ca="1">'Total Distance Tables Sup #2'!C56</f>
        <v>4.5924596124923855</v>
      </c>
      <c r="D56" s="4">
        <f ca="1">'Total Distance Tables Sup #2'!D56</f>
        <v>4.4025335610377505</v>
      </c>
      <c r="E56" s="4">
        <f ca="1">'Total Distance Tables Sup #2'!E56</f>
        <v>4.2631753432682205</v>
      </c>
      <c r="F56" s="4">
        <f ca="1">'Total Distance Tables Sup #2'!F56</f>
        <v>4.0551616795244705</v>
      </c>
      <c r="G56" s="4">
        <f ca="1">'Total Distance Tables Sup #2'!G56</f>
        <v>3.886973024946673</v>
      </c>
      <c r="H56" s="4">
        <f ca="1">'Total Distance Tables Sup #2'!H56</f>
        <v>3.7125957676692409</v>
      </c>
      <c r="I56" s="1">
        <f ca="1">'Total Distance Tables Sup #2'!I56</f>
        <v>3.6829705824919623</v>
      </c>
      <c r="J56" s="1">
        <f ca="1">'Total Distance Tables Sup #2'!J56</f>
        <v>3.6418137031233249</v>
      </c>
      <c r="K56" s="1">
        <f ca="1">'Total Distance Tables Sup #2'!K56</f>
        <v>3.5932371906366432</v>
      </c>
    </row>
    <row r="57" spans="1:11" x14ac:dyDescent="0.2">
      <c r="A57" t="str">
        <f ca="1">OFFSET(Gisborne_Reference,56,2)</f>
        <v>Local Ferry</v>
      </c>
      <c r="B57" s="4">
        <f ca="1">'Total Distance Tables Sup #2'!B57</f>
        <v>0</v>
      </c>
      <c r="C57" s="4">
        <f ca="1">'Total Distance Tables Sup #2'!C57</f>
        <v>0</v>
      </c>
      <c r="D57" s="4">
        <f ca="1">'Total Distance Tables Sup #2'!D57</f>
        <v>0</v>
      </c>
      <c r="E57" s="4">
        <f ca="1">'Total Distance Tables Sup #2'!E57</f>
        <v>0</v>
      </c>
      <c r="F57" s="4">
        <f ca="1">'Total Distance Tables Sup #2'!F57</f>
        <v>0</v>
      </c>
      <c r="G57" s="4">
        <f ca="1">'Total Distance Tables Sup #2'!G57</f>
        <v>0</v>
      </c>
      <c r="H57" s="4">
        <f ca="1">'Total Distance Tables Sup #2'!H57</f>
        <v>0</v>
      </c>
      <c r="I57" s="1">
        <f ca="1">'Total Distance Tables Sup #2'!I57</f>
        <v>0</v>
      </c>
      <c r="J57" s="1">
        <f ca="1">'Total Distance Tables Sup #2'!J57</f>
        <v>0</v>
      </c>
      <c r="K57" s="1">
        <f ca="1">'Total Distance Tables Sup #2'!K57</f>
        <v>0</v>
      </c>
    </row>
    <row r="58" spans="1:11" x14ac:dyDescent="0.2">
      <c r="A58" t="str">
        <f ca="1">OFFSET(Gisborne_Reference,63,2)</f>
        <v>Other Household Travel</v>
      </c>
      <c r="B58" s="4">
        <f ca="1">'Total Distance Tables Sup #2'!B58</f>
        <v>0</v>
      </c>
      <c r="C58" s="4">
        <f ca="1">'Total Distance Tables Sup #2'!C58</f>
        <v>0</v>
      </c>
      <c r="D58" s="4">
        <f ca="1">'Total Distance Tables Sup #2'!D58</f>
        <v>0</v>
      </c>
      <c r="E58" s="4">
        <f ca="1">'Total Distance Tables Sup #2'!E58</f>
        <v>0</v>
      </c>
      <c r="F58" s="4">
        <f ca="1">'Total Distance Tables Sup #2'!F58</f>
        <v>0</v>
      </c>
      <c r="G58" s="4">
        <f ca="1">'Total Distance Tables Sup #2'!G58</f>
        <v>0</v>
      </c>
      <c r="H58" s="4">
        <f ca="1">'Total Distance Tables Sup #2'!H58</f>
        <v>0</v>
      </c>
      <c r="I58" s="1">
        <f ca="1">'Total Distance Tables Sup #2'!I58</f>
        <v>0</v>
      </c>
      <c r="J58" s="1">
        <f ca="1">'Total Distance Tables Sup #2'!J58</f>
        <v>0</v>
      </c>
      <c r="K58" s="1">
        <f ca="1">'Total Distance Tables Sup #2'!K58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'Total Distance Tables Sup #2'!B60</f>
        <v>22.691613215</v>
      </c>
      <c r="C60" s="4">
        <f ca="1">'Total Distance Tables Sup #2'!C60</f>
        <v>23.8748205727928</v>
      </c>
      <c r="D60" s="4">
        <f ca="1">'Total Distance Tables Sup #2'!D60</f>
        <v>25.379046220323808</v>
      </c>
      <c r="E60" s="4">
        <f ca="1">'Total Distance Tables Sup #2'!E60</f>
        <v>26.494987661287642</v>
      </c>
      <c r="F60" s="4">
        <f ca="1">'Total Distance Tables Sup #2'!F60</f>
        <v>27.329530598916524</v>
      </c>
      <c r="G60" s="4">
        <f ca="1">'Total Distance Tables Sup #2'!G60</f>
        <v>28.08036500167772</v>
      </c>
      <c r="H60" s="4">
        <f ca="1">'Total Distance Tables Sup #2'!H60</f>
        <v>28.74016151883875</v>
      </c>
      <c r="I60" s="1">
        <f ca="1">'Total Distance Tables Sup #2'!I60</f>
        <v>29.05197350359229</v>
      </c>
      <c r="J60" s="1">
        <f ca="1">'Total Distance Tables Sup #2'!J60</f>
        <v>29.292371205301496</v>
      </c>
      <c r="K60" s="1">
        <f ca="1">'Total Distance Tables Sup #2'!K60</f>
        <v>29.490198242840719</v>
      </c>
    </row>
    <row r="61" spans="1:11" x14ac:dyDescent="0.2">
      <c r="A61" t="str">
        <f ca="1">OFFSET(Hawkes_Bay_Reference,7,2)</f>
        <v>Cyclist</v>
      </c>
      <c r="B61" s="4">
        <f ca="1">'Total Distance Tables Sup #2'!B61</f>
        <v>9.5482363540000001</v>
      </c>
      <c r="C61" s="4">
        <f ca="1">'Total Distance Tables Sup #2'!C61</f>
        <v>10.411941800913239</v>
      </c>
      <c r="D61" s="4">
        <f ca="1">'Total Distance Tables Sup #2'!D61</f>
        <v>12.96966878589568</v>
      </c>
      <c r="E61" s="4">
        <f ca="1">'Total Distance Tables Sup #2'!E61</f>
        <v>15.345467170217756</v>
      </c>
      <c r="F61" s="4">
        <f ca="1">'Total Distance Tables Sup #2'!F61</f>
        <v>17.982400087029067</v>
      </c>
      <c r="G61" s="4">
        <f ca="1">'Total Distance Tables Sup #2'!G61</f>
        <v>21.009662192394305</v>
      </c>
      <c r="H61" s="4">
        <f ca="1">'Total Distance Tables Sup #2'!H61</f>
        <v>24.234832046995422</v>
      </c>
      <c r="I61" s="1">
        <f ca="1">'Total Distance Tables Sup #2'!I61</f>
        <v>24.51284101997085</v>
      </c>
      <c r="J61" s="1">
        <f ca="1">'Total Distance Tables Sup #2'!J61</f>
        <v>24.730727987127874</v>
      </c>
      <c r="K61" s="1">
        <f ca="1">'Total Distance Tables Sup #2'!K61</f>
        <v>24.912764030288159</v>
      </c>
    </row>
    <row r="62" spans="1:11" x14ac:dyDescent="0.2">
      <c r="A62" t="str">
        <f ca="1">OFFSET(Hawkes_Bay_Reference,14,2)</f>
        <v>Light Vehicle Driver</v>
      </c>
      <c r="B62" s="4">
        <f ca="1">'Total Distance Tables Sup #2'!B62</f>
        <v>1001.7566771</v>
      </c>
      <c r="C62" s="4">
        <f ca="1">'Total Distance Tables Sup #2'!C62*(1-'Other Assumptions'!G11)</f>
        <v>1091.4357227696062</v>
      </c>
      <c r="D62" s="4">
        <f ca="1">'Total Distance Tables Sup #2'!D62*(1-'Other Assumptions'!H11)</f>
        <v>1141.1244858052846</v>
      </c>
      <c r="E62" s="4">
        <f ca="1">'Total Distance Tables Sup #2'!E62*(1-'Other Assumptions'!I11)</f>
        <v>1066.8442911011505</v>
      </c>
      <c r="F62" s="4">
        <f ca="1">'Total Distance Tables Sup #2'!F62*(1-'Other Assumptions'!J11)</f>
        <v>978.04376438387214</v>
      </c>
      <c r="G62" s="4">
        <f ca="1">'Total Distance Tables Sup #2'!G62*(1-'Other Assumptions'!K11)</f>
        <v>872.14271536397268</v>
      </c>
      <c r="H62" s="4">
        <f ca="1">'Total Distance Tables Sup #2'!H62*(1-'Other Assumptions'!L11)</f>
        <v>758.6589828129421</v>
      </c>
      <c r="I62" s="1">
        <f ca="1">'Total Distance Tables Sup #2'!I62*(1-'Other Assumptions'!M11)</f>
        <v>640.47782449619638</v>
      </c>
      <c r="J62" s="1">
        <f ca="1">'Total Distance Tables Sup #2'!J62*(1-'Other Assumptions'!N11)</f>
        <v>517.74862952750323</v>
      </c>
      <c r="K62" s="1">
        <f ca="1">'Total Distance Tables Sup #2'!K62*(1-'Other Assumptions'!O11)</f>
        <v>391.7805924014034</v>
      </c>
    </row>
    <row r="63" spans="1:11" x14ac:dyDescent="0.2">
      <c r="A63" t="str">
        <f ca="1">OFFSET(Hawkes_Bay_Reference,21,2)</f>
        <v>Light Vehicle Passenger</v>
      </c>
      <c r="B63" s="4">
        <f ca="1">'Total Distance Tables Sup #2'!B63</f>
        <v>607.82570181000006</v>
      </c>
      <c r="C63" s="4">
        <f ca="1">'Total Distance Tables Sup #2'!C63*(1-'Other Assumptions'!G11)</f>
        <v>637.80337962591511</v>
      </c>
      <c r="D63" s="4">
        <f ca="1">'Total Distance Tables Sup #2'!D63*(1-'Other Assumptions'!H11)</f>
        <v>652.94330591079756</v>
      </c>
      <c r="E63" s="4">
        <f ca="1">'Total Distance Tables Sup #2'!E63*(1-'Other Assumptions'!I11)</f>
        <v>598.11907001076099</v>
      </c>
      <c r="F63" s="4">
        <f ca="1">'Total Distance Tables Sup #2'!F63*(1-'Other Assumptions'!J11)</f>
        <v>536.50478983468349</v>
      </c>
      <c r="G63" s="4">
        <f ca="1">'Total Distance Tables Sup #2'!G63*(1-'Other Assumptions'!K11)</f>
        <v>470.20328207566166</v>
      </c>
      <c r="H63" s="4">
        <f ca="1">'Total Distance Tables Sup #2'!H63*(1-'Other Assumptions'!L11)</f>
        <v>401.92825495386836</v>
      </c>
      <c r="I63" s="1">
        <f ca="1">'Total Distance Tables Sup #2'!I63*(1-'Other Assumptions'!M11)</f>
        <v>339.48610309706049</v>
      </c>
      <c r="J63" s="1">
        <f ca="1">'Total Distance Tables Sup #2'!J63*(1-'Other Assumptions'!N11)</f>
        <v>274.57021047542548</v>
      </c>
      <c r="K63" s="1">
        <f ca="1">'Total Distance Tables Sup #2'!K63*(1-'Other Assumptions'!O11)</f>
        <v>207.87122626273973</v>
      </c>
    </row>
    <row r="64" spans="1:11" x14ac:dyDescent="0.2">
      <c r="A64" t="str">
        <f ca="1">OFFSET(Hawkes_Bay_Reference,28,2)</f>
        <v>Taxi/Vehicle Share</v>
      </c>
      <c r="B64" s="4">
        <f ca="1">'Total Distance Tables Sup #2'!B64</f>
        <v>1.7589425135000001</v>
      </c>
      <c r="C64" s="4">
        <f ca="1">'Total Distance Tables Sup #2'!C64+((C62+C63)*'Other Assumptions'!G11/(1-'Other Assumptions'!G11))</f>
        <v>1.997026976774259</v>
      </c>
      <c r="D64" s="4">
        <f ca="1">'Total Distance Tables Sup #2'!D64+((D62+D63)*'Other Assumptions'!H11/(1-'Other Assumptions'!H11))</f>
        <v>2.1921375100873339</v>
      </c>
      <c r="E64" s="4">
        <f ca="1">'Total Distance Tables Sup #2'!E64+((E62+E63)*'Other Assumptions'!I11/(1-'Other Assumptions'!I11))</f>
        <v>187.36192818321103</v>
      </c>
      <c r="F64" s="4">
        <f ca="1">'Total Distance Tables Sup #2'!F64+((F62+F63)*'Other Assumptions'!J11/(1-'Other Assumptions'!J11))</f>
        <v>381.14593867463276</v>
      </c>
      <c r="G64" s="4">
        <f ca="1">'Total Distance Tables Sup #2'!G64+((G62+G63)*'Other Assumptions'!K11/(1-'Other Assumptions'!K11))</f>
        <v>577.89843752660852</v>
      </c>
      <c r="H64" s="4">
        <f ca="1">'Total Distance Tables Sup #2'!H64+((H62+H63)*'Other Assumptions'!L11/(1-'Other Assumptions'!L11))</f>
        <v>776.42090113509414</v>
      </c>
      <c r="I64" s="1">
        <f ca="1">'Total Distance Tables Sup #2'!I64+((I62+I63)*'Other Assumptions'!M11/(1-'Other Assumptions'!M11))</f>
        <v>982.68570092118603</v>
      </c>
      <c r="J64" s="1">
        <f ca="1">'Total Distance Tables Sup #2'!J64+((J62+J63)*'Other Assumptions'!N11/(1-'Other Assumptions'!N11))</f>
        <v>1191.2189355404737</v>
      </c>
      <c r="K64" s="1">
        <f ca="1">'Total Distance Tables Sup #2'!K64+((K62+K63)*'Other Assumptions'!O11/(1-'Other Assumptions'!O11))</f>
        <v>1401.9430841072719</v>
      </c>
    </row>
    <row r="65" spans="1:11" x14ac:dyDescent="0.2">
      <c r="A65" t="str">
        <f ca="1">OFFSET(Hawkes_Bay_Reference,35,2)</f>
        <v>Motorcyclist</v>
      </c>
      <c r="B65" s="4">
        <f ca="1">'Total Distance Tables Sup #2'!B65</f>
        <v>3.0321841239</v>
      </c>
      <c r="C65" s="4">
        <f ca="1">'Total Distance Tables Sup #2'!C65</f>
        <v>3.3073723493017808</v>
      </c>
      <c r="D65" s="4">
        <f ca="1">'Total Distance Tables Sup #2'!D65</f>
        <v>3.4511563006434756</v>
      </c>
      <c r="E65" s="4">
        <f ca="1">'Total Distance Tables Sup #2'!E65</f>
        <v>3.5224036643922352</v>
      </c>
      <c r="F65" s="4">
        <f ca="1">'Total Distance Tables Sup #2'!F65</f>
        <v>3.5524304582604969</v>
      </c>
      <c r="G65" s="4">
        <f ca="1">'Total Distance Tables Sup #2'!G65</f>
        <v>3.5155192286951116</v>
      </c>
      <c r="H65" s="4">
        <f ca="1">'Total Distance Tables Sup #2'!H65</f>
        <v>3.4625360247278612</v>
      </c>
      <c r="I65" s="1">
        <f ca="1">'Total Distance Tables Sup #2'!I65</f>
        <v>3.5280313951124795</v>
      </c>
      <c r="J65" s="1">
        <f ca="1">'Total Distance Tables Sup #2'!J65</f>
        <v>3.5856893315822846</v>
      </c>
      <c r="K65" s="1">
        <f ca="1">'Total Distance Tables Sup #2'!K65</f>
        <v>3.6388614145478111</v>
      </c>
    </row>
    <row r="66" spans="1:11" x14ac:dyDescent="0.2">
      <c r="A66" t="str">
        <f ca="1">OFFSET(Auckland_Reference,42,2)</f>
        <v>Local Train</v>
      </c>
      <c r="B66" s="4">
        <f ca="1">'Total Distance Tables Sup #2'!B66</f>
        <v>0</v>
      </c>
      <c r="C66" s="4">
        <f ca="1">'Total Distance Tables Sup #2'!C66</f>
        <v>0</v>
      </c>
      <c r="D66" s="4">
        <f ca="1">'Total Distance Tables Sup #2'!D66</f>
        <v>0</v>
      </c>
      <c r="E66" s="4">
        <f ca="1">'Total Distance Tables Sup #2'!E66</f>
        <v>0</v>
      </c>
      <c r="F66" s="4">
        <f ca="1">'Total Distance Tables Sup #2'!F66</f>
        <v>0</v>
      </c>
      <c r="G66" s="4">
        <f ca="1">'Total Distance Tables Sup #2'!G66</f>
        <v>0</v>
      </c>
      <c r="H66" s="4">
        <f ca="1">'Total Distance Tables Sup #2'!H66</f>
        <v>0</v>
      </c>
      <c r="I66" s="1">
        <f ca="1">'Total Distance Tables Sup #2'!I66</f>
        <v>0</v>
      </c>
      <c r="J66" s="1">
        <f ca="1">'Total Distance Tables Sup #2'!J66</f>
        <v>0</v>
      </c>
      <c r="K66" s="1">
        <f ca="1">'Total Distance Tables Sup #2'!K66</f>
        <v>0</v>
      </c>
    </row>
    <row r="67" spans="1:11" x14ac:dyDescent="0.2">
      <c r="A67" t="str">
        <f ca="1">OFFSET(Hawkes_Bay_Reference,42,2)</f>
        <v>Local Bus</v>
      </c>
      <c r="B67" s="4">
        <f ca="1">'Total Distance Tables Sup #2'!B67</f>
        <v>39.591997026999998</v>
      </c>
      <c r="C67" s="4">
        <f ca="1">'Total Distance Tables Sup #2'!C67</f>
        <v>38.691001695471009</v>
      </c>
      <c r="D67" s="4">
        <f ca="1">'Total Distance Tables Sup #2'!D67</f>
        <v>38.019929482520482</v>
      </c>
      <c r="E67" s="4">
        <f ca="1">'Total Distance Tables Sup #2'!E67</f>
        <v>37.557219613036864</v>
      </c>
      <c r="F67" s="4">
        <f ca="1">'Total Distance Tables Sup #2'!F67</f>
        <v>36.417910592924471</v>
      </c>
      <c r="G67" s="4">
        <f ca="1">'Total Distance Tables Sup #2'!G67</f>
        <v>35.642620078932922</v>
      </c>
      <c r="H67" s="4">
        <f ca="1">'Total Distance Tables Sup #2'!H67</f>
        <v>34.773340580260204</v>
      </c>
      <c r="I67" s="1">
        <f ca="1">'Total Distance Tables Sup #2'!I67</f>
        <v>35.256910076403663</v>
      </c>
      <c r="J67" s="1">
        <f ca="1">'Total Distance Tables Sup #2'!J67</f>
        <v>35.654094643805649</v>
      </c>
      <c r="K67" s="1">
        <f ca="1">'Total Distance Tables Sup #2'!K67</f>
        <v>35.99923154304301</v>
      </c>
    </row>
    <row r="68" spans="1:11" x14ac:dyDescent="0.2">
      <c r="A68" t="str">
        <f ca="1">OFFSET(Waikato_Reference,56,2)</f>
        <v>Local Ferry</v>
      </c>
      <c r="B68" s="4">
        <f>'Total Distance Tables Sup #2'!B68</f>
        <v>0</v>
      </c>
      <c r="C68" s="4">
        <f ca="1">'Total Distance Tables Sup #2'!C68</f>
        <v>0</v>
      </c>
      <c r="D68" s="4">
        <f ca="1">'Total Distance Tables Sup #2'!D68</f>
        <v>0</v>
      </c>
      <c r="E68" s="4">
        <f ca="1">'Total Distance Tables Sup #2'!E68</f>
        <v>0</v>
      </c>
      <c r="F68" s="4">
        <f ca="1">'Total Distance Tables Sup #2'!F68</f>
        <v>0</v>
      </c>
      <c r="G68" s="4">
        <f ca="1">'Total Distance Tables Sup #2'!G68</f>
        <v>0</v>
      </c>
      <c r="H68" s="4">
        <f ca="1">'Total Distance Tables Sup #2'!H68</f>
        <v>0</v>
      </c>
      <c r="I68" s="1">
        <f ca="1">'Total Distance Tables Sup #2'!I68</f>
        <v>0</v>
      </c>
      <c r="J68" s="1">
        <f ca="1">'Total Distance Tables Sup #2'!J68</f>
        <v>0</v>
      </c>
      <c r="K68" s="1">
        <f ca="1">'Total Distance Tables Sup #2'!K68</f>
        <v>0</v>
      </c>
    </row>
    <row r="69" spans="1:11" x14ac:dyDescent="0.2">
      <c r="A69" t="str">
        <f ca="1">OFFSET(Hawkes_Bay_Reference,49,2)</f>
        <v>Other Household Travel</v>
      </c>
      <c r="B69" s="4">
        <f ca="1">'Total Distance Tables Sup #2'!B69</f>
        <v>0</v>
      </c>
      <c r="C69" s="4">
        <f ca="1">'Total Distance Tables Sup #2'!C69</f>
        <v>0</v>
      </c>
      <c r="D69" s="4">
        <f ca="1">'Total Distance Tables Sup #2'!D69</f>
        <v>0</v>
      </c>
      <c r="E69" s="4">
        <f ca="1">'Total Distance Tables Sup #2'!E69</f>
        <v>0</v>
      </c>
      <c r="F69" s="4">
        <f ca="1">'Total Distance Tables Sup #2'!F69</f>
        <v>0</v>
      </c>
      <c r="G69" s="4">
        <f ca="1">'Total Distance Tables Sup #2'!G69</f>
        <v>0</v>
      </c>
      <c r="H69" s="4">
        <f ca="1">'Total Distance Tables Sup #2'!H69</f>
        <v>0</v>
      </c>
      <c r="I69" s="1">
        <f ca="1">'Total Distance Tables Sup #2'!I69</f>
        <v>0</v>
      </c>
      <c r="J69" s="1">
        <f ca="1">'Total Distance Tables Sup #2'!J69</f>
        <v>0</v>
      </c>
      <c r="K69" s="1">
        <f ca="1">'Total Distance Tables Sup #2'!K69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'Total Distance Tables Sup #2'!B71</f>
        <v>16.820589198</v>
      </c>
      <c r="C71" s="4">
        <f ca="1">'Total Distance Tables Sup #2'!C71</f>
        <v>17.857753125621045</v>
      </c>
      <c r="D71" s="4">
        <f ca="1">'Total Distance Tables Sup #2'!D71</f>
        <v>19.142794910886156</v>
      </c>
      <c r="E71" s="4">
        <f ca="1">'Total Distance Tables Sup #2'!E71</f>
        <v>20.129473794735198</v>
      </c>
      <c r="F71" s="4">
        <f ca="1">'Total Distance Tables Sup #2'!F71</f>
        <v>20.936590277150216</v>
      </c>
      <c r="G71" s="4">
        <f ca="1">'Total Distance Tables Sup #2'!G71</f>
        <v>21.699555653820852</v>
      </c>
      <c r="H71" s="4">
        <f ca="1">'Total Distance Tables Sup #2'!H71</f>
        <v>22.401068496566111</v>
      </c>
      <c r="I71" s="1">
        <f ca="1">'Total Distance Tables Sup #2'!I71</f>
        <v>22.83525188302432</v>
      </c>
      <c r="J71" s="1">
        <f ca="1">'Total Distance Tables Sup #2'!J71</f>
        <v>23.214174985637388</v>
      </c>
      <c r="K71" s="1">
        <f ca="1">'Total Distance Tables Sup #2'!K71</f>
        <v>23.559266629390454</v>
      </c>
    </row>
    <row r="72" spans="1:11" x14ac:dyDescent="0.2">
      <c r="A72" t="str">
        <f ca="1">OFFSET(Taranaki_Reference,7,2)</f>
        <v>Cyclist</v>
      </c>
      <c r="B72" s="4">
        <f ca="1">'Total Distance Tables Sup #2'!B72</f>
        <v>5.5737915155</v>
      </c>
      <c r="C72" s="4">
        <f ca="1">'Total Distance Tables Sup #2'!C72</f>
        <v>6.132960357285028</v>
      </c>
      <c r="D72" s="4">
        <f ca="1">'Total Distance Tables Sup #2'!D72</f>
        <v>7.7039004539866571</v>
      </c>
      <c r="E72" s="4">
        <f ca="1">'Total Distance Tables Sup #2'!E72</f>
        <v>9.1812231310315529</v>
      </c>
      <c r="F72" s="4">
        <f ca="1">'Total Distance Tables Sup #2'!F72</f>
        <v>10.848586716690464</v>
      </c>
      <c r="G72" s="4">
        <f ca="1">'Total Distance Tables Sup #2'!G72</f>
        <v>12.785534514444423</v>
      </c>
      <c r="H72" s="4">
        <f ca="1">'Total Distance Tables Sup #2'!H72</f>
        <v>14.875489680187778</v>
      </c>
      <c r="I72" s="1">
        <f ca="1">'Total Distance Tables Sup #2'!I72</f>
        <v>15.173142718699379</v>
      </c>
      <c r="J72" s="1">
        <f ca="1">'Total Distance Tables Sup #2'!J72</f>
        <v>15.434314753034696</v>
      </c>
      <c r="K72" s="1">
        <f ca="1">'Total Distance Tables Sup #2'!K72</f>
        <v>15.673201494969813</v>
      </c>
    </row>
    <row r="73" spans="1:11" x14ac:dyDescent="0.2">
      <c r="A73" t="str">
        <f ca="1">OFFSET(Taranaki_Reference,14,2)</f>
        <v>Light Vehicle Driver</v>
      </c>
      <c r="B73" s="4">
        <f ca="1">'Total Distance Tables Sup #2'!B73</f>
        <v>933.36875414999997</v>
      </c>
      <c r="C73" s="4">
        <f ca="1">'Total Distance Tables Sup #2'!C73*(1-'Other Assumptions'!G12)</f>
        <v>1026.1244662437778</v>
      </c>
      <c r="D73" s="4">
        <f ca="1">'Total Distance Tables Sup #2'!D73*(1-'Other Assumptions'!H12)</f>
        <v>1082.1165563157529</v>
      </c>
      <c r="E73" s="4">
        <f ca="1">'Total Distance Tables Sup #2'!E73*(1-'Other Assumptions'!I12)</f>
        <v>1019.2286144287709</v>
      </c>
      <c r="F73" s="4">
        <f ca="1">'Total Distance Tables Sup #2'!F73*(1-'Other Assumptions'!J12)</f>
        <v>942.37549904727848</v>
      </c>
      <c r="G73" s="4">
        <f ca="1">'Total Distance Tables Sup #2'!G73*(1-'Other Assumptions'!K12)</f>
        <v>847.85887203565972</v>
      </c>
      <c r="H73" s="4">
        <f ca="1">'Total Distance Tables Sup #2'!H73*(1-'Other Assumptions'!L12)</f>
        <v>744.06990057962116</v>
      </c>
      <c r="I73" s="1">
        <f ca="1">'Total Distance Tables Sup #2'!I73*(1-'Other Assumptions'!M12)</f>
        <v>633.46273502407405</v>
      </c>
      <c r="J73" s="1">
        <f ca="1">'Total Distance Tables Sup #2'!J73*(1-'Other Assumptions'!N12)</f>
        <v>516.30187172192234</v>
      </c>
      <c r="K73" s="1">
        <f ca="1">'Total Distance Tables Sup #2'!K73*(1-'Other Assumptions'!O12)</f>
        <v>393.83311142272271</v>
      </c>
    </row>
    <row r="74" spans="1:11" x14ac:dyDescent="0.2">
      <c r="A74" t="str">
        <f ca="1">OFFSET(Taranaki_Reference,21,2)</f>
        <v>Light Vehicle Passenger</v>
      </c>
      <c r="B74" s="4">
        <f ca="1">'Total Distance Tables Sup #2'!B74</f>
        <v>656.25872372000003</v>
      </c>
      <c r="C74" s="4">
        <f ca="1">'Total Distance Tables Sup #2'!C74*(1-'Other Assumptions'!G12)</f>
        <v>694.8542398650477</v>
      </c>
      <c r="D74" s="4">
        <f ca="1">'Total Distance Tables Sup #2'!D74*(1-'Other Assumptions'!H12)</f>
        <v>717.69784779714576</v>
      </c>
      <c r="E74" s="4">
        <f ca="1">'Total Distance Tables Sup #2'!E74*(1-'Other Assumptions'!I12)</f>
        <v>662.53045966396667</v>
      </c>
      <c r="F74" s="4">
        <f ca="1">'Total Distance Tables Sup #2'!F74*(1-'Other Assumptions'!J12)</f>
        <v>599.53860943691257</v>
      </c>
      <c r="G74" s="4">
        <f ca="1">'Total Distance Tables Sup #2'!G74*(1-'Other Assumptions'!K12)</f>
        <v>530.32551805889454</v>
      </c>
      <c r="H74" s="4">
        <f ca="1">'Total Distance Tables Sup #2'!H74*(1-'Other Assumptions'!L12)</f>
        <v>457.50117604783873</v>
      </c>
      <c r="I74" s="1">
        <f ca="1">'Total Distance Tables Sup #2'!I74*(1-'Other Assumptions'!M12)</f>
        <v>389.68509876862339</v>
      </c>
      <c r="J74" s="1">
        <f ca="1">'Total Distance Tables Sup #2'!J74*(1-'Other Assumptions'!N12)</f>
        <v>317.76881188732256</v>
      </c>
      <c r="K74" s="1">
        <f ca="1">'Total Distance Tables Sup #2'!K74*(1-'Other Assumptions'!O12)</f>
        <v>242.51304020974874</v>
      </c>
    </row>
    <row r="75" spans="1:11" x14ac:dyDescent="0.2">
      <c r="A75" t="str">
        <f ca="1">OFFSET(Taranaki_Reference,28,2)</f>
        <v>Taxi/Vehicle Share</v>
      </c>
      <c r="B75" s="4">
        <f ca="1">'Total Distance Tables Sup #2'!B75</f>
        <v>1.1335038904000001</v>
      </c>
      <c r="C75" s="4">
        <f ca="1">'Total Distance Tables Sup #2'!C75+((C73+C74)*'Other Assumptions'!G12/(1-'Other Assumptions'!G12))</f>
        <v>1.298572396750449</v>
      </c>
      <c r="D75" s="4">
        <f ca="1">'Total Distance Tables Sup #2'!D75+((D73+D74)*'Other Assumptions'!H12/(1-'Other Assumptions'!H12))</f>
        <v>1.4374520954917469</v>
      </c>
      <c r="E75" s="4">
        <f ca="1">'Total Distance Tables Sup #2'!E75+((E73+E74)*'Other Assumptions'!I12/(1-'Other Assumptions'!I12))</f>
        <v>188.42483090678041</v>
      </c>
      <c r="F75" s="4">
        <f ca="1">'Total Distance Tables Sup #2'!F75+((F73+F74)*'Other Assumptions'!J12/(1-'Other Assumptions'!J12))</f>
        <v>387.1493691090219</v>
      </c>
      <c r="G75" s="4">
        <f ca="1">'Total Distance Tables Sup #2'!G75+((G73+G74)*'Other Assumptions'!K12/(1-'Other Assumptions'!K12))</f>
        <v>592.40204883308115</v>
      </c>
      <c r="H75" s="4">
        <f ca="1">'Total Distance Tables Sup #2'!H75+((H73+H74)*'Other Assumptions'!L12/(1-'Other Assumptions'!L12))</f>
        <v>802.8742525085637</v>
      </c>
      <c r="I75" s="1">
        <f ca="1">'Total Distance Tables Sup #2'!I75+((I73+I74)*'Other Assumptions'!M12/(1-'Other Assumptions'!M12))</f>
        <v>1025.0076826746938</v>
      </c>
      <c r="J75" s="1">
        <f ca="1">'Total Distance Tables Sup #2'!J75+((J73+J74)*'Other Assumptions'!N12/(1-'Other Assumptions'!N12))</f>
        <v>1252.9942423339937</v>
      </c>
      <c r="K75" s="1">
        <f ca="1">'Total Distance Tables Sup #2'!K75+((K73+K74)*'Other Assumptions'!O12/(1-'Other Assumptions'!O12))</f>
        <v>1486.7214193513876</v>
      </c>
    </row>
    <row r="76" spans="1:11" x14ac:dyDescent="0.2">
      <c r="A76" t="str">
        <f ca="1">OFFSET(Taranaki_Reference,35,2)</f>
        <v>Motorcyclist</v>
      </c>
      <c r="B76" s="4">
        <f ca="1">'Total Distance Tables Sup #2'!B76</f>
        <v>7.0100687938000004</v>
      </c>
      <c r="C76" s="4">
        <f ca="1">'Total Distance Tables Sup #2'!C76</f>
        <v>7.7154394620111999</v>
      </c>
      <c r="D76" s="4">
        <f ca="1">'Total Distance Tables Sup #2'!D76</f>
        <v>8.1186824851803827</v>
      </c>
      <c r="E76" s="4">
        <f ca="1">'Total Distance Tables Sup #2'!E76</f>
        <v>8.3463905597860428</v>
      </c>
      <c r="F76" s="4">
        <f ca="1">'Total Distance Tables Sup #2'!F76</f>
        <v>8.4877043798875942</v>
      </c>
      <c r="G76" s="4">
        <f ca="1">'Total Distance Tables Sup #2'!G76</f>
        <v>8.4728291317844064</v>
      </c>
      <c r="H76" s="4">
        <f ca="1">'Total Distance Tables Sup #2'!H76</f>
        <v>8.4171430560805458</v>
      </c>
      <c r="I76" s="1">
        <f ca="1">'Total Distance Tables Sup #2'!I76</f>
        <v>8.6487528470368922</v>
      </c>
      <c r="J76" s="1">
        <f ca="1">'Total Distance Tables Sup #2'!J76</f>
        <v>8.8626227257983548</v>
      </c>
      <c r="K76" s="1">
        <f ca="1">'Total Distance Tables Sup #2'!K76</f>
        <v>9.066516776422846</v>
      </c>
    </row>
    <row r="77" spans="1:11" x14ac:dyDescent="0.2">
      <c r="A77" t="str">
        <f ca="1">OFFSET(Taranaki_Reference,42,2)</f>
        <v>Local Train</v>
      </c>
      <c r="B77" s="4">
        <f ca="1">'Total Distance Tables Sup #2'!B77</f>
        <v>0</v>
      </c>
      <c r="C77" s="4">
        <f ca="1">'Total Distance Tables Sup #2'!C77</f>
        <v>0</v>
      </c>
      <c r="D77" s="4">
        <f ca="1">'Total Distance Tables Sup #2'!D77</f>
        <v>0</v>
      </c>
      <c r="E77" s="4">
        <f ca="1">'Total Distance Tables Sup #2'!E77</f>
        <v>0</v>
      </c>
      <c r="F77" s="4">
        <f ca="1">'Total Distance Tables Sup #2'!F77</f>
        <v>0</v>
      </c>
      <c r="G77" s="4">
        <f ca="1">'Total Distance Tables Sup #2'!G77</f>
        <v>0</v>
      </c>
      <c r="H77" s="4">
        <f ca="1">'Total Distance Tables Sup #2'!H77</f>
        <v>0</v>
      </c>
      <c r="I77" s="1">
        <f ca="1">'Total Distance Tables Sup #2'!I77</f>
        <v>0</v>
      </c>
      <c r="J77" s="1">
        <f ca="1">'Total Distance Tables Sup #2'!J77</f>
        <v>0</v>
      </c>
      <c r="K77" s="1">
        <f ca="1">'Total Distance Tables Sup #2'!K77</f>
        <v>0</v>
      </c>
    </row>
    <row r="78" spans="1:11" x14ac:dyDescent="0.2">
      <c r="A78" t="str">
        <f ca="1">OFFSET(Taranaki_Reference,49,2)</f>
        <v>Local Bus</v>
      </c>
      <c r="B78" s="4">
        <f ca="1">'Total Distance Tables Sup #2'!B78</f>
        <v>14.084735078</v>
      </c>
      <c r="C78" s="4">
        <f ca="1">'Total Distance Tables Sup #2'!C78</f>
        <v>13.888716541562124</v>
      </c>
      <c r="D78" s="4">
        <f ca="1">'Total Distance Tables Sup #2'!D78</f>
        <v>13.762800014706048</v>
      </c>
      <c r="E78" s="4">
        <f ca="1">'Total Distance Tables Sup #2'!E78</f>
        <v>13.693913385432619</v>
      </c>
      <c r="F78" s="4">
        <f ca="1">'Total Distance Tables Sup #2'!F78</f>
        <v>13.389188302168179</v>
      </c>
      <c r="G78" s="4">
        <f ca="1">'Total Distance Tables Sup #2'!G78</f>
        <v>13.218529846154834</v>
      </c>
      <c r="H78" s="4">
        <f ca="1">'Total Distance Tables Sup #2'!H78</f>
        <v>13.007426665671497</v>
      </c>
      <c r="I78" s="1">
        <f ca="1">'Total Distance Tables Sup #2'!I78</f>
        <v>13.299639140856179</v>
      </c>
      <c r="J78" s="1">
        <f ca="1">'Total Distance Tables Sup #2'!J78</f>
        <v>13.560433713349683</v>
      </c>
      <c r="K78" s="1">
        <f ca="1">'Total Distance Tables Sup #2'!K78</f>
        <v>13.802023034359021</v>
      </c>
    </row>
    <row r="79" spans="1:11" x14ac:dyDescent="0.2">
      <c r="A79" t="str">
        <f ca="1">OFFSET(Waikato_Reference,56,2)</f>
        <v>Local Ferry</v>
      </c>
      <c r="B79" s="4">
        <f>'Total Distance Tables Sup #2'!B79</f>
        <v>0</v>
      </c>
      <c r="C79" s="4">
        <f ca="1">'Total Distance Tables Sup #2'!C79</f>
        <v>0</v>
      </c>
      <c r="D79" s="4">
        <f ca="1">'Total Distance Tables Sup #2'!D79</f>
        <v>0</v>
      </c>
      <c r="E79" s="4">
        <f ca="1">'Total Distance Tables Sup #2'!E79</f>
        <v>0</v>
      </c>
      <c r="F79" s="4">
        <f ca="1">'Total Distance Tables Sup #2'!F79</f>
        <v>0</v>
      </c>
      <c r="G79" s="4">
        <f ca="1">'Total Distance Tables Sup #2'!G79</f>
        <v>0</v>
      </c>
      <c r="H79" s="4">
        <f ca="1">'Total Distance Tables Sup #2'!H79</f>
        <v>0</v>
      </c>
      <c r="I79" s="1">
        <f ca="1">'Total Distance Tables Sup #2'!I79</f>
        <v>0</v>
      </c>
      <c r="J79" s="1">
        <f ca="1">'Total Distance Tables Sup #2'!J79</f>
        <v>0</v>
      </c>
      <c r="K79" s="1">
        <f ca="1">'Total Distance Tables Sup #2'!K79</f>
        <v>0</v>
      </c>
    </row>
    <row r="80" spans="1:11" x14ac:dyDescent="0.2">
      <c r="A80" t="str">
        <f ca="1">OFFSET(Taranaki_Reference,56,2)</f>
        <v>Other Household Travel</v>
      </c>
      <c r="B80" s="4">
        <f ca="1">'Total Distance Tables Sup #2'!B80</f>
        <v>0</v>
      </c>
      <c r="C80" s="4">
        <f ca="1">'Total Distance Tables Sup #2'!C80</f>
        <v>0</v>
      </c>
      <c r="D80" s="4">
        <f ca="1">'Total Distance Tables Sup #2'!D80</f>
        <v>0</v>
      </c>
      <c r="E80" s="4">
        <f ca="1">'Total Distance Tables Sup #2'!E80</f>
        <v>0</v>
      </c>
      <c r="F80" s="4">
        <f ca="1">'Total Distance Tables Sup #2'!F80</f>
        <v>0</v>
      </c>
      <c r="G80" s="4">
        <f ca="1">'Total Distance Tables Sup #2'!G80</f>
        <v>0</v>
      </c>
      <c r="H80" s="4">
        <f ca="1">'Total Distance Tables Sup #2'!H80</f>
        <v>0</v>
      </c>
      <c r="I80" s="1">
        <f ca="1">'Total Distance Tables Sup #2'!I80</f>
        <v>0</v>
      </c>
      <c r="J80" s="1">
        <f ca="1">'Total Distance Tables Sup #2'!J80</f>
        <v>0</v>
      </c>
      <c r="K80" s="1">
        <f ca="1">'Total Distance Tables Sup #2'!K80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'Total Distance Tables Sup #2'!B82</f>
        <v>32.265609755</v>
      </c>
      <c r="C82" s="4">
        <f ca="1">'Total Distance Tables Sup #2'!C82</f>
        <v>33.583848147850816</v>
      </c>
      <c r="D82" s="4">
        <f ca="1">'Total Distance Tables Sup #2'!D82</f>
        <v>35.26943775344342</v>
      </c>
      <c r="E82" s="4">
        <f ca="1">'Total Distance Tables Sup #2'!E82</f>
        <v>36.45000614959789</v>
      </c>
      <c r="F82" s="4">
        <f ca="1">'Total Distance Tables Sup #2'!F82</f>
        <v>37.225792855268438</v>
      </c>
      <c r="G82" s="4">
        <f ca="1">'Total Distance Tables Sup #2'!G82</f>
        <v>37.867592874236905</v>
      </c>
      <c r="H82" s="4">
        <f ca="1">'Total Distance Tables Sup #2'!H82</f>
        <v>38.325333237939979</v>
      </c>
      <c r="I82" s="1">
        <f ca="1">'Total Distance Tables Sup #2'!I82</f>
        <v>38.306457797336812</v>
      </c>
      <c r="J82" s="1">
        <f ca="1">'Total Distance Tables Sup #2'!J82</f>
        <v>38.187832337503906</v>
      </c>
      <c r="K82" s="1">
        <f ca="1">'Total Distance Tables Sup #2'!K82</f>
        <v>38.010514246970452</v>
      </c>
    </row>
    <row r="83" spans="1:11" x14ac:dyDescent="0.2">
      <c r="A83" t="str">
        <f ca="1">OFFSET(Manawatu_Reference,7,2)</f>
        <v>Cyclist</v>
      </c>
      <c r="B83" s="4">
        <f ca="1">'Total Distance Tables Sup #2'!B83</f>
        <v>20.722330986999999</v>
      </c>
      <c r="C83" s="4">
        <f ca="1">'Total Distance Tables Sup #2'!C83</f>
        <v>22.354399798735624</v>
      </c>
      <c r="D83" s="4">
        <f ca="1">'Total Distance Tables Sup #2'!D83</f>
        <v>27.510156812192957</v>
      </c>
      <c r="E83" s="4">
        <f ca="1">'Total Distance Tables Sup #2'!E83</f>
        <v>32.222181496313198</v>
      </c>
      <c r="F83" s="4">
        <f ca="1">'Total Distance Tables Sup #2'!F83</f>
        <v>37.385257874069936</v>
      </c>
      <c r="G83" s="4">
        <f ca="1">'Total Distance Tables Sup #2'!G83</f>
        <v>43.24391061221791</v>
      </c>
      <c r="H83" s="4">
        <f ca="1">'Total Distance Tables Sup #2'!H83</f>
        <v>49.32620349853805</v>
      </c>
      <c r="I83" s="1">
        <f ca="1">'Total Distance Tables Sup #2'!I83</f>
        <v>49.332252368990325</v>
      </c>
      <c r="J83" s="1">
        <f ca="1">'Total Distance Tables Sup #2'!J83</f>
        <v>49.209428298875871</v>
      </c>
      <c r="K83" s="1">
        <f ca="1">'Total Distance Tables Sup #2'!K83</f>
        <v>49.010474644430857</v>
      </c>
    </row>
    <row r="84" spans="1:11" x14ac:dyDescent="0.2">
      <c r="A84" t="str">
        <f ca="1">OFFSET(Manawatu_Reference,14,2)</f>
        <v>Light Vehicle Driver</v>
      </c>
      <c r="B84" s="4">
        <f ca="1">'Total Distance Tables Sup #2'!B84</f>
        <v>1782.4745101999999</v>
      </c>
      <c r="C84" s="4">
        <f ca="1">'Total Distance Tables Sup #2'!C84*(1-'Other Assumptions'!G13)</f>
        <v>1921.2110815415385</v>
      </c>
      <c r="D84" s="4">
        <f ca="1">'Total Distance Tables Sup #2'!D84*(1-'Other Assumptions'!H13)</f>
        <v>1984.3410238603742</v>
      </c>
      <c r="E84" s="4">
        <f ca="1">'Total Distance Tables Sup #2'!E84*(1-'Other Assumptions'!I13)</f>
        <v>1836.4088479357292</v>
      </c>
      <c r="F84" s="4">
        <f ca="1">'Total Distance Tables Sup #2'!F84*(1-'Other Assumptions'!J13)</f>
        <v>1666.7762580167227</v>
      </c>
      <c r="G84" s="4">
        <f ca="1">'Total Distance Tables Sup #2'!G84*(1-'Other Assumptions'!K13)</f>
        <v>1471.3910025389516</v>
      </c>
      <c r="H84" s="4">
        <f ca="1">'Total Distance Tables Sup #2'!H84*(1-'Other Assumptions'!L13)</f>
        <v>1265.5634246466209</v>
      </c>
      <c r="I84" s="1">
        <f ca="1">'Total Distance Tables Sup #2'!I84*(1-'Other Assumptions'!M13)</f>
        <v>1056.4311725558969</v>
      </c>
      <c r="J84" s="1">
        <f ca="1">'Total Distance Tables Sup #2'!J84*(1-'Other Assumptions'!N13)</f>
        <v>844.36528501290604</v>
      </c>
      <c r="K84" s="1">
        <f ca="1">'Total Distance Tables Sup #2'!K84*(1-'Other Assumptions'!O13)</f>
        <v>631.6988450657044</v>
      </c>
    </row>
    <row r="85" spans="1:11" x14ac:dyDescent="0.2">
      <c r="A85" t="str">
        <f ca="1">OFFSET(Manawatu_Reference,21,2)</f>
        <v>Light Vehicle Passenger</v>
      </c>
      <c r="B85" s="4">
        <f ca="1">'Total Distance Tables Sup #2'!B85</f>
        <v>885.65568203999999</v>
      </c>
      <c r="C85" s="4">
        <f ca="1">'Total Distance Tables Sup #2'!C85*(1-'Other Assumptions'!G13)</f>
        <v>919.36614227018731</v>
      </c>
      <c r="D85" s="4">
        <f ca="1">'Total Distance Tables Sup #2'!D85*(1-'Other Assumptions'!H13)</f>
        <v>929.47564254195913</v>
      </c>
      <c r="E85" s="4">
        <f ca="1">'Total Distance Tables Sup #2'!E85*(1-'Other Assumptions'!I13)</f>
        <v>842.538755797166</v>
      </c>
      <c r="F85" s="4">
        <f ca="1">'Total Distance Tables Sup #2'!F85*(1-'Other Assumptions'!J13)</f>
        <v>747.95160296728818</v>
      </c>
      <c r="G85" s="4">
        <f ca="1">'Total Distance Tables Sup #2'!G85*(1-'Other Assumptions'!K13)</f>
        <v>648.69077347662369</v>
      </c>
      <c r="H85" s="4">
        <f ca="1">'Total Distance Tables Sup #2'!H85*(1-'Other Assumptions'!L13)</f>
        <v>548.04098938403376</v>
      </c>
      <c r="I85" s="1">
        <f ca="1">'Total Distance Tables Sup #2'!I85*(1-'Other Assumptions'!M13)</f>
        <v>457.70754501317555</v>
      </c>
      <c r="J85" s="1">
        <f ca="1">'Total Distance Tables Sup #2'!J85*(1-'Other Assumptions'!N13)</f>
        <v>366.01218693221551</v>
      </c>
      <c r="K85" s="1">
        <f ca="1">'Total Distance Tables Sup #2'!K85*(1-'Other Assumptions'!O13)</f>
        <v>273.9643210252093</v>
      </c>
    </row>
    <row r="86" spans="1:11" x14ac:dyDescent="0.2">
      <c r="A86" t="str">
        <f ca="1">OFFSET(Manawatu_Reference,28,2)</f>
        <v>Taxi/Vehicle Share</v>
      </c>
      <c r="B86" s="4">
        <f ca="1">'Total Distance Tables Sup #2'!B86</f>
        <v>5.6344181790999999</v>
      </c>
      <c r="C86" s="4">
        <f ca="1">'Total Distance Tables Sup #2'!C86+((C84+C85)*'Other Assumptions'!G13/(1-'Other Assumptions'!G13))</f>
        <v>6.328447752011785</v>
      </c>
      <c r="D86" s="4">
        <f ca="1">'Total Distance Tables Sup #2'!D86+((D84+D85)*'Other Assumptions'!H13/(1-'Other Assumptions'!H13))</f>
        <v>6.862999375423505</v>
      </c>
      <c r="E86" s="4">
        <f ca="1">'Total Distance Tables Sup #2'!E86+((E84+E85)*'Other Assumptions'!I13/(1-'Other Assumptions'!I13))</f>
        <v>304.99367117689229</v>
      </c>
      <c r="F86" s="4">
        <f ca="1">'Total Distance Tables Sup #2'!F86+((F84+F85)*'Other Assumptions'!J13/(1-'Other Assumptions'!J13))</f>
        <v>611.38037054709582</v>
      </c>
      <c r="G86" s="4">
        <f ca="1">'Total Distance Tables Sup #2'!G86+((G84+G85)*'Other Assumptions'!K13/(1-'Other Assumptions'!K13))</f>
        <v>916.52744193070396</v>
      </c>
      <c r="H86" s="4">
        <f ca="1">'Total Distance Tables Sup #2'!H86+((H84+H85)*'Other Assumptions'!L13/(1-'Other Assumptions'!L13))</f>
        <v>1217.1689895327086</v>
      </c>
      <c r="I86" s="1">
        <f ca="1">'Total Distance Tables Sup #2'!I86+((I84+I85)*'Other Assumptions'!M13/(1-'Other Assumptions'!M13))</f>
        <v>1522.2235539513629</v>
      </c>
      <c r="J86" s="1">
        <f ca="1">'Total Distance Tables Sup #2'!J86+((J84+J85)*'Other Assumptions'!N13/(1-'Other Assumptions'!N13))</f>
        <v>1823.6153765756883</v>
      </c>
      <c r="K86" s="1">
        <f ca="1">'Total Distance Tables Sup #2'!K86+((K84+K85)*'Other Assumptions'!O13/(1-'Other Assumptions'!O13))</f>
        <v>2121.2151695955176</v>
      </c>
    </row>
    <row r="87" spans="1:11" x14ac:dyDescent="0.2">
      <c r="A87" t="str">
        <f ca="1">OFFSET(Manawatu_Reference,35,2)</f>
        <v>Motorcyclist</v>
      </c>
      <c r="B87" s="4">
        <f ca="1">'Total Distance Tables Sup #2'!B87</f>
        <v>3.8744282972000001</v>
      </c>
      <c r="C87" s="4">
        <f ca="1">'Total Distance Tables Sup #2'!C87</f>
        <v>4.180719078379056</v>
      </c>
      <c r="D87" s="4">
        <f ca="1">'Total Distance Tables Sup #2'!D87</f>
        <v>4.3098824220160425</v>
      </c>
      <c r="E87" s="4">
        <f ca="1">'Total Distance Tables Sup #2'!E87</f>
        <v>4.3546230042330247</v>
      </c>
      <c r="F87" s="4">
        <f ca="1">'Total Distance Tables Sup #2'!F87</f>
        <v>4.3482541768536391</v>
      </c>
      <c r="G87" s="4">
        <f ca="1">'Total Distance Tables Sup #2'!G87</f>
        <v>4.2602195619743091</v>
      </c>
      <c r="H87" s="4">
        <f ca="1">'Total Distance Tables Sup #2'!H87</f>
        <v>4.1492403219017788</v>
      </c>
      <c r="I87" s="1">
        <f ca="1">'Total Distance Tables Sup #2'!I87</f>
        <v>4.1802894133308097</v>
      </c>
      <c r="J87" s="1">
        <f ca="1">'Total Distance Tables Sup #2'!J87</f>
        <v>4.2006905623689281</v>
      </c>
      <c r="K87" s="1">
        <f ca="1">'Total Distance Tables Sup #2'!K87</f>
        <v>4.2147238326331067</v>
      </c>
    </row>
    <row r="88" spans="1:11" x14ac:dyDescent="0.2">
      <c r="A88" t="str">
        <f ca="1">OFFSET(Taranaki_Reference,42,2)</f>
        <v>Local Train</v>
      </c>
      <c r="B88" s="4">
        <f ca="1">'Total Distance Tables Sup #2'!B88</f>
        <v>0</v>
      </c>
      <c r="C88" s="4">
        <f ca="1">'Total Distance Tables Sup #2'!C88</f>
        <v>0</v>
      </c>
      <c r="D88" s="4">
        <f ca="1">'Total Distance Tables Sup #2'!D88</f>
        <v>0</v>
      </c>
      <c r="E88" s="4">
        <f ca="1">'Total Distance Tables Sup #2'!E88</f>
        <v>0</v>
      </c>
      <c r="F88" s="4">
        <f ca="1">'Total Distance Tables Sup #2'!F88</f>
        <v>0</v>
      </c>
      <c r="G88" s="4">
        <f ca="1">'Total Distance Tables Sup #2'!G88</f>
        <v>0</v>
      </c>
      <c r="H88" s="4">
        <f ca="1">'Total Distance Tables Sup #2'!H88</f>
        <v>0</v>
      </c>
      <c r="I88" s="1">
        <f ca="1">'Total Distance Tables Sup #2'!I88</f>
        <v>0</v>
      </c>
      <c r="J88" s="1">
        <f ca="1">'Total Distance Tables Sup #2'!J88</f>
        <v>0</v>
      </c>
      <c r="K88" s="1">
        <f ca="1">'Total Distance Tables Sup #2'!K88</f>
        <v>0</v>
      </c>
    </row>
    <row r="89" spans="1:11" x14ac:dyDescent="0.2">
      <c r="A89" t="str">
        <f ca="1">OFFSET(Manawatu_Reference,42,2)</f>
        <v>Local Bus</v>
      </c>
      <c r="B89" s="4">
        <f ca="1">'Total Distance Tables Sup #2'!B89</f>
        <v>39.768452936000003</v>
      </c>
      <c r="C89" s="4">
        <f ca="1">'Total Distance Tables Sup #2'!C89</f>
        <v>38.446525567533541</v>
      </c>
      <c r="D89" s="4">
        <f ca="1">'Total Distance Tables Sup #2'!D89</f>
        <v>37.324270698580307</v>
      </c>
      <c r="E89" s="4">
        <f ca="1">'Total Distance Tables Sup #2'!E89</f>
        <v>36.499263551470108</v>
      </c>
      <c r="F89" s="4">
        <f ca="1">'Total Distance Tables Sup #2'!F89</f>
        <v>35.041572983410838</v>
      </c>
      <c r="G89" s="4">
        <f ca="1">'Total Distance Tables Sup #2'!G89</f>
        <v>33.954032166468998</v>
      </c>
      <c r="H89" s="4">
        <f ca="1">'Total Distance Tables Sup #2'!H89</f>
        <v>32.756684150479373</v>
      </c>
      <c r="I89" s="1">
        <f ca="1">'Total Distance Tables Sup #2'!I89</f>
        <v>32.839564333031817</v>
      </c>
      <c r="J89" s="1">
        <f ca="1">'Total Distance Tables Sup #2'!J89</f>
        <v>32.834973855708611</v>
      </c>
      <c r="K89" s="1">
        <f ca="1">'Total Distance Tables Sup #2'!K89</f>
        <v>32.777518197967972</v>
      </c>
    </row>
    <row r="90" spans="1:11" x14ac:dyDescent="0.2">
      <c r="A90" t="str">
        <f ca="1">OFFSET(Manawatu_Reference,49,2)</f>
        <v>Local Ferry</v>
      </c>
      <c r="B90" s="4">
        <f ca="1">'Total Distance Tables Sup #2'!B90</f>
        <v>0</v>
      </c>
      <c r="C90" s="4">
        <f ca="1">'Total Distance Tables Sup #2'!C90</f>
        <v>0</v>
      </c>
      <c r="D90" s="4">
        <f ca="1">'Total Distance Tables Sup #2'!D90</f>
        <v>0</v>
      </c>
      <c r="E90" s="4">
        <f ca="1">'Total Distance Tables Sup #2'!E90</f>
        <v>0</v>
      </c>
      <c r="F90" s="4">
        <f ca="1">'Total Distance Tables Sup #2'!F90</f>
        <v>0</v>
      </c>
      <c r="G90" s="4">
        <f ca="1">'Total Distance Tables Sup #2'!G90</f>
        <v>0</v>
      </c>
      <c r="H90" s="4">
        <f ca="1">'Total Distance Tables Sup #2'!H90</f>
        <v>0</v>
      </c>
      <c r="I90" s="1">
        <f ca="1">'Total Distance Tables Sup #2'!I90</f>
        <v>0</v>
      </c>
      <c r="J90" s="1">
        <f ca="1">'Total Distance Tables Sup #2'!J90</f>
        <v>0</v>
      </c>
      <c r="K90" s="1">
        <f ca="1">'Total Distance Tables Sup #2'!K90</f>
        <v>0</v>
      </c>
    </row>
    <row r="91" spans="1:11" x14ac:dyDescent="0.2">
      <c r="A91" t="str">
        <f ca="1">OFFSET(Manawatu_Reference,56,2)</f>
        <v>Other Household Travel</v>
      </c>
      <c r="B91" s="4">
        <f ca="1">'Total Distance Tables Sup #2'!B91</f>
        <v>0</v>
      </c>
      <c r="C91" s="4">
        <f ca="1">'Total Distance Tables Sup #2'!C91</f>
        <v>0</v>
      </c>
      <c r="D91" s="4">
        <f ca="1">'Total Distance Tables Sup #2'!D91</f>
        <v>0</v>
      </c>
      <c r="E91" s="4">
        <f ca="1">'Total Distance Tables Sup #2'!E91</f>
        <v>0</v>
      </c>
      <c r="F91" s="4">
        <f ca="1">'Total Distance Tables Sup #2'!F91</f>
        <v>0</v>
      </c>
      <c r="G91" s="4">
        <f ca="1">'Total Distance Tables Sup #2'!G91</f>
        <v>0</v>
      </c>
      <c r="H91" s="4">
        <f ca="1">'Total Distance Tables Sup #2'!H91</f>
        <v>0</v>
      </c>
      <c r="I91" s="1">
        <f ca="1">'Total Distance Tables Sup #2'!I91</f>
        <v>0</v>
      </c>
      <c r="J91" s="1">
        <f ca="1">'Total Distance Tables Sup #2'!J91</f>
        <v>0</v>
      </c>
      <c r="K91" s="1">
        <f ca="1">'Total Distance Tables Sup #2'!K91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'Total Distance Tables Sup #2'!B93</f>
        <v>126.13499251</v>
      </c>
      <c r="C93" s="4">
        <f ca="1">'Total Distance Tables Sup #2'!C93+'Total Distance Tables Sup #2'!C95*'Other Assumptions'!G77*'Other Assumptions'!G84+'Total Distance Tables Sup #2'!C96*'Other Assumptions'!G77*'Other Assumptions'!G84</f>
        <v>134.67967247173925</v>
      </c>
      <c r="D93" s="4">
        <f ca="1">'Total Distance Tables Sup #2'!D93+'Total Distance Tables Sup #2'!D95*'Other Assumptions'!H77*'Other Assumptions'!H84+'Total Distance Tables Sup #2'!D96*'Other Assumptions'!H77*'Other Assumptions'!H84</f>
        <v>144.03337701648977</v>
      </c>
      <c r="E93" s="4">
        <f ca="1">'Total Distance Tables Sup #2'!E93+'Total Distance Tables Sup #2'!E95*'Other Assumptions'!I77*'Other Assumptions'!I84+'Total Distance Tables Sup #2'!E96*'Other Assumptions'!I77*'Other Assumptions'!I84</f>
        <v>151.43482797522552</v>
      </c>
      <c r="F93" s="4">
        <f ca="1">'Total Distance Tables Sup #2'!F93+'Total Distance Tables Sup #2'!F95*'Other Assumptions'!J77*'Other Assumptions'!J84+'Total Distance Tables Sup #2'!F96*'Other Assumptions'!J77*'Other Assumptions'!J84</f>
        <v>157.76360294079717</v>
      </c>
      <c r="G93" s="4">
        <f ca="1">'Total Distance Tables Sup #2'!G93+'Total Distance Tables Sup #2'!G95*'Other Assumptions'!K77*'Other Assumptions'!K84+'Total Distance Tables Sup #2'!G96*'Other Assumptions'!K77*'Other Assumptions'!K84</f>
        <v>163.645254982691</v>
      </c>
      <c r="H93" s="4">
        <f ca="1">'Total Distance Tables Sup #2'!H93+'Total Distance Tables Sup #2'!H95*'Other Assumptions'!L77*'Other Assumptions'!L84+'Total Distance Tables Sup #2'!H96*'Other Assumptions'!L77*'Other Assumptions'!L84</f>
        <v>168.88207008094287</v>
      </c>
      <c r="I93" s="1">
        <f ca="1">'Total Distance Tables Sup #2'!I93+'Total Distance Tables Sup #2'!I95*'Other Assumptions'!M77*'Other Assumptions'!M84+'Total Distance Tables Sup #2'!I96*'Other Assumptions'!M77*'Other Assumptions'!M84</f>
        <v>172.15046054937162</v>
      </c>
      <c r="J93" s="1">
        <f ca="1">'Total Distance Tables Sup #2'!J93+'Total Distance Tables Sup #2'!J95*'Other Assumptions'!N77*'Other Assumptions'!N84+'Total Distance Tables Sup #2'!J96*'Other Assumptions'!N77*'Other Assumptions'!N84</f>
        <v>174.93365598541951</v>
      </c>
      <c r="K93" s="1">
        <f ca="1">'Total Distance Tables Sup #2'!K93+'Total Distance Tables Sup #2'!K95*'Other Assumptions'!O77*'Other Assumptions'!O84+'Total Distance Tables Sup #2'!K96*'Other Assumptions'!O77*'Other Assumptions'!O84</f>
        <v>177.4019721807301</v>
      </c>
    </row>
    <row r="94" spans="1:11" x14ac:dyDescent="0.2">
      <c r="A94" t="str">
        <f ca="1">OFFSET(Wellington_Reference,7,2)</f>
        <v>Cyclist</v>
      </c>
      <c r="B94" s="4">
        <f ca="1">'Total Distance Tables Sup #2'!B94</f>
        <v>52.092312808000003</v>
      </c>
      <c r="C94" s="4">
        <f ca="1">'Total Distance Tables Sup #2'!C94+'Total Distance Tables Sup #2'!C95*'Other Assumptions'!G77*'Other Assumptions'!G83+'Total Distance Tables Sup #2'!C96*'Other Assumptions'!G77*'Other Assumptions'!G83</f>
        <v>57.636900452614107</v>
      </c>
      <c r="D94" s="4">
        <f ca="1">'Total Distance Tables Sup #2'!D94+'Total Distance Tables Sup #2'!D95*'Other Assumptions'!H77*'Other Assumptions'!H83+'Total Distance Tables Sup #2'!D96*'Other Assumptions'!H77*'Other Assumptions'!H83</f>
        <v>72.674544788600855</v>
      </c>
      <c r="E94" s="4">
        <f ca="1">'Total Distance Tables Sup #2'!E94+'Total Distance Tables Sup #2'!E95*'Other Assumptions'!I77*'Other Assumptions'!I83+'Total Distance Tables Sup #2'!E96*'Other Assumptions'!I77*'Other Assumptions'!I83</f>
        <v>86.921351669488701</v>
      </c>
      <c r="F94" s="4">
        <f ca="1">'Total Distance Tables Sup #2'!F94+'Total Distance Tables Sup #2'!F95*'Other Assumptions'!J77*'Other Assumptions'!J83+'Total Distance Tables Sup #2'!F96*'Other Assumptions'!J77*'Other Assumptions'!J83</f>
        <v>102.98834942774147</v>
      </c>
      <c r="G94" s="4">
        <f ca="1">'Total Distance Tables Sup #2'!G94+'Total Distance Tables Sup #2'!G95*'Other Assumptions'!K77*'Other Assumptions'!K83+'Total Distance Tables Sup #2'!G96*'Other Assumptions'!K77*'Other Assumptions'!K83</f>
        <v>121.63155123577761</v>
      </c>
      <c r="H94" s="4">
        <f ca="1">'Total Distance Tables Sup #2'!H94+'Total Distance Tables Sup #2'!H95*'Other Assumptions'!L77*'Other Assumptions'!L83+'Total Distance Tables Sup #2'!H96*'Other Assumptions'!L77*'Other Assumptions'!L83</f>
        <v>141.68529552548011</v>
      </c>
      <c r="I94" s="1">
        <f ca="1">'Total Distance Tables Sup #2'!I94+'Total Distance Tables Sup #2'!I95*'Other Assumptions'!M77*'Other Assumptions'!M83+'Total Distance Tables Sup #2'!I96*'Other Assumptions'!M77*'Other Assumptions'!M83</f>
        <v>144.66702193323439</v>
      </c>
      <c r="J94" s="1">
        <f ca="1">'Total Distance Tables Sup #2'!J94+'Total Distance Tables Sup #2'!J95*'Other Assumptions'!N77*'Other Assumptions'!N83+'Total Distance Tables Sup #2'!J96*'Other Assumptions'!N77*'Other Assumptions'!N83</f>
        <v>147.2781526044254</v>
      </c>
      <c r="K94" s="1">
        <f ca="1">'Total Distance Tables Sup #2'!K94+'Total Distance Tables Sup #2'!K95*'Other Assumptions'!O77*'Other Assumptions'!O83+'Total Distance Tables Sup #2'!K96*'Other Assumptions'!O77*'Other Assumptions'!O83</f>
        <v>149.65263460664372</v>
      </c>
    </row>
    <row r="95" spans="1:11" x14ac:dyDescent="0.2">
      <c r="A95" t="str">
        <f ca="1">OFFSET(Wellington_Reference,14,2)</f>
        <v>Light Vehicle Driver</v>
      </c>
      <c r="B95" s="4">
        <f ca="1">'Total Distance Tables Sup #2'!B95</f>
        <v>3481.4296611999998</v>
      </c>
      <c r="C95" s="4">
        <f ca="1">'Total Distance Tables Sup #2'!C95*(1-'Other Assumptions'!G14)*(1-'Other Assumptions'!G77)</f>
        <v>3848.4100397187758</v>
      </c>
      <c r="D95" s="4">
        <f ca="1">'Total Distance Tables Sup #2'!D95*(1-'Other Assumptions'!H14)*(1-'Other Assumptions'!H77)</f>
        <v>4058.5119383973488</v>
      </c>
      <c r="E95" s="4">
        <f ca="1">'Total Distance Tables Sup #2'!E95*(1-'Other Assumptions'!I14)*(1-'Other Assumptions'!I77)</f>
        <v>3825.8185551121137</v>
      </c>
      <c r="F95" s="4">
        <f ca="1">'Total Distance Tables Sup #2'!F95*(1-'Other Assumptions'!J14)*(1-'Other Assumptions'!J77)</f>
        <v>3540.2692918304451</v>
      </c>
      <c r="G95" s="4">
        <f ca="1">'Total Distance Tables Sup #2'!G95*(1-'Other Assumptions'!K14)*(1-'Other Assumptions'!K77)</f>
        <v>3185.652694491605</v>
      </c>
      <c r="H95" s="4">
        <f ca="1">'Total Distance Tables Sup #2'!H95*(1-'Other Assumptions'!L14)*(1-'Other Assumptions'!L77)</f>
        <v>2793.147897573283</v>
      </c>
      <c r="I95" s="1">
        <f ca="1">'Total Distance Tables Sup #2'!I95*(1-'Other Assumptions'!M14)*(1-'Other Assumptions'!M77)</f>
        <v>2376.866934209474</v>
      </c>
      <c r="J95" s="1">
        <f ca="1">'Total Distance Tables Sup #2'!J95*(1-'Other Assumptions'!N14)*(1-'Other Assumptions'!N77)</f>
        <v>1935.7047003789041</v>
      </c>
      <c r="K95" s="1">
        <f ca="1">'Total Distance Tables Sup #2'!K95*(1-'Other Assumptions'!O14)*(1-'Other Assumptions'!O77)</f>
        <v>1474.896178923231</v>
      </c>
    </row>
    <row r="96" spans="1:11" x14ac:dyDescent="0.2">
      <c r="A96" t="str">
        <f ca="1">OFFSET(Wellington_Reference,21,2)</f>
        <v>Light Vehicle Passenger</v>
      </c>
      <c r="B96" s="4">
        <f ca="1">'Total Distance Tables Sup #2'!B96</f>
        <v>2005.8850408000001</v>
      </c>
      <c r="C96" s="4">
        <f ca="1">'Total Distance Tables Sup #2'!C96*(1-'Other Assumptions'!G14)*(1-'Other Assumptions'!G77+'Other Assumptions'!G77*'Other Assumptions'!G80)+'Total Distance Tables Sup #2'!C95*(1-'Other Assumptions'!G14)*'Other Assumptions'!G77*'Other Assumptions'!G80</f>
        <v>2135.3891713868552</v>
      </c>
      <c r="D96" s="4">
        <f ca="1">'Total Distance Tables Sup #2'!D96*(1-'Other Assumptions'!H14)*(1-'Other Assumptions'!H77+'Other Assumptions'!H77*'Other Assumptions'!H80)+'Total Distance Tables Sup #2'!D95*(1-'Other Assumptions'!H14)*'Other Assumptions'!H77*'Other Assumptions'!H80</f>
        <v>2198.3340751746678</v>
      </c>
      <c r="E96" s="4">
        <f ca="1">'Total Distance Tables Sup #2'!E96*(1-'Other Assumptions'!I14)*(1-'Other Assumptions'!I77+'Other Assumptions'!I77*'Other Assumptions'!I80)+'Total Distance Tables Sup #2'!E95*(1-'Other Assumptions'!I14)*'Other Assumptions'!I77*'Other Assumptions'!I80</f>
        <v>2025.488811066597</v>
      </c>
      <c r="F96" s="4">
        <f ca="1">'Total Distance Tables Sup #2'!F96*(1-'Other Assumptions'!J14)*(1-'Other Assumptions'!J77+'Other Assumptions'!J77*'Other Assumptions'!J80)+'Total Distance Tables Sup #2'!F95*(1-'Other Assumptions'!J14)*'Other Assumptions'!J77*'Other Assumptions'!J80</f>
        <v>1830.3788933437843</v>
      </c>
      <c r="G96" s="4">
        <f ca="1">'Total Distance Tables Sup #2'!G96*(1-'Other Assumptions'!K14)*(1-'Other Assumptions'!K77+'Other Assumptions'!K77*'Other Assumptions'!K80)+'Total Distance Tables Sup #2'!G95*(1-'Other Assumptions'!K14)*'Other Assumptions'!K77*'Other Assumptions'!K80</f>
        <v>1615.5046183886536</v>
      </c>
      <c r="H96" s="4">
        <f ca="1">'Total Distance Tables Sup #2'!H96*(1-'Other Assumptions'!L14)*(1-'Other Assumptions'!L77+'Other Assumptions'!L77*'Other Assumptions'!L80)+'Total Distance Tables Sup #2'!H95*(1-'Other Assumptions'!L14)*'Other Assumptions'!L77*'Other Assumptions'!L80</f>
        <v>1388.6742641969142</v>
      </c>
      <c r="I96" s="1">
        <f ca="1">'Total Distance Tables Sup #2'!I96*(1-'Other Assumptions'!M14)*(1-'Other Assumptions'!M77+'Other Assumptions'!M77*'Other Assumptions'!M80)+'Total Distance Tables Sup #2'!I95*(1-'Other Assumptions'!M14)*'Other Assumptions'!M77*'Other Assumptions'!M80</f>
        <v>1180.5582009417421</v>
      </c>
      <c r="J96" s="1">
        <f ca="1">'Total Distance Tables Sup #2'!J96*(1-'Other Assumptions'!N14)*(1-'Other Assumptions'!N77+'Other Assumptions'!N77*'Other Assumptions'!N80)+'Total Distance Tables Sup #2'!J95*(1-'Other Assumptions'!N14)*'Other Assumptions'!N77*'Other Assumptions'!N80</f>
        <v>960.34699219567301</v>
      </c>
      <c r="K96" s="1">
        <f ca="1">'Total Distance Tables Sup #2'!K96*(1-'Other Assumptions'!O14)*(1-'Other Assumptions'!O77+'Other Assumptions'!O77*'Other Assumptions'!O80)+'Total Distance Tables Sup #2'!K95*(1-'Other Assumptions'!O14)*'Other Assumptions'!O77*'Other Assumptions'!O80</f>
        <v>730.8010053248023</v>
      </c>
    </row>
    <row r="97" spans="1:11" x14ac:dyDescent="0.2">
      <c r="A97" t="str">
        <f ca="1">OFFSET(Wellington_Reference,28,2)</f>
        <v>Taxi/Vehicle Share</v>
      </c>
      <c r="B97" s="4">
        <f ca="1">'Total Distance Tables Sup #2'!B97</f>
        <v>19.359252680000001</v>
      </c>
      <c r="C97" s="4">
        <f ca="1">'Total Distance Tables Sup #2'!C97+((C95+C96)*'Other Assumptions'!G14/(1-'Other Assumptions'!G14))</f>
        <v>22.301767343384562</v>
      </c>
      <c r="D97" s="4">
        <f ca="1">'Total Distance Tables Sup #2'!D97+((D95+D96)*'Other Assumptions'!H14/(1-'Other Assumptions'!H14))</f>
        <v>24.780364585440434</v>
      </c>
      <c r="E97" s="4">
        <f ca="1">'Total Distance Tables Sup #2'!E97+((E95+E96)*'Other Assumptions'!I14/(1-'Other Assumptions'!I14))</f>
        <v>677.18157234380419</v>
      </c>
      <c r="F97" s="4">
        <f ca="1">'Total Distance Tables Sup #2'!F97+((F95+F96)*'Other Assumptions'!J14/(1-'Other Assumptions'!J14))</f>
        <v>1371.6483586054492</v>
      </c>
      <c r="G97" s="4">
        <f ca="1">'Total Distance Tables Sup #2'!G97+((G95+G96)*'Other Assumptions'!K14/(1-'Other Assumptions'!K14))</f>
        <v>2088.0900152372019</v>
      </c>
      <c r="H97" s="4">
        <f ca="1">'Total Distance Tables Sup #2'!H97+((H95+H96)*'Other Assumptions'!L14/(1-'Other Assumptions'!L14))</f>
        <v>2819.6797009637421</v>
      </c>
      <c r="I97" s="1">
        <f ca="1">'Total Distance Tables Sup #2'!I97+((I95+I96)*'Other Assumptions'!M14/(1-'Other Assumptions'!M14))</f>
        <v>3589.8303055996826</v>
      </c>
      <c r="J97" s="1">
        <f ca="1">'Total Distance Tables Sup #2'!J97+((J95+J96)*'Other Assumptions'!N14/(1-'Other Assumptions'!N14))</f>
        <v>4377.0040347038885</v>
      </c>
      <c r="K97" s="1">
        <f ca="1">'Total Distance Tables Sup #2'!K97+((K95+K96)*'Other Assumptions'!O14/(1-'Other Assumptions'!O14))</f>
        <v>5180.0193812937523</v>
      </c>
    </row>
    <row r="98" spans="1:11" x14ac:dyDescent="0.2">
      <c r="A98" t="str">
        <f ca="1">OFFSET(Wellington_Reference,35,2)</f>
        <v>Motorcyclist</v>
      </c>
      <c r="B98" s="4">
        <f ca="1">'Total Distance Tables Sup #2'!B98</f>
        <v>24.444631151999999</v>
      </c>
      <c r="C98" s="4">
        <f ca="1">'Total Distance Tables Sup #2'!C98</f>
        <v>27.053871139161714</v>
      </c>
      <c r="D98" s="4">
        <f ca="1">'Total Distance Tables Sup #2'!D98</f>
        <v>28.575609573803526</v>
      </c>
      <c r="E98" s="4">
        <f ca="1">'Total Distance Tables Sup #2'!E98</f>
        <v>29.482405903463505</v>
      </c>
      <c r="F98" s="4">
        <f ca="1">'Total Distance Tables Sup #2'!F98</f>
        <v>30.063771851707489</v>
      </c>
      <c r="G98" s="4">
        <f ca="1">'Total Distance Tables Sup #2'!G98</f>
        <v>30.074200710625583</v>
      </c>
      <c r="H98" s="4">
        <f ca="1">'Total Distance Tables Sup #2'!H98</f>
        <v>29.912761391420201</v>
      </c>
      <c r="I98" s="1">
        <f ca="1">'Total Distance Tables Sup #2'!I98</f>
        <v>30.767044097649809</v>
      </c>
      <c r="J98" s="1">
        <f ca="1">'Total Distance Tables Sup #2'!J98</f>
        <v>31.553789677046499</v>
      </c>
      <c r="K98" s="1">
        <f ca="1">'Total Distance Tables Sup #2'!K98</f>
        <v>32.300214648269552</v>
      </c>
    </row>
    <row r="99" spans="1:11" x14ac:dyDescent="0.2">
      <c r="A99" t="str">
        <f ca="1">OFFSET(Wellington_Reference,42,2)</f>
        <v>Local Train</v>
      </c>
      <c r="B99" s="4">
        <f ca="1">'Total Distance Tables Sup #2'!B99</f>
        <v>297.83</v>
      </c>
      <c r="C99" s="4">
        <f ca="1">'Total Distance Tables Sup #2'!C99+'Total Distance Tables Sup #2'!C95*'Other Assumptions'!G77*'Other Assumptions'!G82+'Total Distance Tables Sup #2'!C96*'Other Assumptions'!G77*'Other Assumptions'!G82</f>
        <v>324.78049150726702</v>
      </c>
      <c r="D99" s="4">
        <f ca="1">'Total Distance Tables Sup #2'!D99+'Total Distance Tables Sup #2'!D95*'Other Assumptions'!H77*'Other Assumptions'!H82+'Total Distance Tables Sup #2'!D96*'Other Assumptions'!H77*'Other Assumptions'!H82</f>
        <v>366.15528051041457</v>
      </c>
      <c r="E99" s="4">
        <f ca="1">'Total Distance Tables Sup #2'!E99+'Total Distance Tables Sup #2'!E95*'Other Assumptions'!I77*'Other Assumptions'!I82+'Total Distance Tables Sup #2'!E96*'Other Assumptions'!I77*'Other Assumptions'!I82</f>
        <v>400.27584528851054</v>
      </c>
      <c r="F99" s="4">
        <f ca="1">'Total Distance Tables Sup #2'!F99+'Total Distance Tables Sup #2'!F95*'Other Assumptions'!J77*'Other Assumptions'!J82+'Total Distance Tables Sup #2'!F96*'Other Assumptions'!J77*'Other Assumptions'!J82</f>
        <v>426.50039659791315</v>
      </c>
      <c r="G99" s="4">
        <f ca="1">'Total Distance Tables Sup #2'!G99+'Total Distance Tables Sup #2'!G95*'Other Assumptions'!K77*'Other Assumptions'!K82+'Total Distance Tables Sup #2'!G96*'Other Assumptions'!K77*'Other Assumptions'!K82</f>
        <v>453.8487535348242</v>
      </c>
      <c r="H99" s="4">
        <f ca="1">'Total Distance Tables Sup #2'!H99+'Total Distance Tables Sup #2'!H95*'Other Assumptions'!L77*'Other Assumptions'!L82+'Total Distance Tables Sup #2'!H96*'Other Assumptions'!L77*'Other Assumptions'!L82</f>
        <v>480.60422540597466</v>
      </c>
      <c r="I99" s="1">
        <f ca="1">'Total Distance Tables Sup #2'!I99+'Total Distance Tables Sup #2'!I95*'Other Assumptions'!M77*'Other Assumptions'!M82+'Total Distance Tables Sup #2'!I96*'Other Assumptions'!M77*'Other Assumptions'!M82</f>
        <v>516.02382460040496</v>
      </c>
      <c r="J99" s="1">
        <f ca="1">'Total Distance Tables Sup #2'!J99+'Total Distance Tables Sup #2'!J95*'Other Assumptions'!N77*'Other Assumptions'!N82+'Total Distance Tables Sup #2'!J96*'Other Assumptions'!N77*'Other Assumptions'!N82</f>
        <v>553.97624661640032</v>
      </c>
      <c r="K99" s="1">
        <f ca="1">'Total Distance Tables Sup #2'!K99+'Total Distance Tables Sup #2'!K95*'Other Assumptions'!O77*'Other Assumptions'!O82+'Total Distance Tables Sup #2'!K96*'Other Assumptions'!O77*'Other Assumptions'!O82</f>
        <v>594.86441755539499</v>
      </c>
    </row>
    <row r="100" spans="1:11" x14ac:dyDescent="0.2">
      <c r="A100" t="str">
        <f ca="1">OFFSET(Wellington_Reference,49,2)</f>
        <v>Local Bus</v>
      </c>
      <c r="B100" s="4">
        <f ca="1">'Total Distance Tables Sup #2'!B100</f>
        <v>164.37</v>
      </c>
      <c r="C100" s="4">
        <f ca="1">'Total Distance Tables Sup #2'!C100+'Total Distance Tables Sup #2'!C95*'Other Assumptions'!G77*'Other Assumptions'!G81+'Total Distance Tables Sup #2'!C96*'Other Assumptions'!G77*'Other Assumptions'!G81</f>
        <v>174.39558784017379</v>
      </c>
      <c r="D100" s="4">
        <f ca="1">'Total Distance Tables Sup #2'!D100+'Total Distance Tables Sup #2'!D95*'Other Assumptions'!H77*'Other Assumptions'!H81+'Total Distance Tables Sup #2'!D96*'Other Assumptions'!H77*'Other Assumptions'!H81</f>
        <v>197.20907957759067</v>
      </c>
      <c r="E100" s="4">
        <f ca="1">'Total Distance Tables Sup #2'!E100+'Total Distance Tables Sup #2'!E95*'Other Assumptions'!I77*'Other Assumptions'!I81+'Total Distance Tables Sup #2'!E96*'Other Assumptions'!I77*'Other Assumptions'!I81</f>
        <v>213.21414160503357</v>
      </c>
      <c r="F100" s="4">
        <f ca="1">'Total Distance Tables Sup #2'!F100+'Total Distance Tables Sup #2'!F95*'Other Assumptions'!J77*'Other Assumptions'!J81+'Total Distance Tables Sup #2'!F96*'Other Assumptions'!J77*'Other Assumptions'!J81</f>
        <v>219.84479072405438</v>
      </c>
      <c r="G100" s="4">
        <f ca="1">'Total Distance Tables Sup #2'!G100+'Total Distance Tables Sup #2'!G95*'Other Assumptions'!K77*'Other Assumptions'!K81+'Total Distance Tables Sup #2'!G96*'Other Assumptions'!K77*'Other Assumptions'!K81</f>
        <v>226.62148035142309</v>
      </c>
      <c r="H100" s="4">
        <f ca="1">'Total Distance Tables Sup #2'!H100+'Total Distance Tables Sup #2'!H95*'Other Assumptions'!L77*'Other Assumptions'!L81+'Total Distance Tables Sup #2'!H96*'Other Assumptions'!L77*'Other Assumptions'!L81</f>
        <v>233.37796432273598</v>
      </c>
      <c r="I100" s="1">
        <f ca="1">'Total Distance Tables Sup #2'!I100+'Total Distance Tables Sup #2'!I95*'Other Assumptions'!M77*'Other Assumptions'!M81+'Total Distance Tables Sup #2'!I96*'Other Assumptions'!M77*'Other Assumptions'!M81</f>
        <v>242.98699116711211</v>
      </c>
      <c r="J100" s="1">
        <f ca="1">'Total Distance Tables Sup #2'!J100+'Total Distance Tables Sup #2'!J95*'Other Assumptions'!N77*'Other Assumptions'!N81+'Total Distance Tables Sup #2'!J96*'Other Assumptions'!N77*'Other Assumptions'!N81</f>
        <v>253.03235921202543</v>
      </c>
      <c r="K100" s="1">
        <f ca="1">'Total Distance Tables Sup #2'!K100+'Total Distance Tables Sup #2'!K95*'Other Assumptions'!O77*'Other Assumptions'!O81+'Total Distance Tables Sup #2'!K96*'Other Assumptions'!O77*'Other Assumptions'!O81</f>
        <v>263.5570054908315</v>
      </c>
    </row>
    <row r="101" spans="1:11" x14ac:dyDescent="0.2">
      <c r="A101" t="str">
        <f ca="1">OFFSET(Wellington_Reference,56,2)</f>
        <v>Local Ferry</v>
      </c>
      <c r="B101" s="4">
        <f ca="1">'Total Distance Tables Sup #2'!B101</f>
        <v>0</v>
      </c>
      <c r="C101" s="4">
        <f ca="1">'Total Distance Tables Sup #2'!C101</f>
        <v>0</v>
      </c>
      <c r="D101" s="4">
        <f ca="1">'Total Distance Tables Sup #2'!D101</f>
        <v>0</v>
      </c>
      <c r="E101" s="4">
        <f ca="1">'Total Distance Tables Sup #2'!E101</f>
        <v>0</v>
      </c>
      <c r="F101" s="4">
        <f ca="1">'Total Distance Tables Sup #2'!F101</f>
        <v>0</v>
      </c>
      <c r="G101" s="4">
        <f ca="1">'Total Distance Tables Sup #2'!G101</f>
        <v>0</v>
      </c>
      <c r="H101" s="4">
        <f ca="1">'Total Distance Tables Sup #2'!H101</f>
        <v>0</v>
      </c>
      <c r="I101" s="1">
        <f ca="1">'Total Distance Tables Sup #2'!I101</f>
        <v>0</v>
      </c>
      <c r="J101" s="1">
        <f ca="1">'Total Distance Tables Sup #2'!J101</f>
        <v>0</v>
      </c>
      <c r="K101" s="1">
        <f ca="1">'Total Distance Tables Sup #2'!K101</f>
        <v>0</v>
      </c>
    </row>
    <row r="102" spans="1:11" x14ac:dyDescent="0.2">
      <c r="A102" t="str">
        <f ca="1">OFFSET(Wellington_Reference,63,2)</f>
        <v>Other Household Travel</v>
      </c>
      <c r="B102" s="4">
        <f ca="1">'Total Distance Tables Sup #2'!B102</f>
        <v>0</v>
      </c>
      <c r="C102" s="4">
        <f ca="1">'Total Distance Tables Sup #2'!C102</f>
        <v>0</v>
      </c>
      <c r="D102" s="4">
        <f ca="1">'Total Distance Tables Sup #2'!D102</f>
        <v>0</v>
      </c>
      <c r="E102" s="4">
        <f ca="1">'Total Distance Tables Sup #2'!E102</f>
        <v>0</v>
      </c>
      <c r="F102" s="4">
        <f ca="1">'Total Distance Tables Sup #2'!F102</f>
        <v>0</v>
      </c>
      <c r="G102" s="4">
        <f ca="1">'Total Distance Tables Sup #2'!G102</f>
        <v>0</v>
      </c>
      <c r="H102" s="4">
        <f ca="1">'Total Distance Tables Sup #2'!H102</f>
        <v>0</v>
      </c>
      <c r="I102" s="1">
        <f ca="1">'Total Distance Tables Sup #2'!I102</f>
        <v>0</v>
      </c>
      <c r="J102" s="1">
        <f ca="1">'Total Distance Tables Sup #2'!J102</f>
        <v>0</v>
      </c>
      <c r="K102" s="1">
        <f ca="1">'Total Distance Tables Sup #2'!K102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'Total Distance Tables Sup #2'!B104</f>
        <v>28.582749250999999</v>
      </c>
      <c r="C104" s="4">
        <f ca="1">'Total Distance Tables Sup #2'!C104</f>
        <v>29.439352426450672</v>
      </c>
      <c r="D104" s="4">
        <f ca="1">'Total Distance Tables Sup #2'!D104</f>
        <v>30.877902466184135</v>
      </c>
      <c r="E104" s="4">
        <f ca="1">'Total Distance Tables Sup #2'!E104</f>
        <v>31.911703689378129</v>
      </c>
      <c r="F104" s="4">
        <f ca="1">'Total Distance Tables Sup #2'!F104</f>
        <v>32.588360555768013</v>
      </c>
      <c r="G104" s="4">
        <f ca="1">'Total Distance Tables Sup #2'!G104</f>
        <v>33.126356617011815</v>
      </c>
      <c r="H104" s="4">
        <f ca="1">'Total Distance Tables Sup #2'!H104</f>
        <v>33.455124108028564</v>
      </c>
      <c r="I104" s="1">
        <f ca="1">'Total Distance Tables Sup #2'!I104</f>
        <v>33.350740524237324</v>
      </c>
      <c r="J104" s="1">
        <f ca="1">'Total Distance Tables Sup #2'!J104</f>
        <v>33.143077750838572</v>
      </c>
      <c r="K104" s="1">
        <f ca="1">'Total Distance Tables Sup #2'!K104</f>
        <v>32.868131909889577</v>
      </c>
    </row>
    <row r="105" spans="1:11" x14ac:dyDescent="0.2">
      <c r="A105" t="str">
        <f ca="1">OFFSET(Nelson_Reference,7,2)</f>
        <v>Cyclist</v>
      </c>
      <c r="B105" s="4">
        <f ca="1">'Total Distance Tables Sup #2'!B105</f>
        <v>10.809874027999999</v>
      </c>
      <c r="C105" s="4">
        <f ca="1">'Total Distance Tables Sup #2'!C105</f>
        <v>11.53928004128641</v>
      </c>
      <c r="D105" s="4">
        <f ca="1">'Total Distance Tables Sup #2'!D105</f>
        <v>14.182742723164322</v>
      </c>
      <c r="E105" s="4">
        <f ca="1">'Total Distance Tables Sup #2'!E105</f>
        <v>16.612126463159328</v>
      </c>
      <c r="F105" s="4">
        <f ca="1">'Total Distance Tables Sup #2'!F105</f>
        <v>19.27244616415387</v>
      </c>
      <c r="G105" s="4">
        <f ca="1">'Total Distance Tables Sup #2'!G105</f>
        <v>22.276596518584704</v>
      </c>
      <c r="H105" s="4">
        <f ca="1">'Total Distance Tables Sup #2'!H105</f>
        <v>25.355507066854987</v>
      </c>
      <c r="I105" s="1">
        <f ca="1">'Total Distance Tables Sup #2'!I105</f>
        <v>25.291951229544711</v>
      </c>
      <c r="J105" s="1">
        <f ca="1">'Total Distance Tables Sup #2'!J105</f>
        <v>25.149772003315846</v>
      </c>
      <c r="K105" s="1">
        <f ca="1">'Total Distance Tables Sup #2'!K105</f>
        <v>24.956178812927405</v>
      </c>
    </row>
    <row r="106" spans="1:11" x14ac:dyDescent="0.2">
      <c r="A106" t="str">
        <f ca="1">OFFSET(Nelson_Reference,14,2)</f>
        <v>Light Vehicle Driver</v>
      </c>
      <c r="B106" s="4">
        <f ca="1">'Total Distance Tables Sup #2'!B106</f>
        <v>1012.1329009999999</v>
      </c>
      <c r="C106" s="4">
        <f ca="1">'Total Distance Tables Sup #2'!C106*(1-'Other Assumptions'!G15)</f>
        <v>1079.5008036817999</v>
      </c>
      <c r="D106" s="4">
        <f ca="1">'Total Distance Tables Sup #2'!D106*(1-'Other Assumptions'!H15)</f>
        <v>1113.5109312275663</v>
      </c>
      <c r="E106" s="4">
        <f ca="1">'Total Distance Tables Sup #2'!E106*(1-'Other Assumptions'!I15)</f>
        <v>1030.4601867943102</v>
      </c>
      <c r="F106" s="4">
        <f ca="1">'Total Distance Tables Sup #2'!F106*(1-'Other Assumptions'!J15)</f>
        <v>935.16650270195623</v>
      </c>
      <c r="G106" s="4">
        <f ca="1">'Total Distance Tables Sup #2'!G106*(1-'Other Assumptions'!K15)</f>
        <v>824.92368282191717</v>
      </c>
      <c r="H106" s="4">
        <f ca="1">'Total Distance Tables Sup #2'!H106*(1-'Other Assumptions'!L15)</f>
        <v>707.994326015296</v>
      </c>
      <c r="I106" s="1">
        <f ca="1">'Total Distance Tables Sup #2'!I106*(1-'Other Assumptions'!M15)</f>
        <v>589.44609085964544</v>
      </c>
      <c r="J106" s="1">
        <f ca="1">'Total Distance Tables Sup #2'!J106*(1-'Other Assumptions'!N15)</f>
        <v>469.64297840829363</v>
      </c>
      <c r="K106" s="1">
        <f ca="1">'Total Distance Tables Sup #2'!K106*(1-'Other Assumptions'!O15)</f>
        <v>350.06704638744037</v>
      </c>
    </row>
    <row r="107" spans="1:11" x14ac:dyDescent="0.2">
      <c r="A107" t="str">
        <f ca="1">OFFSET(Nelson_Reference,21,2)</f>
        <v>Light Vehicle Passenger</v>
      </c>
      <c r="B107" s="4">
        <f ca="1">'Total Distance Tables Sup #2'!B107</f>
        <v>528.66856442999995</v>
      </c>
      <c r="C107" s="4">
        <f ca="1">'Total Distance Tables Sup #2'!C107*(1-'Other Assumptions'!G15)</f>
        <v>543.05116833825309</v>
      </c>
      <c r="D107" s="4">
        <f ca="1">'Total Distance Tables Sup #2'!D107*(1-'Other Assumptions'!H15)</f>
        <v>548.31806588058407</v>
      </c>
      <c r="E107" s="4">
        <f ca="1">'Total Distance Tables Sup #2'!E107*(1-'Other Assumptions'!I15)</f>
        <v>497.02677825146037</v>
      </c>
      <c r="F107" s="4">
        <f ca="1">'Total Distance Tables Sup #2'!F107*(1-'Other Assumptions'!J15)</f>
        <v>441.19197237388653</v>
      </c>
      <c r="G107" s="4">
        <f ca="1">'Total Distance Tables Sup #2'!G107*(1-'Other Assumptions'!K15)</f>
        <v>382.3718226099532</v>
      </c>
      <c r="H107" s="4">
        <f ca="1">'Total Distance Tables Sup #2'!H107*(1-'Other Assumptions'!L15)</f>
        <v>322.36386218507374</v>
      </c>
      <c r="I107" s="1">
        <f ca="1">'Total Distance Tables Sup #2'!I107*(1-'Other Assumptions'!M15)</f>
        <v>268.52107836921709</v>
      </c>
      <c r="J107" s="1">
        <f ca="1">'Total Distance Tables Sup #2'!J107*(1-'Other Assumptions'!N15)</f>
        <v>214.05255519224704</v>
      </c>
      <c r="K107" s="1">
        <f ca="1">'Total Distance Tables Sup #2'!K107*(1-'Other Assumptions'!O15)</f>
        <v>159.632950120749</v>
      </c>
    </row>
    <row r="108" spans="1:11" x14ac:dyDescent="0.2">
      <c r="A108" t="str">
        <f ca="1">OFFSET(Nelson_Reference,28,2)</f>
        <v>Taxi/Vehicle Share</v>
      </c>
      <c r="B108" s="4">
        <f ca="1">'Total Distance Tables Sup #2'!B108</f>
        <v>2.5483198348</v>
      </c>
      <c r="C108" s="4">
        <f ca="1">'Total Distance Tables Sup #2'!C108+((C106+C107)*'Other Assumptions'!G15/(1-'Other Assumptions'!G15))</f>
        <v>2.8322770247283184</v>
      </c>
      <c r="D108" s="4">
        <f ca="1">'Total Distance Tables Sup #2'!D108+((D106+D107)*'Other Assumptions'!H15/(1-'Other Assumptions'!H15))</f>
        <v>3.0676368733445356</v>
      </c>
      <c r="E108" s="4">
        <f ca="1">'Total Distance Tables Sup #2'!E108+((E106+E107)*'Other Assumptions'!I15/(1-'Other Assumptions'!I15))</f>
        <v>172.99843855593696</v>
      </c>
      <c r="F108" s="4">
        <f ca="1">'Total Distance Tables Sup #2'!F108+((F106+F107)*'Other Assumptions'!J15/(1-'Other Assumptions'!J15))</f>
        <v>347.53042379194846</v>
      </c>
      <c r="G108" s="4">
        <f ca="1">'Total Distance Tables Sup #2'!G108+((G106+G107)*'Other Assumptions'!K15/(1-'Other Assumptions'!K15))</f>
        <v>520.95009110728654</v>
      </c>
      <c r="H108" s="4">
        <f ca="1">'Total Distance Tables Sup #2'!H108+((H106+H107)*'Other Assumptions'!L15/(1-'Other Assumptions'!L15))</f>
        <v>690.51514314479209</v>
      </c>
      <c r="I108" s="1">
        <f ca="1">'Total Distance Tables Sup #2'!I108+((I106+I107)*'Other Assumptions'!M15/(1-'Other Assumptions'!M15))</f>
        <v>861.56089933208034</v>
      </c>
      <c r="J108" s="1">
        <f ca="1">'Total Distance Tables Sup #2'!J108+((J106+J107)*'Other Assumptions'!N15/(1-'Other Assumptions'!N15))</f>
        <v>1029.1099429916303</v>
      </c>
      <c r="K108" s="1">
        <f ca="1">'Total Distance Tables Sup #2'!K108+((K106+K107)*'Other Assumptions'!O15/(1-'Other Assumptions'!O15))</f>
        <v>1192.832332222652</v>
      </c>
    </row>
    <row r="109" spans="1:11" x14ac:dyDescent="0.2">
      <c r="A109" t="str">
        <f ca="1">OFFSET(Nelson_Reference,35,2)</f>
        <v>Motorcyclist</v>
      </c>
      <c r="B109" s="4">
        <f ca="1">'Total Distance Tables Sup #2'!B109</f>
        <v>34.127286998000002</v>
      </c>
      <c r="C109" s="4">
        <f ca="1">'Total Distance Tables Sup #2'!C109</f>
        <v>36.440035855149262</v>
      </c>
      <c r="D109" s="4">
        <f ca="1">'Total Distance Tables Sup #2'!D109</f>
        <v>37.518432991341129</v>
      </c>
      <c r="E109" s="4">
        <f ca="1">'Total Distance Tables Sup #2'!E109</f>
        <v>37.908182393221999</v>
      </c>
      <c r="F109" s="4">
        <f ca="1">'Total Distance Tables Sup #2'!F109</f>
        <v>37.849791661509343</v>
      </c>
      <c r="G109" s="4">
        <f ca="1">'Total Distance Tables Sup #2'!G109</f>
        <v>37.056804822069346</v>
      </c>
      <c r="H109" s="4">
        <f ca="1">'Total Distance Tables Sup #2'!H109</f>
        <v>36.014327494096598</v>
      </c>
      <c r="I109" s="1">
        <f ca="1">'Total Distance Tables Sup #2'!I109</f>
        <v>36.188439109165799</v>
      </c>
      <c r="J109" s="1">
        <f ca="1">'Total Distance Tables Sup #2'!J109</f>
        <v>36.250878341743189</v>
      </c>
      <c r="K109" s="1">
        <f ca="1">'Total Distance Tables Sup #2'!K109</f>
        <v>36.238516718752308</v>
      </c>
    </row>
    <row r="110" spans="1:11" x14ac:dyDescent="0.2">
      <c r="A110" t="str">
        <f ca="1">OFFSET(Nelson_Reference,42,2)</f>
        <v>Local Train</v>
      </c>
      <c r="B110" s="4">
        <f ca="1">'Total Distance Tables Sup #2'!B110</f>
        <v>0</v>
      </c>
      <c r="C110" s="4">
        <f ca="1">'Total Distance Tables Sup #2'!C110</f>
        <v>0</v>
      </c>
      <c r="D110" s="4">
        <f ca="1">'Total Distance Tables Sup #2'!D110</f>
        <v>0</v>
      </c>
      <c r="E110" s="4">
        <f ca="1">'Total Distance Tables Sup #2'!E110</f>
        <v>0</v>
      </c>
      <c r="F110" s="4">
        <f ca="1">'Total Distance Tables Sup #2'!F110</f>
        <v>0</v>
      </c>
      <c r="G110" s="4">
        <f ca="1">'Total Distance Tables Sup #2'!G110</f>
        <v>0</v>
      </c>
      <c r="H110" s="4">
        <f ca="1">'Total Distance Tables Sup #2'!H110</f>
        <v>0</v>
      </c>
      <c r="I110" s="1">
        <f ca="1">'Total Distance Tables Sup #2'!I110</f>
        <v>0</v>
      </c>
      <c r="J110" s="1">
        <f ca="1">'Total Distance Tables Sup #2'!J110</f>
        <v>0</v>
      </c>
      <c r="K110" s="1">
        <f ca="1">'Total Distance Tables Sup #2'!K110</f>
        <v>0</v>
      </c>
    </row>
    <row r="111" spans="1:11" x14ac:dyDescent="0.2">
      <c r="A111" t="str">
        <f ca="1">OFFSET(Nelson_Reference,49,2)</f>
        <v>Local Bus</v>
      </c>
      <c r="B111" s="4">
        <f ca="1">'Total Distance Tables Sup #2'!B111</f>
        <v>19.807462209000001</v>
      </c>
      <c r="C111" s="4">
        <f ca="1">'Total Distance Tables Sup #2'!C111</f>
        <v>18.948765035031066</v>
      </c>
      <c r="D111" s="4">
        <f ca="1">'Total Distance Tables Sup #2'!D111</f>
        <v>18.372430032514472</v>
      </c>
      <c r="E111" s="4">
        <f ca="1">'Total Distance Tables Sup #2'!E111</f>
        <v>17.966459532342324</v>
      </c>
      <c r="F111" s="4">
        <f ca="1">'Total Distance Tables Sup #2'!F111</f>
        <v>17.247579930548739</v>
      </c>
      <c r="G111" s="4">
        <f ca="1">'Total Distance Tables Sup #2'!G111</f>
        <v>16.700264375469462</v>
      </c>
      <c r="H111" s="4">
        <f ca="1">'Total Distance Tables Sup #2'!H111</f>
        <v>16.076912781427286</v>
      </c>
      <c r="I111" s="1">
        <f ca="1">'Total Distance Tables Sup #2'!I111</f>
        <v>16.075218724306936</v>
      </c>
      <c r="J111" s="1">
        <f ca="1">'Total Distance Tables Sup #2'!J111</f>
        <v>16.022508855740892</v>
      </c>
      <c r="K111" s="1">
        <f ca="1">'Total Distance Tables Sup #2'!K111</f>
        <v>15.935781271453241</v>
      </c>
    </row>
    <row r="112" spans="1:11" x14ac:dyDescent="0.2">
      <c r="A112" t="str">
        <f ca="1">OFFSET(Wellington_Reference,56,2)</f>
        <v>Local Ferry</v>
      </c>
      <c r="B112" s="4">
        <f>'Total Distance Tables Sup #2'!B112</f>
        <v>0</v>
      </c>
      <c r="C112" s="4">
        <f ca="1">'Total Distance Tables Sup #2'!C112</f>
        <v>0</v>
      </c>
      <c r="D112" s="4">
        <f ca="1">'Total Distance Tables Sup #2'!D112</f>
        <v>0</v>
      </c>
      <c r="E112" s="4">
        <f ca="1">'Total Distance Tables Sup #2'!E112</f>
        <v>0</v>
      </c>
      <c r="F112" s="4">
        <f ca="1">'Total Distance Tables Sup #2'!F112</f>
        <v>0</v>
      </c>
      <c r="G112" s="4">
        <f ca="1">'Total Distance Tables Sup #2'!G112</f>
        <v>0</v>
      </c>
      <c r="H112" s="4">
        <f ca="1">'Total Distance Tables Sup #2'!H112</f>
        <v>0</v>
      </c>
      <c r="I112" s="1">
        <f ca="1">'Total Distance Tables Sup #2'!I112</f>
        <v>0</v>
      </c>
      <c r="J112" s="1">
        <f ca="1">'Total Distance Tables Sup #2'!J112</f>
        <v>0</v>
      </c>
      <c r="K112" s="1">
        <f ca="1">'Total Distance Tables Sup #2'!K112</f>
        <v>0</v>
      </c>
    </row>
    <row r="113" spans="1:11" x14ac:dyDescent="0.2">
      <c r="A113" t="str">
        <f ca="1">OFFSET(Nelson_Reference,56,2)</f>
        <v>Other Household Travel</v>
      </c>
      <c r="B113" s="4">
        <f ca="1">'Total Distance Tables Sup #2'!B113</f>
        <v>0</v>
      </c>
      <c r="C113" s="4">
        <f ca="1">'Total Distance Tables Sup #2'!C113</f>
        <v>0</v>
      </c>
      <c r="D113" s="4">
        <f ca="1">'Total Distance Tables Sup #2'!D113</f>
        <v>0</v>
      </c>
      <c r="E113" s="4">
        <f ca="1">'Total Distance Tables Sup #2'!E113</f>
        <v>0</v>
      </c>
      <c r="F113" s="4">
        <f ca="1">'Total Distance Tables Sup #2'!F113</f>
        <v>0</v>
      </c>
      <c r="G113" s="4">
        <f ca="1">'Total Distance Tables Sup #2'!G113</f>
        <v>0</v>
      </c>
      <c r="H113" s="4">
        <f ca="1">'Total Distance Tables Sup #2'!H113</f>
        <v>0</v>
      </c>
      <c r="I113" s="1">
        <f ca="1">'Total Distance Tables Sup #2'!I113</f>
        <v>0</v>
      </c>
      <c r="J113" s="1">
        <f ca="1">'Total Distance Tables Sup #2'!J113</f>
        <v>0</v>
      </c>
      <c r="K113" s="1">
        <f ca="1">'Total Distance Tables Sup #2'!K113</f>
        <v>0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'Total Distance Tables Sup #2'!B115</f>
        <v>4.6474841125999999</v>
      </c>
      <c r="C115" s="4">
        <f ca="1">'Total Distance Tables Sup #2'!C115</f>
        <v>4.4960749374060969</v>
      </c>
      <c r="D115" s="4">
        <f ca="1">'Total Distance Tables Sup #2'!D115</f>
        <v>4.5776175691623591</v>
      </c>
      <c r="E115" s="4">
        <f ca="1">'Total Distance Tables Sup #2'!E115</f>
        <v>4.5999428036304613</v>
      </c>
      <c r="F115" s="4">
        <f ca="1">'Total Distance Tables Sup #2'!F115</f>
        <v>4.569455472188273</v>
      </c>
      <c r="G115" s="4">
        <f ca="1">'Total Distance Tables Sup #2'!G115</f>
        <v>4.5206585402246526</v>
      </c>
      <c r="H115" s="4">
        <f ca="1">'Total Distance Tables Sup #2'!H115</f>
        <v>4.4551031799075016</v>
      </c>
      <c r="I115" s="1">
        <f ca="1">'Total Distance Tables Sup #2'!I115</f>
        <v>4.3335839387405759</v>
      </c>
      <c r="J115" s="1">
        <f ca="1">'Total Distance Tables Sup #2'!J115</f>
        <v>4.2020447565685286</v>
      </c>
      <c r="K115" s="1">
        <f ca="1">'Total Distance Tables Sup #2'!K115</f>
        <v>4.0658227386094525</v>
      </c>
    </row>
    <row r="116" spans="1:11" x14ac:dyDescent="0.2">
      <c r="A116" t="str">
        <f ca="1">OFFSET(West_Coast_Reference,7,2)</f>
        <v>Cyclist</v>
      </c>
      <c r="B116" s="4">
        <f ca="1">'Total Distance Tables Sup #2'!B116</f>
        <v>1.9571055828999999</v>
      </c>
      <c r="C116" s="4">
        <f ca="1">'Total Distance Tables Sup #2'!C116</f>
        <v>1.962292346867198</v>
      </c>
      <c r="D116" s="4">
        <f ca="1">'Total Distance Tables Sup #2'!D116</f>
        <v>2.3411629870881678</v>
      </c>
      <c r="E116" s="4">
        <f ca="1">'Total Distance Tables Sup #2'!E116</f>
        <v>2.6662899635025008</v>
      </c>
      <c r="F116" s="4">
        <f ca="1">'Total Distance Tables Sup #2'!F116</f>
        <v>3.0089743565058784</v>
      </c>
      <c r="G116" s="4">
        <f ca="1">'Total Distance Tables Sup #2'!G116</f>
        <v>3.384983678607921</v>
      </c>
      <c r="H116" s="4">
        <f ca="1">'Total Distance Tables Sup #2'!H116</f>
        <v>3.7596475175722706</v>
      </c>
      <c r="I116" s="1">
        <f ca="1">'Total Distance Tables Sup #2'!I116</f>
        <v>3.6593485326964812</v>
      </c>
      <c r="J116" s="1">
        <f ca="1">'Total Distance Tables Sup #2'!J116</f>
        <v>3.5504352674754931</v>
      </c>
      <c r="K116" s="1">
        <f ca="1">'Total Distance Tables Sup #2'!K116</f>
        <v>3.4374090516858429</v>
      </c>
    </row>
    <row r="117" spans="1:11" x14ac:dyDescent="0.2">
      <c r="A117" t="str">
        <f ca="1">OFFSET(West_Coast_Reference,14,2)</f>
        <v>Light Vehicle Driver</v>
      </c>
      <c r="B117" s="4">
        <f ca="1">'Total Distance Tables Sup #2'!B117</f>
        <v>226.22434741999999</v>
      </c>
      <c r="C117" s="4">
        <f ca="1">'Total Distance Tables Sup #2'!C117*(1-'Other Assumptions'!G16)</f>
        <v>226.62934605211308</v>
      </c>
      <c r="D117" s="4">
        <f ca="1">'Total Distance Tables Sup #2'!D117*(1-'Other Assumptions'!H16)</f>
        <v>226.96005588680765</v>
      </c>
      <c r="E117" s="4">
        <f ca="1">'Total Distance Tables Sup #2'!E117*(1-'Other Assumptions'!I16)</f>
        <v>204.25284799289031</v>
      </c>
      <c r="F117" s="4">
        <f ca="1">'Total Distance Tables Sup #2'!F117*(1-'Other Assumptions'!J16)</f>
        <v>180.34106423530739</v>
      </c>
      <c r="G117" s="4">
        <f ca="1">'Total Distance Tables Sup #2'!G117*(1-'Other Assumptions'!K16)</f>
        <v>154.8522867152243</v>
      </c>
      <c r="H117" s="4">
        <f ca="1">'Total Distance Tables Sup #2'!H117*(1-'Other Assumptions'!L16)</f>
        <v>129.71018554888866</v>
      </c>
      <c r="I117" s="1">
        <f ca="1">'Total Distance Tables Sup #2'!I117*(1-'Other Assumptions'!M16)</f>
        <v>105.37421442292499</v>
      </c>
      <c r="J117" s="1">
        <f ca="1">'Total Distance Tables Sup #2'!J117*(1-'Other Assumptions'!N16)</f>
        <v>81.91879361397632</v>
      </c>
      <c r="K117" s="1">
        <f ca="1">'Total Distance Tables Sup #2'!K117*(1-'Other Assumptions'!O16)</f>
        <v>59.57607403233159</v>
      </c>
    </row>
    <row r="118" spans="1:11" x14ac:dyDescent="0.2">
      <c r="A118" t="str">
        <f ca="1">OFFSET(West_Coast_Reference,21,2)</f>
        <v>Light Vehicle Passenger</v>
      </c>
      <c r="B118" s="4">
        <f ca="1">'Total Distance Tables Sup #2'!B118</f>
        <v>160.37072223999999</v>
      </c>
      <c r="C118" s="4">
        <f ca="1">'Total Distance Tables Sup #2'!C118*(1-'Other Assumptions'!G16)</f>
        <v>154.72971452141027</v>
      </c>
      <c r="D118" s="4">
        <f ca="1">'Total Distance Tables Sup #2'!D118*(1-'Other Assumptions'!H16)</f>
        <v>151.7573282441839</v>
      </c>
      <c r="E118" s="4">
        <f ca="1">'Total Distance Tables Sup #2'!E118*(1-'Other Assumptions'!I16)</f>
        <v>133.8447530895302</v>
      </c>
      <c r="F118" s="4">
        <f ca="1">'Total Distance Tables Sup #2'!F118*(1-'Other Assumptions'!J16)</f>
        <v>115.65086821573007</v>
      </c>
      <c r="G118" s="4">
        <f ca="1">'Total Distance Tables Sup #2'!G118*(1-'Other Assumptions'!K16)</f>
        <v>97.623569221018286</v>
      </c>
      <c r="H118" s="4">
        <f ca="1">'Total Distance Tables Sup #2'!H118*(1-'Other Assumptions'!L16)</f>
        <v>80.375204551410221</v>
      </c>
      <c r="I118" s="1">
        <f ca="1">'Total Distance Tables Sup #2'!I118*(1-'Other Assumptions'!M16)</f>
        <v>65.327673666147078</v>
      </c>
      <c r="J118" s="1">
        <f ca="1">'Total Distance Tables Sup #2'!J118*(1-'Other Assumptions'!N16)</f>
        <v>50.811476518110531</v>
      </c>
      <c r="K118" s="1">
        <f ca="1">'Total Distance Tables Sup #2'!K118*(1-'Other Assumptions'!O16)</f>
        <v>36.971410899851016</v>
      </c>
    </row>
    <row r="119" spans="1:11" x14ac:dyDescent="0.2">
      <c r="A119" t="str">
        <f ca="1">OFFSET(West_Coast_Reference,28,2)</f>
        <v>Taxi/Vehicle Share</v>
      </c>
      <c r="B119" s="4">
        <f ca="1">'Total Distance Tables Sup #2'!B119</f>
        <v>1.6916956777000001</v>
      </c>
      <c r="C119" s="4">
        <f ca="1">'Total Distance Tables Sup #2'!C119+((C117+C118)*'Other Assumptions'!G16/(1-'Other Assumptions'!G16))</f>
        <v>1.7660191498965896</v>
      </c>
      <c r="D119" s="4">
        <f ca="1">'Total Distance Tables Sup #2'!D119+((D117+D118)*'Other Assumptions'!H16/(1-'Other Assumptions'!H16))</f>
        <v>1.8567355654028863</v>
      </c>
      <c r="E119" s="4">
        <f ca="1">'Total Distance Tables Sup #2'!E119+((E117+E118)*'Other Assumptions'!I16/(1-'Other Assumptions'!I16))</f>
        <v>39.495351807451271</v>
      </c>
      <c r="F119" s="4">
        <f ca="1">'Total Distance Tables Sup #2'!F119+((F117+F118)*'Other Assumptions'!J16/(1-'Other Assumptions'!J16))</f>
        <v>75.967757069613342</v>
      </c>
      <c r="G119" s="4">
        <f ca="1">'Total Distance Tables Sup #2'!G119+((G117+G118)*'Other Assumptions'!K16/(1-'Other Assumptions'!K16))</f>
        <v>110.17503213036026</v>
      </c>
      <c r="H119" s="4">
        <f ca="1">'Total Distance Tables Sup #2'!H119+((H117+H118)*'Other Assumptions'!L16/(1-'Other Assumptions'!L16))</f>
        <v>142.01946773124817</v>
      </c>
      <c r="I119" s="1">
        <f ca="1">'Total Distance Tables Sup #2'!I119+((I117+I118)*'Other Assumptions'!M16/(1-'Other Assumptions'!M16))</f>
        <v>172.60840902943971</v>
      </c>
      <c r="J119" s="1">
        <f ca="1">'Total Distance Tables Sup #2'!J119+((J117+J118)*'Other Assumptions'!N16/(1-'Other Assumptions'!N16))</f>
        <v>200.94161826409604</v>
      </c>
      <c r="K119" s="1">
        <f ca="1">'Total Distance Tables Sup #2'!K119+((K117+K118)*'Other Assumptions'!O16/(1-'Other Assumptions'!O16))</f>
        <v>227.06144637536997</v>
      </c>
    </row>
    <row r="120" spans="1:11" x14ac:dyDescent="0.2">
      <c r="A120" t="str">
        <f ca="1">OFFSET(West_Coast_Reference,35,2)</f>
        <v>Motorcyclist</v>
      </c>
      <c r="B120" s="4">
        <f ca="1">'Total Distance Tables Sup #2'!B120</f>
        <v>0.29466348679999999</v>
      </c>
      <c r="C120" s="4">
        <f ca="1">'Total Distance Tables Sup #2'!C120</f>
        <v>0.2955253419715268</v>
      </c>
      <c r="D120" s="4">
        <f ca="1">'Total Distance Tables Sup #2'!D120</f>
        <v>0.29535685291040026</v>
      </c>
      <c r="E120" s="4">
        <f ca="1">'Total Distance Tables Sup #2'!E120</f>
        <v>0.2901656819303991</v>
      </c>
      <c r="F120" s="4">
        <f ca="1">'Total Distance Tables Sup #2'!F120</f>
        <v>0.28182276709480097</v>
      </c>
      <c r="G120" s="4">
        <f ca="1">'Total Distance Tables Sup #2'!G120</f>
        <v>0.26853855414258615</v>
      </c>
      <c r="H120" s="4">
        <f ca="1">'Total Distance Tables Sup #2'!H120</f>
        <v>0.25467192752279144</v>
      </c>
      <c r="I120" s="1">
        <f ca="1">'Total Distance Tables Sup #2'!I120</f>
        <v>0.24970211870905387</v>
      </c>
      <c r="J120" s="1">
        <f ca="1">'Total Distance Tables Sup #2'!J120</f>
        <v>0.2440602301111465</v>
      </c>
      <c r="K120" s="1">
        <f ca="1">'Total Distance Tables Sup #2'!K120</f>
        <v>0.23804248579210049</v>
      </c>
    </row>
    <row r="121" spans="1:11" x14ac:dyDescent="0.2">
      <c r="A121" t="str">
        <f ca="1">OFFSET(Nelson_Reference,42,2)</f>
        <v>Local Train</v>
      </c>
      <c r="B121" s="4">
        <f ca="1">'Total Distance Tables Sup #2'!B121</f>
        <v>0</v>
      </c>
      <c r="C121" s="4">
        <f ca="1">'Total Distance Tables Sup #2'!C121</f>
        <v>0</v>
      </c>
      <c r="D121" s="4">
        <f ca="1">'Total Distance Tables Sup #2'!D121</f>
        <v>0</v>
      </c>
      <c r="E121" s="4">
        <f ca="1">'Total Distance Tables Sup #2'!E121</f>
        <v>0</v>
      </c>
      <c r="F121" s="4">
        <f ca="1">'Total Distance Tables Sup #2'!F121</f>
        <v>0</v>
      </c>
      <c r="G121" s="4">
        <f ca="1">'Total Distance Tables Sup #2'!G121</f>
        <v>0</v>
      </c>
      <c r="H121" s="4">
        <f ca="1">'Total Distance Tables Sup #2'!H121</f>
        <v>0</v>
      </c>
      <c r="I121" s="1">
        <f ca="1">'Total Distance Tables Sup #2'!I121</f>
        <v>0</v>
      </c>
      <c r="J121" s="1">
        <f ca="1">'Total Distance Tables Sup #2'!J121</f>
        <v>0</v>
      </c>
      <c r="K121" s="1">
        <f ca="1">'Total Distance Tables Sup #2'!K121</f>
        <v>0</v>
      </c>
    </row>
    <row r="122" spans="1:11" x14ac:dyDescent="0.2">
      <c r="A122" t="str">
        <f ca="1">OFFSET(West_Coast_Reference,42,2)</f>
        <v>Local Bus</v>
      </c>
      <c r="B122" s="4">
        <f ca="1">'Total Distance Tables Sup #2'!B122</f>
        <v>6.0600083682000001</v>
      </c>
      <c r="C122" s="4">
        <f ca="1">'Total Distance Tables Sup #2'!C122</f>
        <v>5.4452355659328209</v>
      </c>
      <c r="D122" s="4">
        <f ca="1">'Total Distance Tables Sup #2'!D122</f>
        <v>5.1249400771646423</v>
      </c>
      <c r="E122" s="4">
        <f ca="1">'Total Distance Tables Sup #2'!E122</f>
        <v>4.8729888521454354</v>
      </c>
      <c r="F122" s="4">
        <f ca="1">'Total Distance Tables Sup #2'!F122</f>
        <v>4.5505152764440666</v>
      </c>
      <c r="G122" s="4">
        <f ca="1">'Total Distance Tables Sup #2'!G122</f>
        <v>4.2882673313873259</v>
      </c>
      <c r="H122" s="4">
        <f ca="1">'Total Distance Tables Sup #2'!H122</f>
        <v>4.0283597735154988</v>
      </c>
      <c r="I122" s="1">
        <f ca="1">'Total Distance Tables Sup #2'!I122</f>
        <v>3.9303307184781087</v>
      </c>
      <c r="J122" s="1">
        <f ca="1">'Total Distance Tables Sup #2'!J122</f>
        <v>3.8223357459036786</v>
      </c>
      <c r="K122" s="1">
        <f ca="1">'Total Distance Tables Sup #2'!K122</f>
        <v>3.7091743915263335</v>
      </c>
    </row>
    <row r="123" spans="1:11" x14ac:dyDescent="0.2">
      <c r="A123" t="str">
        <f ca="1">OFFSET(Wellington_Reference,56,2)</f>
        <v>Local Ferry</v>
      </c>
      <c r="B123" s="4">
        <f>'Total Distance Tables Sup #2'!B123</f>
        <v>0</v>
      </c>
      <c r="C123" s="4">
        <f ca="1">'Total Distance Tables Sup #2'!C123</f>
        <v>0</v>
      </c>
      <c r="D123" s="4">
        <f ca="1">'Total Distance Tables Sup #2'!D123</f>
        <v>0</v>
      </c>
      <c r="E123" s="4">
        <f ca="1">'Total Distance Tables Sup #2'!E123</f>
        <v>0</v>
      </c>
      <c r="F123" s="4">
        <f ca="1">'Total Distance Tables Sup #2'!F123</f>
        <v>0</v>
      </c>
      <c r="G123" s="4">
        <f ca="1">'Total Distance Tables Sup #2'!G123</f>
        <v>0</v>
      </c>
      <c r="H123" s="4">
        <f ca="1">'Total Distance Tables Sup #2'!H123</f>
        <v>0</v>
      </c>
      <c r="I123" s="1">
        <f ca="1">'Total Distance Tables Sup #2'!I123</f>
        <v>0</v>
      </c>
      <c r="J123" s="1">
        <f ca="1">'Total Distance Tables Sup #2'!J123</f>
        <v>0</v>
      </c>
      <c r="K123" s="1">
        <f ca="1">'Total Distance Tables Sup #2'!K123</f>
        <v>0</v>
      </c>
    </row>
    <row r="124" spans="1:11" x14ac:dyDescent="0.2">
      <c r="A124" t="str">
        <f ca="1">OFFSET(West_Coast_Reference,49,2)</f>
        <v>Other Household Travel</v>
      </c>
      <c r="B124" s="4">
        <f ca="1">'Total Distance Tables Sup #2'!B124</f>
        <v>0</v>
      </c>
      <c r="C124" s="4">
        <f ca="1">'Total Distance Tables Sup #2'!C124</f>
        <v>0</v>
      </c>
      <c r="D124" s="4">
        <f ca="1">'Total Distance Tables Sup #2'!D124</f>
        <v>0</v>
      </c>
      <c r="E124" s="4">
        <f ca="1">'Total Distance Tables Sup #2'!E124</f>
        <v>0</v>
      </c>
      <c r="F124" s="4">
        <f ca="1">'Total Distance Tables Sup #2'!F124</f>
        <v>0</v>
      </c>
      <c r="G124" s="4">
        <f ca="1">'Total Distance Tables Sup #2'!G124</f>
        <v>0</v>
      </c>
      <c r="H124" s="4">
        <f ca="1">'Total Distance Tables Sup #2'!H124</f>
        <v>0</v>
      </c>
      <c r="I124" s="1">
        <f ca="1">'Total Distance Tables Sup #2'!I124</f>
        <v>0</v>
      </c>
      <c r="J124" s="1">
        <f ca="1">'Total Distance Tables Sup #2'!J124</f>
        <v>0</v>
      </c>
      <c r="K124" s="1">
        <f ca="1">'Total Distance Tables Sup #2'!K124</f>
        <v>0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'Total Distance Tables Sup #2'!B126</f>
        <v>113.37513976</v>
      </c>
      <c r="C126" s="4">
        <f ca="1">'Total Distance Tables Sup #2'!C126+'Total Distance Tables Sup #2'!C128*'Other Assumptions'!G88*'Other Assumptions'!G95+'Total Distance Tables Sup #2'!C129*'Other Assumptions'!G88*'Other Assumptions'!G95</f>
        <v>125.02432096179562</v>
      </c>
      <c r="D126" s="4">
        <f ca="1">'Total Distance Tables Sup #2'!D126+'Total Distance Tables Sup #2'!D128*'Other Assumptions'!H88*'Other Assumptions'!H95+'Total Distance Tables Sup #2'!D129*'Other Assumptions'!H88*'Other Assumptions'!H95</f>
        <v>137.06212301183601</v>
      </c>
      <c r="E126" s="4">
        <f ca="1">'Total Distance Tables Sup #2'!E126+'Total Distance Tables Sup #2'!E128*'Other Assumptions'!I88*'Other Assumptions'!I95+'Total Distance Tables Sup #2'!E129*'Other Assumptions'!I88*'Other Assumptions'!I95</f>
        <v>146.43689355763888</v>
      </c>
      <c r="F126" s="4">
        <f ca="1">'Total Distance Tables Sup #2'!F126+'Total Distance Tables Sup #2'!F128*'Other Assumptions'!J88*'Other Assumptions'!J95+'Total Distance Tables Sup #2'!F129*'Other Assumptions'!J88*'Other Assumptions'!J95</f>
        <v>154.53275885062831</v>
      </c>
      <c r="G126" s="4">
        <f ca="1">'Total Distance Tables Sup #2'!G126+'Total Distance Tables Sup #2'!G128*'Other Assumptions'!K88*'Other Assumptions'!K95+'Total Distance Tables Sup #2'!G129*'Other Assumptions'!K88*'Other Assumptions'!K95</f>
        <v>162.39161469981431</v>
      </c>
      <c r="H126" s="4">
        <f ca="1">'Total Distance Tables Sup #2'!H126+'Total Distance Tables Sup #2'!H128*'Other Assumptions'!L88*'Other Assumptions'!L95+'Total Distance Tables Sup #2'!H129*'Other Assumptions'!L88*'Other Assumptions'!L95</f>
        <v>169.79397992201393</v>
      </c>
      <c r="I126" s="1">
        <f ca="1">'Total Distance Tables Sup #2'!I126+'Total Distance Tables Sup #2'!I128*'Other Assumptions'!M88*'Other Assumptions'!M95+'Total Distance Tables Sup #2'!I129*'Other Assumptions'!M88*'Other Assumptions'!M95</f>
        <v>175.24719844679544</v>
      </c>
      <c r="J126" s="1">
        <f ca="1">'Total Distance Tables Sup #2'!J126+'Total Distance Tables Sup #2'!J128*'Other Assumptions'!N88*'Other Assumptions'!N95+'Total Distance Tables Sup #2'!J129*'Other Assumptions'!N88*'Other Assumptions'!N95</f>
        <v>180.31829947726513</v>
      </c>
      <c r="K126" s="1">
        <f ca="1">'Total Distance Tables Sup #2'!K126+'Total Distance Tables Sup #2'!K128*'Other Assumptions'!O88*'Other Assumptions'!O95+'Total Distance Tables Sup #2'!K129*'Other Assumptions'!O88*'Other Assumptions'!O95</f>
        <v>185.15607157482233</v>
      </c>
    </row>
    <row r="127" spans="1:11" x14ac:dyDescent="0.2">
      <c r="A127" t="str">
        <f ca="1">OFFSET(Canterbury_Reference,7,2)</f>
        <v>Cyclist</v>
      </c>
      <c r="B127" s="4">
        <f ca="1">'Total Distance Tables Sup #2'!B127</f>
        <v>97.023488555</v>
      </c>
      <c r="C127" s="4">
        <f ca="1">'Total Distance Tables Sup #2'!C127+'Total Distance Tables Sup #2'!C128*'Other Assumptions'!G88*'Other Assumptions'!G94+'Total Distance Tables Sup #2'!C129*'Other Assumptions'!G88*'Other Assumptions'!G94</f>
        <v>110.88872294128524</v>
      </c>
      <c r="D127" s="4">
        <f ca="1">'Total Distance Tables Sup #2'!D127+'Total Distance Tables Sup #2'!D128*'Other Assumptions'!H88*'Other Assumptions'!H94+'Total Distance Tables Sup #2'!D129*'Other Assumptions'!H88*'Other Assumptions'!H94</f>
        <v>142.45323139317256</v>
      </c>
      <c r="E127" s="4">
        <f ca="1">'Total Distance Tables Sup #2'!E127+'Total Distance Tables Sup #2'!E128*'Other Assumptions'!I88*'Other Assumptions'!I94+'Total Distance Tables Sup #2'!E129*'Other Assumptions'!I88*'Other Assumptions'!I94</f>
        <v>172.49168401847305</v>
      </c>
      <c r="F127" s="4">
        <f ca="1">'Total Distance Tables Sup #2'!F127+'Total Distance Tables Sup #2'!F128*'Other Assumptions'!J88*'Other Assumptions'!J94+'Total Distance Tables Sup #2'!F129*'Other Assumptions'!J88*'Other Assumptions'!J94</f>
        <v>206.79369987237229</v>
      </c>
      <c r="G127" s="4">
        <f ca="1">'Total Distance Tables Sup #2'!G127+'Total Distance Tables Sup #2'!G128*'Other Assumptions'!K88*'Other Assumptions'!K94+'Total Distance Tables Sup #2'!G129*'Other Assumptions'!K88*'Other Assumptions'!K94</f>
        <v>247.10480078494831</v>
      </c>
      <c r="H127" s="4">
        <f ca="1">'Total Distance Tables Sup #2'!H127+'Total Distance Tables Sup #2'!H128*'Other Assumptions'!L88*'Other Assumptions'!L94+'Total Distance Tables Sup #2'!H129*'Other Assumptions'!L88*'Other Assumptions'!L94</f>
        <v>291.18859432408266</v>
      </c>
      <c r="I127" s="1">
        <f ca="1">'Total Distance Tables Sup #2'!I127+'Total Distance Tables Sup #2'!I128*'Other Assumptions'!M88*'Other Assumptions'!M94+'Total Distance Tables Sup #2'!I129*'Other Assumptions'!M88*'Other Assumptions'!M94</f>
        <v>300.7255688560133</v>
      </c>
      <c r="J127" s="1">
        <f ca="1">'Total Distance Tables Sup #2'!J127+'Total Distance Tables Sup #2'!J128*'Other Assumptions'!N88*'Other Assumptions'!N94+'Total Distance Tables Sup #2'!J129*'Other Assumptions'!N88*'Other Assumptions'!N94</f>
        <v>309.6160292430074</v>
      </c>
      <c r="K127" s="1">
        <f ca="1">'Total Distance Tables Sup #2'!K127+'Total Distance Tables Sup #2'!K128*'Other Assumptions'!O88*'Other Assumptions'!O94+'Total Distance Tables Sup #2'!K129*'Other Assumptions'!O88*'Other Assumptions'!O94</f>
        <v>318.11448321742256</v>
      </c>
    </row>
    <row r="128" spans="1:11" x14ac:dyDescent="0.2">
      <c r="A128" t="str">
        <f ca="1">OFFSET(Canterbury_Reference,14,2)</f>
        <v>Light Vehicle Driver</v>
      </c>
      <c r="B128" s="4">
        <f ca="1">'Total Distance Tables Sup #2'!B128</f>
        <v>3777.041205</v>
      </c>
      <c r="C128" s="4">
        <f ca="1">'Total Distance Tables Sup #2'!C128*(1-'Other Assumptions'!G17)*(1-'Other Assumptions'!G88)</f>
        <v>4313.1003821997683</v>
      </c>
      <c r="D128" s="4">
        <f ca="1">'Total Distance Tables Sup #2'!D128*(1-'Other Assumptions'!H17)*(1-'Other Assumptions'!H88)</f>
        <v>4646.5778438610932</v>
      </c>
      <c r="E128" s="4">
        <f ca="1">'Total Distance Tables Sup #2'!E128*(1-'Other Assumptions'!I17)*(1-'Other Assumptions'!I88)</f>
        <v>4442.0665251145056</v>
      </c>
      <c r="F128" s="4">
        <f ca="1">'Total Distance Tables Sup #2'!F128*(1-'Other Assumptions'!J17)*(1-'Other Assumptions'!J88)</f>
        <v>4162.7720517127664</v>
      </c>
      <c r="G128" s="4">
        <f ca="1">'Total Distance Tables Sup #2'!G128*(1-'Other Assumptions'!K17)*(1-'Other Assumptions'!K88)</f>
        <v>3793.0961388519859</v>
      </c>
      <c r="H128" s="4">
        <f ca="1">'Total Distance Tables Sup #2'!H128*(1-'Other Assumptions'!L17)*(1-'Other Assumptions'!L88)</f>
        <v>3367.5584344329231</v>
      </c>
      <c r="I128" s="1">
        <f ca="1">'Total Distance Tables Sup #2'!I128*(1-'Other Assumptions'!M17)*(1-'Other Assumptions'!M88)</f>
        <v>2902.8064599985582</v>
      </c>
      <c r="J128" s="1">
        <f ca="1">'Total Distance Tables Sup #2'!J128*(1-'Other Assumptions'!N17)*(1-'Other Assumptions'!N88)</f>
        <v>2394.6708960268288</v>
      </c>
      <c r="K128" s="1">
        <f ca="1">'Total Distance Tables Sup #2'!K128*(1-'Other Assumptions'!O17)*(1-'Other Assumptions'!O88)</f>
        <v>1848.1951688915317</v>
      </c>
    </row>
    <row r="129" spans="1:11" x14ac:dyDescent="0.2">
      <c r="A129" t="str">
        <f ca="1">OFFSET(Canterbury_Reference,21,2)</f>
        <v>Light Vehicle Passenger</v>
      </c>
      <c r="B129" s="4">
        <f ca="1">'Total Distance Tables Sup #2'!B129</f>
        <v>2033.7115475000001</v>
      </c>
      <c r="C129" s="4">
        <f ca="1">'Total Distance Tables Sup #2'!C129*(1-'Other Assumptions'!G17)*(1-'Other Assumptions'!G88+'Other Assumptions'!G88*'Other Assumptions'!G91)+'Total Distance Tables Sup #2'!C128*(1-'Other Assumptions'!G17)*'Other Assumptions'!G88*'Other Assumptions'!G91</f>
        <v>2236.6551820187465</v>
      </c>
      <c r="D129" s="4">
        <f ca="1">'Total Distance Tables Sup #2'!D129*(1-'Other Assumptions'!H17)*(1-'Other Assumptions'!H88+'Other Assumptions'!H88*'Other Assumptions'!H91)+'Total Distance Tables Sup #2'!D128*(1-'Other Assumptions'!H17)*'Other Assumptions'!H88*'Other Assumptions'!H91</f>
        <v>2357.0156195367736</v>
      </c>
      <c r="E129" s="4">
        <f ca="1">'Total Distance Tables Sup #2'!E129*(1-'Other Assumptions'!I17)*(1-'Other Assumptions'!I88+'Other Assumptions'!I88*'Other Assumptions'!I91)+'Total Distance Tables Sup #2'!E128*(1-'Other Assumptions'!I17)*'Other Assumptions'!I88*'Other Assumptions'!I91</f>
        <v>2205.5250798257489</v>
      </c>
      <c r="F129" s="4">
        <f ca="1">'Total Distance Tables Sup #2'!F129*(1-'Other Assumptions'!J17)*(1-'Other Assumptions'!J88+'Other Assumptions'!J88*'Other Assumptions'!J91)+'Total Distance Tables Sup #2'!F128*(1-'Other Assumptions'!J17)*'Other Assumptions'!J88*'Other Assumptions'!J91</f>
        <v>2020.0174749512134</v>
      </c>
      <c r="G129" s="4">
        <f ca="1">'Total Distance Tables Sup #2'!G129*(1-'Other Assumptions'!K17)*(1-'Other Assumptions'!K88+'Other Assumptions'!K88*'Other Assumptions'!K91)+'Total Distance Tables Sup #2'!G128*(1-'Other Assumptions'!K17)*'Other Assumptions'!K88*'Other Assumptions'!K91</f>
        <v>1806.790773963249</v>
      </c>
      <c r="H129" s="4">
        <f ca="1">'Total Distance Tables Sup #2'!H129*(1-'Other Assumptions'!L17)*(1-'Other Assumptions'!L88+'Other Assumptions'!L88*'Other Assumptions'!L91)+'Total Distance Tables Sup #2'!H128*(1-'Other Assumptions'!L17)*'Other Assumptions'!L88*'Other Assumptions'!L91</f>
        <v>1574.10465798157</v>
      </c>
      <c r="I129" s="1">
        <f ca="1">'Total Distance Tables Sup #2'!I129*(1-'Other Assumptions'!M17)*(1-'Other Assumptions'!M88+'Other Assumptions'!M88*'Other Assumptions'!M91)+'Total Distance Tables Sup #2'!I128*(1-'Other Assumptions'!M17)*'Other Assumptions'!M88*'Other Assumptions'!M91</f>
        <v>1357.5594090431459</v>
      </c>
      <c r="J129" s="1">
        <f ca="1">'Total Distance Tables Sup #2'!J129*(1-'Other Assumptions'!N17)*(1-'Other Assumptions'!N88+'Other Assumptions'!N88*'Other Assumptions'!N91)+'Total Distance Tables Sup #2'!J128*(1-'Other Assumptions'!N17)*'Other Assumptions'!N88*'Other Assumptions'!N91</f>
        <v>1120.4937860932457</v>
      </c>
      <c r="K129" s="1">
        <f ca="1">'Total Distance Tables Sup #2'!K129*(1-'Other Assumptions'!O17)*(1-'Other Assumptions'!O88+'Other Assumptions'!O88*'Other Assumptions'!O91)+'Total Distance Tables Sup #2'!K128*(1-'Other Assumptions'!O17)*'Other Assumptions'!O88*'Other Assumptions'!O91</f>
        <v>865.23625963038035</v>
      </c>
    </row>
    <row r="130" spans="1:11" x14ac:dyDescent="0.2">
      <c r="A130" t="str">
        <f ca="1">OFFSET(Canterbury_Reference,28,2)</f>
        <v>Taxi/Vehicle Share</v>
      </c>
      <c r="B130" s="4">
        <f ca="1">'Total Distance Tables Sup #2'!B130</f>
        <v>16.530142167000001</v>
      </c>
      <c r="C130" s="4">
        <f ca="1">'Total Distance Tables Sup #2'!C130+((C128+C129)*'Other Assumptions'!G17/(1-'Other Assumptions'!G17))</f>
        <v>19.670291653954127</v>
      </c>
      <c r="D130" s="4">
        <f ca="1">'Total Distance Tables Sup #2'!D130+((D128+D129)*'Other Assumptions'!H17/(1-'Other Assumptions'!H17))</f>
        <v>22.268062466783064</v>
      </c>
      <c r="E130" s="4">
        <f ca="1">'Total Distance Tables Sup #2'!E130+((E128+E129)*'Other Assumptions'!I17/(1-'Other Assumptions'!I17))</f>
        <v>763.21782006137391</v>
      </c>
      <c r="F130" s="4">
        <f ca="1">'Total Distance Tables Sup #2'!F130+((F128+F129)*'Other Assumptions'!J17/(1-'Other Assumptions'!J17))</f>
        <v>1572.3799067904372</v>
      </c>
      <c r="G130" s="4">
        <f ca="1">'Total Distance Tables Sup #2'!G130+((G128+G129)*'Other Assumptions'!K17/(1-'Other Assumptions'!K17))</f>
        <v>2428.3126706009466</v>
      </c>
      <c r="H130" s="4">
        <f ca="1">'Total Distance Tables Sup #2'!H130+((H128+H129)*'Other Assumptions'!L17/(1-'Other Assumptions'!L17))</f>
        <v>3324.4017772416337</v>
      </c>
      <c r="I130" s="1">
        <f ca="1">'Total Distance Tables Sup #2'!I130+((I128+I129)*'Other Assumptions'!M17/(1-'Other Assumptions'!M17))</f>
        <v>4291.2474750656338</v>
      </c>
      <c r="J130" s="1">
        <f ca="1">'Total Distance Tables Sup #2'!J130+((J128+J129)*'Other Assumptions'!N17/(1-'Other Assumptions'!N17))</f>
        <v>5304.4803333639893</v>
      </c>
      <c r="K130" s="1">
        <f ca="1">'Total Distance Tables Sup #2'!K130+((K128+K129)*'Other Assumptions'!O17/(1-'Other Assumptions'!O17))</f>
        <v>6363.8812549871245</v>
      </c>
    </row>
    <row r="131" spans="1:11" x14ac:dyDescent="0.2">
      <c r="A131" t="str">
        <f ca="1">OFFSET(Canterbury_Reference,35,2)</f>
        <v>Motorcyclist</v>
      </c>
      <c r="B131" s="4">
        <f ca="1">'Total Distance Tables Sup #2'!B131</f>
        <v>12.048552727000001</v>
      </c>
      <c r="C131" s="4">
        <f ca="1">'Total Distance Tables Sup #2'!C131</f>
        <v>13.77413481042913</v>
      </c>
      <c r="D131" s="4">
        <f ca="1">'Total Distance Tables Sup #2'!D131</f>
        <v>14.82291561999223</v>
      </c>
      <c r="E131" s="4">
        <f ca="1">'Total Distance Tables Sup #2'!E131</f>
        <v>15.482916083547073</v>
      </c>
      <c r="F131" s="4">
        <f ca="1">'Total Distance Tables Sup #2'!F131</f>
        <v>15.974998295449305</v>
      </c>
      <c r="G131" s="4">
        <f ca="1">'Total Distance Tables Sup #2'!G131</f>
        <v>16.168777290861655</v>
      </c>
      <c r="H131" s="4">
        <f ca="1">'Total Distance Tables Sup #2'!H131</f>
        <v>16.268751823106737</v>
      </c>
      <c r="I131" s="1">
        <f ca="1">'Total Distance Tables Sup #2'!I131</f>
        <v>16.925236098938754</v>
      </c>
      <c r="J131" s="1">
        <f ca="1">'Total Distance Tables Sup #2'!J131</f>
        <v>17.554351205731514</v>
      </c>
      <c r="K131" s="1">
        <f ca="1">'Total Distance Tables Sup #2'!K131</f>
        <v>18.169903952111419</v>
      </c>
    </row>
    <row r="132" spans="1:11" x14ac:dyDescent="0.2">
      <c r="A132" t="str">
        <f ca="1">OFFSET(Canterbury_Reference,42,2)</f>
        <v>Local Train</v>
      </c>
      <c r="B132" s="4">
        <f ca="1">'Total Distance Tables Sup #2'!B132</f>
        <v>0</v>
      </c>
      <c r="C132" s="4">
        <f ca="1">'Total Distance Tables Sup #2'!C132+'Total Distance Tables Sup #2'!C128*'Other Assumptions'!G88*'Other Assumptions'!G93+'Total Distance Tables Sup #2'!C129*'Other Assumptions'!G88*'Other Assumptions'!G93</f>
        <v>0</v>
      </c>
      <c r="D132" s="4">
        <f ca="1">'Total Distance Tables Sup #2'!D132+'Total Distance Tables Sup #2'!D128*'Other Assumptions'!H88*'Other Assumptions'!H93+'Total Distance Tables Sup #2'!D129*'Other Assumptions'!H88*'Other Assumptions'!H93</f>
        <v>0</v>
      </c>
      <c r="E132" s="4">
        <f ca="1">'Total Distance Tables Sup #2'!E132+'Total Distance Tables Sup #2'!E128*'Other Assumptions'!I88*'Other Assumptions'!I93+'Total Distance Tables Sup #2'!E129*'Other Assumptions'!I88*'Other Assumptions'!I93</f>
        <v>0</v>
      </c>
      <c r="F132" s="4">
        <f ca="1">'Total Distance Tables Sup #2'!F132+'Total Distance Tables Sup #2'!F128*'Other Assumptions'!J88*'Other Assumptions'!J93+'Total Distance Tables Sup #2'!F129*'Other Assumptions'!J88*'Other Assumptions'!J93</f>
        <v>0</v>
      </c>
      <c r="G132" s="4">
        <f ca="1">'Total Distance Tables Sup #2'!G132+'Total Distance Tables Sup #2'!G128*'Other Assumptions'!K88*'Other Assumptions'!K93+'Total Distance Tables Sup #2'!G129*'Other Assumptions'!K88*'Other Assumptions'!K93</f>
        <v>0</v>
      </c>
      <c r="H132" s="4">
        <f ca="1">'Total Distance Tables Sup #2'!H132+'Total Distance Tables Sup #2'!H128*'Other Assumptions'!L88*'Other Assumptions'!L93+'Total Distance Tables Sup #2'!H129*'Other Assumptions'!L88*'Other Assumptions'!L93</f>
        <v>0</v>
      </c>
      <c r="I132" s="1">
        <f ca="1">'Total Distance Tables Sup #2'!I132+'Total Distance Tables Sup #2'!I128*'Other Assumptions'!M88*'Other Assumptions'!M93+'Total Distance Tables Sup #2'!I129*'Other Assumptions'!M88*'Other Assumptions'!M93</f>
        <v>0</v>
      </c>
      <c r="J132" s="1">
        <f ca="1">'Total Distance Tables Sup #2'!J132+'Total Distance Tables Sup #2'!J128*'Other Assumptions'!N88*'Other Assumptions'!N93+'Total Distance Tables Sup #2'!J129*'Other Assumptions'!N88*'Other Assumptions'!N93</f>
        <v>0</v>
      </c>
      <c r="K132" s="1">
        <f ca="1">'Total Distance Tables Sup #2'!K132+'Total Distance Tables Sup #2'!K128*'Other Assumptions'!O88*'Other Assumptions'!O93+'Total Distance Tables Sup #2'!K129*'Other Assumptions'!O88*'Other Assumptions'!O93</f>
        <v>0</v>
      </c>
    </row>
    <row r="133" spans="1:11" x14ac:dyDescent="0.2">
      <c r="A133" t="str">
        <f ca="1">OFFSET(Canterbury_Reference,49,2)</f>
        <v>Local Bus</v>
      </c>
      <c r="B133" s="4">
        <f ca="1">'Total Distance Tables Sup #2'!B133</f>
        <v>174.53993166999999</v>
      </c>
      <c r="C133" s="4">
        <f ca="1">'Total Distance Tables Sup #2'!C133+'Total Distance Tables Sup #2'!C128*'Other Assumptions'!G88*'Other Assumptions'!G92+'Total Distance Tables Sup #2'!C129*'Other Assumptions'!G88*'Other Assumptions'!G92</f>
        <v>178.40772453</v>
      </c>
      <c r="D133" s="4">
        <f ca="1">'Total Distance Tables Sup #2'!D133+'Total Distance Tables Sup #2'!D128*'Other Assumptions'!H88*'Other Assumptions'!H92+'Total Distance Tables Sup #2'!D129*'Other Assumptions'!H88*'Other Assumptions'!H92</f>
        <v>176.99843539</v>
      </c>
      <c r="E133" s="4">
        <f ca="1">'Total Distance Tables Sup #2'!E133+'Total Distance Tables Sup #2'!E128*'Other Assumptions'!I88*'Other Assumptions'!I92+'Total Distance Tables Sup #2'!E129*'Other Assumptions'!I88*'Other Assumptions'!I92</f>
        <v>177.62065634000001</v>
      </c>
      <c r="F133" s="4">
        <f ca="1">'Total Distance Tables Sup #2'!F133+'Total Distance Tables Sup #2'!F128*'Other Assumptions'!J88*'Other Assumptions'!J92+'Total Distance Tables Sup #2'!F129*'Other Assumptions'!J88*'Other Assumptions'!J92</f>
        <v>174.22242717</v>
      </c>
      <c r="G133" s="4">
        <f ca="1">'Total Distance Tables Sup #2'!G133+'Total Distance Tables Sup #2'!G128*'Other Assumptions'!K88*'Other Assumptions'!K92+'Total Distance Tables Sup #2'!G129*'Other Assumptions'!K88*'Other Assumptions'!K92</f>
        <v>170.48597458</v>
      </c>
      <c r="H133" s="4">
        <f ca="1">'Total Distance Tables Sup #2'!H133+'Total Distance Tables Sup #2'!H128*'Other Assumptions'!L88*'Other Assumptions'!L92+'Total Distance Tables Sup #2'!H129*'Other Assumptions'!L88*'Other Assumptions'!L92</f>
        <v>166.02331469000001</v>
      </c>
      <c r="I133" s="1">
        <f ca="1">'Total Distance Tables Sup #2'!I133+'Total Distance Tables Sup #2'!I128*'Other Assumptions'!M88*'Other Assumptions'!M92+'Total Distance Tables Sup #2'!I129*'Other Assumptions'!M88*'Other Assumptions'!M92</f>
        <v>166.02331469000001</v>
      </c>
      <c r="J133" s="1">
        <f ca="1">'Total Distance Tables Sup #2'!J133+'Total Distance Tables Sup #2'!J128*'Other Assumptions'!N88*'Other Assumptions'!N92+'Total Distance Tables Sup #2'!J129*'Other Assumptions'!N88*'Other Assumptions'!N92</f>
        <v>166.02331469000001</v>
      </c>
      <c r="K133" s="1">
        <f ca="1">'Total Distance Tables Sup #2'!K133+'Total Distance Tables Sup #2'!K128*'Other Assumptions'!O88*'Other Assumptions'!O92+'Total Distance Tables Sup #2'!K129*'Other Assumptions'!O88*'Other Assumptions'!O92</f>
        <v>166.02331469000001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'Total Distance Tables Sup #2'!C134</f>
        <v>0</v>
      </c>
      <c r="D134" s="4">
        <f ca="1">'Total Distance Tables Sup #2'!D134</f>
        <v>0</v>
      </c>
      <c r="E134" s="4">
        <f ca="1">'Total Distance Tables Sup #2'!E134</f>
        <v>0</v>
      </c>
      <c r="F134" s="4">
        <f ca="1">'Total Distance Tables Sup #2'!F134</f>
        <v>0</v>
      </c>
      <c r="G134" s="4">
        <f ca="1">'Total Distance Tables Sup #2'!G134</f>
        <v>0</v>
      </c>
      <c r="H134" s="4">
        <f ca="1">'Total Distance Tables Sup #2'!H134</f>
        <v>0</v>
      </c>
      <c r="I134" s="1">
        <f ca="1">'Total Distance Tables Sup #2'!I134</f>
        <v>0</v>
      </c>
      <c r="J134" s="1">
        <f ca="1">'Total Distance Tables Sup #2'!J134</f>
        <v>0</v>
      </c>
      <c r="K134" s="1">
        <f ca="1">'Total Distance Tables Sup #2'!K134</f>
        <v>0</v>
      </c>
    </row>
    <row r="135" spans="1:11" x14ac:dyDescent="0.2">
      <c r="A135" t="str">
        <f ca="1">OFFSET(Canterbury_Reference,56,2)</f>
        <v>Other Household Travel</v>
      </c>
      <c r="B135" s="4">
        <f ca="1">'Total Distance Tables Sup #2'!B135</f>
        <v>0</v>
      </c>
      <c r="C135" s="4">
        <f ca="1">'Total Distance Tables Sup #2'!C135</f>
        <v>0</v>
      </c>
      <c r="D135" s="4">
        <f ca="1">'Total Distance Tables Sup #2'!D135</f>
        <v>0</v>
      </c>
      <c r="E135" s="4">
        <f ca="1">'Total Distance Tables Sup #2'!E135</f>
        <v>0</v>
      </c>
      <c r="F135" s="4">
        <f ca="1">'Total Distance Tables Sup #2'!F135</f>
        <v>0</v>
      </c>
      <c r="G135" s="4">
        <f ca="1">'Total Distance Tables Sup #2'!G135</f>
        <v>0</v>
      </c>
      <c r="H135" s="4">
        <f ca="1">'Total Distance Tables Sup #2'!H135</f>
        <v>0</v>
      </c>
      <c r="I135" s="1">
        <f ca="1">'Total Distance Tables Sup #2'!I135</f>
        <v>0</v>
      </c>
      <c r="J135" s="1">
        <f ca="1">'Total Distance Tables Sup #2'!J135</f>
        <v>0</v>
      </c>
      <c r="K135" s="1">
        <f ca="1">'Total Distance Tables Sup #2'!K135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'Total Distance Tables Sup #2'!B137</f>
        <v>45.829100335</v>
      </c>
      <c r="C137" s="4">
        <f ca="1">'Total Distance Tables Sup #2'!C137</f>
        <v>50.425256907630242</v>
      </c>
      <c r="D137" s="4">
        <f ca="1">'Total Distance Tables Sup #2'!D137</f>
        <v>55.13219747898998</v>
      </c>
      <c r="E137" s="4">
        <f ca="1">'Total Distance Tables Sup #2'!E137</f>
        <v>58.612242683363149</v>
      </c>
      <c r="F137" s="4">
        <f ca="1">'Total Distance Tables Sup #2'!F137</f>
        <v>61.56511526082501</v>
      </c>
      <c r="G137" s="4">
        <f ca="1">'Total Distance Tables Sup #2'!G137</f>
        <v>64.370931580519638</v>
      </c>
      <c r="H137" s="4">
        <f ca="1">'Total Distance Tables Sup #2'!H137</f>
        <v>66.988740647918789</v>
      </c>
      <c r="I137" s="1">
        <f ca="1">'Total Distance Tables Sup #2'!I137</f>
        <v>68.811641436269298</v>
      </c>
      <c r="J137" s="1">
        <f ca="1">'Total Distance Tables Sup #2'!J137</f>
        <v>70.463319116794096</v>
      </c>
      <c r="K137" s="1">
        <f ca="1">'Total Distance Tables Sup #2'!K137</f>
        <v>72.004215845891792</v>
      </c>
    </row>
    <row r="138" spans="1:11" x14ac:dyDescent="0.2">
      <c r="A138" t="str">
        <f ca="1">OFFSET(Otago_Reference,7,2)</f>
        <v>Cyclist</v>
      </c>
      <c r="B138" s="4">
        <f ca="1">'Total Distance Tables Sup #2'!B138</f>
        <v>16.325352069000001</v>
      </c>
      <c r="C138" s="4">
        <f ca="1">'Total Distance Tables Sup #2'!C138</f>
        <v>18.616720160930814</v>
      </c>
      <c r="D138" s="4">
        <f ca="1">'Total Distance Tables Sup #2'!D138</f>
        <v>23.851864166644276</v>
      </c>
      <c r="E138" s="4">
        <f ca="1">'Total Distance Tables Sup #2'!E138</f>
        <v>28.738769397869824</v>
      </c>
      <c r="F138" s="4">
        <f ca="1">'Total Distance Tables Sup #2'!F138</f>
        <v>34.29364248671682</v>
      </c>
      <c r="G138" s="4">
        <f ca="1">'Total Distance Tables Sup #2'!G138</f>
        <v>40.77270742983282</v>
      </c>
      <c r="H138" s="4">
        <f ca="1">'Total Distance Tables Sup #2'!H138</f>
        <v>47.820714285675841</v>
      </c>
      <c r="I138" s="1">
        <f ca="1">'Total Distance Tables Sup #2'!I138</f>
        <v>49.152245417339401</v>
      </c>
      <c r="J138" s="1">
        <f ca="1">'Total Distance Tables Sup #2'!J138</f>
        <v>50.362688239487589</v>
      </c>
      <c r="K138" s="1">
        <f ca="1">'Total Distance Tables Sup #2'!K138</f>
        <v>51.495061739492783</v>
      </c>
    </row>
    <row r="139" spans="1:11" x14ac:dyDescent="0.2">
      <c r="A139" t="str">
        <f ca="1">OFFSET(Otago_Reference,14,2)</f>
        <v>Light Vehicle Driver</v>
      </c>
      <c r="B139" s="4">
        <f ca="1">'Total Distance Tables Sup #2'!B139</f>
        <v>1192.1699989000001</v>
      </c>
      <c r="C139" s="4">
        <f ca="1">'Total Distance Tables Sup #2'!C139*(1-'Other Assumptions'!G18)</f>
        <v>1358.3326833662729</v>
      </c>
      <c r="D139" s="4">
        <f ca="1">'Total Distance Tables Sup #2'!D139*(1-'Other Assumptions'!H18)</f>
        <v>1460.1868500585538</v>
      </c>
      <c r="E139" s="4">
        <f ca="1">'Total Distance Tables Sup #2'!E139*(1-'Other Assumptions'!I18)</f>
        <v>1389.7121648072377</v>
      </c>
      <c r="F139" s="4">
        <f ca="1">'Total Distance Tables Sup #2'!F139*(1-'Other Assumptions'!J18)</f>
        <v>1296.9337036832276</v>
      </c>
      <c r="G139" s="4">
        <f ca="1">'Total Distance Tables Sup #2'!G139*(1-'Other Assumptions'!K18)</f>
        <v>1176.4773427722305</v>
      </c>
      <c r="H139" s="4">
        <f ca="1">'Total Distance Tables Sup #2'!H139*(1-'Other Assumptions'!L18)</f>
        <v>1040.2015071890396</v>
      </c>
      <c r="I139" s="1">
        <f ca="1">'Total Distance Tables Sup #2'!I139*(1-'Other Assumptions'!M18)</f>
        <v>892.38032775022509</v>
      </c>
      <c r="J139" s="1">
        <f ca="1">'Total Distance Tables Sup #2'!J139*(1-'Other Assumptions'!N18)</f>
        <v>732.63636853409014</v>
      </c>
      <c r="K139" s="1">
        <f ca="1">'Total Distance Tables Sup #2'!K139*(1-'Other Assumptions'!O18)</f>
        <v>562.71102628812639</v>
      </c>
    </row>
    <row r="140" spans="1:11" x14ac:dyDescent="0.2">
      <c r="A140" t="str">
        <f ca="1">OFFSET(Otago_Reference,21,2)</f>
        <v>Light Vehicle Passenger</v>
      </c>
      <c r="B140" s="4">
        <f ca="1">'Total Distance Tables Sup #2'!B140</f>
        <v>849.31688999999994</v>
      </c>
      <c r="C140" s="4">
        <f ca="1">'Total Distance Tables Sup #2'!C140*(1-'Other Assumptions'!G18)</f>
        <v>931.98636884297787</v>
      </c>
      <c r="D140" s="4">
        <f ca="1">'Total Distance Tables Sup #2'!D140*(1-'Other Assumptions'!H18)</f>
        <v>980.99664487723646</v>
      </c>
      <c r="E140" s="4">
        <f ca="1">'Total Distance Tables Sup #2'!E140*(1-'Other Assumptions'!I18)</f>
        <v>914.79527569287052</v>
      </c>
      <c r="F140" s="4">
        <f ca="1">'Total Distance Tables Sup #2'!F140*(1-'Other Assumptions'!J18)</f>
        <v>835.28627508440195</v>
      </c>
      <c r="G140" s="4">
        <f ca="1">'Total Distance Tables Sup #2'!G140*(1-'Other Assumptions'!K18)</f>
        <v>744.68165683058385</v>
      </c>
      <c r="H140" s="4">
        <f ca="1">'Total Distance Tables Sup #2'!H140*(1-'Other Assumptions'!L18)</f>
        <v>646.97901625585803</v>
      </c>
      <c r="I140" s="1">
        <f ca="1">'Total Distance Tables Sup #2'!I140*(1-'Other Assumptions'!M18)</f>
        <v>555.31470094816189</v>
      </c>
      <c r="J140" s="1">
        <f ca="1">'Total Distance Tables Sup #2'!J140*(1-'Other Assumptions'!N18)</f>
        <v>456.13637425076604</v>
      </c>
      <c r="K140" s="1">
        <f ca="1">'Total Distance Tables Sup #2'!K140*(1-'Other Assumptions'!O18)</f>
        <v>350.51705270269804</v>
      </c>
    </row>
    <row r="141" spans="1:11" x14ac:dyDescent="0.2">
      <c r="A141" t="str">
        <f ca="1">OFFSET(Otago_Reference,28,2)</f>
        <v>Taxi/Vehicle Share</v>
      </c>
      <c r="B141" s="4">
        <f ca="1">'Total Distance Tables Sup #2'!B141</f>
        <v>7.2892681777000004</v>
      </c>
      <c r="C141" s="4">
        <f ca="1">'Total Distance Tables Sup #2'!C141+((C139+C140)*'Other Assumptions'!G18/(1-'Other Assumptions'!G18))</f>
        <v>8.6546250598521528</v>
      </c>
      <c r="D141" s="4">
        <f ca="1">'Total Distance Tables Sup #2'!D141+((D139+D140)*'Other Assumptions'!H18/(1-'Other Assumptions'!H18))</f>
        <v>9.7713399532015686</v>
      </c>
      <c r="E141" s="4">
        <f ca="1">'Total Distance Tables Sup #2'!E141+((E139+E140)*'Other Assumptions'!I18/(1-'Other Assumptions'!I18))</f>
        <v>266.79616583110828</v>
      </c>
      <c r="F141" s="4">
        <f ca="1">'Total Distance Tables Sup #2'!F141+((F139+F140)*'Other Assumptions'!J18/(1-'Other Assumptions'!J18))</f>
        <v>544.65144067482413</v>
      </c>
      <c r="G141" s="4">
        <f ca="1">'Total Distance Tables Sup #2'!G141+((G139+G140)*'Other Assumptions'!K18/(1-'Other Assumptions'!K18))</f>
        <v>835.61790007974491</v>
      </c>
      <c r="H141" s="4">
        <f ca="1">'Total Distance Tables Sup #2'!H141+((H139+H140)*'Other Assumptions'!L18/(1-'Other Assumptions'!L18))</f>
        <v>1137.6814131691026</v>
      </c>
      <c r="I141" s="1">
        <f ca="1">'Total Distance Tables Sup #2'!I141+((I139+I140)*'Other Assumptions'!M18/(1-'Other Assumptions'!M18))</f>
        <v>1460.9230399400326</v>
      </c>
      <c r="J141" s="1">
        <f ca="1">'Total Distance Tables Sup #2'!J141+((J139+J140)*'Other Assumptions'!N18/(1-'Other Assumptions'!N18))</f>
        <v>1796.6867690198608</v>
      </c>
      <c r="K141" s="1">
        <f ca="1">'Total Distance Tables Sup #2'!K141+((K139+K140)*'Other Assumptions'!O18/(1-'Other Assumptions'!O18))</f>
        <v>2144.6705716602232</v>
      </c>
    </row>
    <row r="142" spans="1:11" x14ac:dyDescent="0.2">
      <c r="A142" t="str">
        <f ca="1">OFFSET(Otago_Reference,35,2)</f>
        <v>Motorcyclist</v>
      </c>
      <c r="B142" s="4">
        <f ca="1">'Total Distance Tables Sup #2'!B142</f>
        <v>18.503357486999999</v>
      </c>
      <c r="C142" s="4">
        <f ca="1">'Total Distance Tables Sup #2'!C142</f>
        <v>21.106202710871262</v>
      </c>
      <c r="D142" s="4">
        <f ca="1">'Total Distance Tables Sup #2'!D142</f>
        <v>22.652369943185409</v>
      </c>
      <c r="E142" s="4">
        <f ca="1">'Total Distance Tables Sup #2'!E142</f>
        <v>23.544135706404219</v>
      </c>
      <c r="F142" s="4">
        <f ca="1">'Total Distance Tables Sup #2'!F142</f>
        <v>24.179489086226226</v>
      </c>
      <c r="G142" s="4">
        <f ca="1">'Total Distance Tables Sup #2'!G142</f>
        <v>24.34980759672748</v>
      </c>
      <c r="H142" s="4">
        <f ca="1">'Total Distance Tables Sup #2'!H142</f>
        <v>24.385177431188723</v>
      </c>
      <c r="I142" s="1">
        <f ca="1">'Total Distance Tables Sup #2'!I142</f>
        <v>25.248624875168417</v>
      </c>
      <c r="J142" s="1">
        <f ca="1">'Total Distance Tables Sup #2'!J142</f>
        <v>26.061549719772344</v>
      </c>
      <c r="K142" s="1">
        <f ca="1">'Total Distance Tables Sup #2'!K142</f>
        <v>26.845083521451219</v>
      </c>
    </row>
    <row r="143" spans="1:11" x14ac:dyDescent="0.2">
      <c r="A143" t="str">
        <f ca="1">OFFSET(Canterbury_Reference,42,2)</f>
        <v>Local Train</v>
      </c>
      <c r="B143" s="4">
        <f ca="1">'Total Distance Tables Sup #2'!B143</f>
        <v>0</v>
      </c>
      <c r="C143" s="4">
        <f ca="1">'Total Distance Tables Sup #2'!C143</f>
        <v>0</v>
      </c>
      <c r="D143" s="4">
        <f ca="1">'Total Distance Tables Sup #2'!D143</f>
        <v>0</v>
      </c>
      <c r="E143" s="4">
        <f ca="1">'Total Distance Tables Sup #2'!E143</f>
        <v>0</v>
      </c>
      <c r="F143" s="4">
        <f ca="1">'Total Distance Tables Sup #2'!F143</f>
        <v>0</v>
      </c>
      <c r="G143" s="4">
        <f ca="1">'Total Distance Tables Sup #2'!G143</f>
        <v>0</v>
      </c>
      <c r="H143" s="4">
        <f ca="1">'Total Distance Tables Sup #2'!H143</f>
        <v>0</v>
      </c>
      <c r="I143" s="1">
        <f ca="1">'Total Distance Tables Sup #2'!I143</f>
        <v>0</v>
      </c>
      <c r="J143" s="1">
        <f ca="1">'Total Distance Tables Sup #2'!J143</f>
        <v>0</v>
      </c>
      <c r="K143" s="1">
        <f ca="1">'Total Distance Tables Sup #2'!K143</f>
        <v>0</v>
      </c>
    </row>
    <row r="144" spans="1:11" x14ac:dyDescent="0.2">
      <c r="A144" t="str">
        <f ca="1">OFFSET(Otago_Reference,42,2)</f>
        <v>Local Bus</v>
      </c>
      <c r="B144" s="4">
        <f ca="1">'Total Distance Tables Sup #2'!B144</f>
        <v>27.157477096000001</v>
      </c>
      <c r="C144" s="4">
        <f ca="1">'Total Distance Tables Sup #2'!C144</f>
        <v>27.753900757492215</v>
      </c>
      <c r="D144" s="4">
        <f ca="1">'Total Distance Tables Sup #2'!D144</f>
        <v>28.050936671330035</v>
      </c>
      <c r="E144" s="4">
        <f ca="1">'Total Distance Tables Sup #2'!E144</f>
        <v>28.217862016998353</v>
      </c>
      <c r="F144" s="4">
        <f ca="1">'Total Distance Tables Sup #2'!F144</f>
        <v>27.862725992989024</v>
      </c>
      <c r="G144" s="4">
        <f ca="1">'Total Distance Tables Sup #2'!G144</f>
        <v>27.749982995584222</v>
      </c>
      <c r="H144" s="4">
        <f ca="1">'Total Distance Tables Sup #2'!H144</f>
        <v>27.527392625893754</v>
      </c>
      <c r="I144" s="1">
        <f ca="1">'Total Distance Tables Sup #2'!I144</f>
        <v>28.36198222416359</v>
      </c>
      <c r="J144" s="1">
        <f ca="1">'Total Distance Tables Sup #2'!J144</f>
        <v>29.1288966473222</v>
      </c>
      <c r="K144" s="1">
        <f ca="1">'Total Distance Tables Sup #2'!K144</f>
        <v>29.852418239575073</v>
      </c>
    </row>
    <row r="145" spans="1:11" x14ac:dyDescent="0.2">
      <c r="A145" t="str">
        <f ca="1">OFFSET(Wellington_Reference,56,2)</f>
        <v>Local Ferry</v>
      </c>
      <c r="B145" s="4">
        <f>'Total Distance Tables Sup #2'!B145</f>
        <v>0</v>
      </c>
      <c r="C145" s="4">
        <f ca="1">'Total Distance Tables Sup #2'!C145</f>
        <v>0</v>
      </c>
      <c r="D145" s="4">
        <f ca="1">'Total Distance Tables Sup #2'!D145</f>
        <v>0</v>
      </c>
      <c r="E145" s="4">
        <f ca="1">'Total Distance Tables Sup #2'!E145</f>
        <v>0</v>
      </c>
      <c r="F145" s="4">
        <f ca="1">'Total Distance Tables Sup #2'!F145</f>
        <v>0</v>
      </c>
      <c r="G145" s="4">
        <f ca="1">'Total Distance Tables Sup #2'!G145</f>
        <v>0</v>
      </c>
      <c r="H145" s="4">
        <f ca="1">'Total Distance Tables Sup #2'!H145</f>
        <v>0</v>
      </c>
      <c r="I145" s="1">
        <f ca="1">'Total Distance Tables Sup #2'!I145</f>
        <v>0</v>
      </c>
      <c r="J145" s="1">
        <f ca="1">'Total Distance Tables Sup #2'!J145</f>
        <v>0</v>
      </c>
      <c r="K145" s="1">
        <f ca="1">'Total Distance Tables Sup #2'!K145</f>
        <v>0</v>
      </c>
    </row>
    <row r="146" spans="1:11" x14ac:dyDescent="0.2">
      <c r="A146" t="str">
        <f ca="1">OFFSET(Otago_Reference,49,2)</f>
        <v>Other Household Travel</v>
      </c>
      <c r="B146" s="4">
        <f ca="1">'Total Distance Tables Sup #2'!B146</f>
        <v>0</v>
      </c>
      <c r="C146" s="4">
        <f ca="1">'Total Distance Tables Sup #2'!C146</f>
        <v>0</v>
      </c>
      <c r="D146" s="4">
        <f ca="1">'Total Distance Tables Sup #2'!D146</f>
        <v>0</v>
      </c>
      <c r="E146" s="4">
        <f ca="1">'Total Distance Tables Sup #2'!E146</f>
        <v>0</v>
      </c>
      <c r="F146" s="4">
        <f ca="1">'Total Distance Tables Sup #2'!F146</f>
        <v>0</v>
      </c>
      <c r="G146" s="4">
        <f ca="1">'Total Distance Tables Sup #2'!G146</f>
        <v>0</v>
      </c>
      <c r="H146" s="4">
        <f ca="1">'Total Distance Tables Sup #2'!H146</f>
        <v>0</v>
      </c>
      <c r="I146" s="1">
        <f ca="1">'Total Distance Tables Sup #2'!I146</f>
        <v>0</v>
      </c>
      <c r="J146" s="1">
        <f ca="1">'Total Distance Tables Sup #2'!J146</f>
        <v>0</v>
      </c>
      <c r="K146" s="1">
        <f ca="1">'Total Distance Tables Sup #2'!K146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'Total Distance Tables Sup #2'!B148</f>
        <v>8.8466785109000003</v>
      </c>
      <c r="C148" s="4">
        <f ca="1">'Total Distance Tables Sup #2'!C148</f>
        <v>8.9798046836300003</v>
      </c>
      <c r="D148" s="4">
        <f ca="1">'Total Distance Tables Sup #2'!D148</f>
        <v>9.2256136248153151</v>
      </c>
      <c r="E148" s="4">
        <f ca="1">'Total Distance Tables Sup #2'!E148</f>
        <v>9.3746039328957593</v>
      </c>
      <c r="F148" s="4">
        <f ca="1">'Total Distance Tables Sup #2'!F148</f>
        <v>9.4292420780580066</v>
      </c>
      <c r="G148" s="4">
        <f ca="1">'Total Distance Tables Sup #2'!G148</f>
        <v>9.4506657934623242</v>
      </c>
      <c r="H148" s="4">
        <f ca="1">'Total Distance Tables Sup #2'!H148</f>
        <v>9.4314088774852074</v>
      </c>
      <c r="I148" s="1">
        <f ca="1">'Total Distance Tables Sup #2'!I148</f>
        <v>9.2901799227321842</v>
      </c>
      <c r="J148" s="1">
        <f ca="1">'Total Distance Tables Sup #2'!J148</f>
        <v>9.1221181208133988</v>
      </c>
      <c r="K148" s="1">
        <f ca="1">'Total Distance Tables Sup #2'!K148</f>
        <v>8.9380249732990933</v>
      </c>
    </row>
    <row r="149" spans="1:11" x14ac:dyDescent="0.2">
      <c r="A149" t="str">
        <f ca="1">OFFSET(Southland_Reference,7,2)</f>
        <v>Cyclist</v>
      </c>
      <c r="B149" s="4">
        <f ca="1">'Total Distance Tables Sup #2'!B149</f>
        <v>7.5402861329000004</v>
      </c>
      <c r="C149" s="4">
        <f ca="1">'Total Distance Tables Sup #2'!C149</f>
        <v>7.932467450144693</v>
      </c>
      <c r="D149" s="4">
        <f ca="1">'Total Distance Tables Sup #2'!D149</f>
        <v>9.5498960299223796</v>
      </c>
      <c r="E149" s="4">
        <f ca="1">'Total Distance Tables Sup #2'!E149</f>
        <v>10.998136709212547</v>
      </c>
      <c r="F149" s="4">
        <f ca="1">'Total Distance Tables Sup #2'!F149</f>
        <v>12.567302292565678</v>
      </c>
      <c r="G149" s="4">
        <f ca="1">'Total Distance Tables Sup #2'!G149</f>
        <v>14.32281950140853</v>
      </c>
      <c r="H149" s="4">
        <f ca="1">'Total Distance Tables Sup #2'!H149</f>
        <v>16.109318775077043</v>
      </c>
      <c r="I149" s="1">
        <f ca="1">'Total Distance Tables Sup #2'!I149</f>
        <v>15.87785848385481</v>
      </c>
      <c r="J149" s="1">
        <f ca="1">'Total Distance Tables Sup #2'!J149</f>
        <v>15.600117008428731</v>
      </c>
      <c r="K149" s="1">
        <f ca="1">'Total Distance Tables Sup #2'!K149</f>
        <v>15.294510389231084</v>
      </c>
    </row>
    <row r="150" spans="1:11" x14ac:dyDescent="0.2">
      <c r="A150" t="str">
        <f ca="1">OFFSET(Southland_Reference,14,2)</f>
        <v>Light Vehicle Driver</v>
      </c>
      <c r="B150" s="4">
        <f ca="1">'Total Distance Tables Sup #2'!B150</f>
        <v>657.74873722999996</v>
      </c>
      <c r="C150" s="4">
        <f ca="1">'Total Distance Tables Sup #2'!C150*(1-'Other Assumptions'!G19)</f>
        <v>691.3657206466213</v>
      </c>
      <c r="D150" s="4">
        <f ca="1">'Total Distance Tables Sup #2'!D150*(1-'Other Assumptions'!H19)</f>
        <v>698.60538290264969</v>
      </c>
      <c r="E150" s="4">
        <f ca="1">'Total Distance Tables Sup #2'!E150*(1-'Other Assumptions'!I19)</f>
        <v>635.71836970230959</v>
      </c>
      <c r="F150" s="4">
        <f ca="1">'Total Distance Tables Sup #2'!F150*(1-'Other Assumptions'!J19)</f>
        <v>568.29003036071879</v>
      </c>
      <c r="G150" s="4">
        <f ca="1">'Total Distance Tables Sup #2'!G150*(1-'Other Assumptions'!K19)</f>
        <v>494.31326804621477</v>
      </c>
      <c r="H150" s="4">
        <f ca="1">'Total Distance Tables Sup #2'!H150*(1-'Other Assumptions'!L19)</f>
        <v>419.24995600098708</v>
      </c>
      <c r="I150" s="1">
        <f ca="1">'Total Distance Tables Sup #2'!I150*(1-'Other Assumptions'!M19)</f>
        <v>344.89873577332975</v>
      </c>
      <c r="J150" s="1">
        <f ca="1">'Total Distance Tables Sup #2'!J150*(1-'Other Assumptions'!N19)</f>
        <v>271.51830086954095</v>
      </c>
      <c r="K150" s="1">
        <f ca="1">'Total Distance Tables Sup #2'!K150*(1-'Other Assumptions'!O19)</f>
        <v>199.9612050867344</v>
      </c>
    </row>
    <row r="151" spans="1:11" x14ac:dyDescent="0.2">
      <c r="A151" t="str">
        <f ca="1">OFFSET(Southland_Reference,21,2)</f>
        <v>Light Vehicle Passenger</v>
      </c>
      <c r="B151" s="4">
        <f ca="1">'Total Distance Tables Sup #2'!B151</f>
        <v>380.70733008000002</v>
      </c>
      <c r="C151" s="4">
        <f ca="1">'Total Distance Tables Sup #2'!C151*(1-'Other Assumptions'!G19)</f>
        <v>385.39927729286433</v>
      </c>
      <c r="D151" s="4">
        <f ca="1">'Total Distance Tables Sup #2'!D151*(1-'Other Assumptions'!H19)</f>
        <v>381.29426779437296</v>
      </c>
      <c r="E151" s="4">
        <f ca="1">'Total Distance Tables Sup #2'!E151*(1-'Other Assumptions'!I19)</f>
        <v>339.94479050011523</v>
      </c>
      <c r="F151" s="4">
        <f ca="1">'Total Distance Tables Sup #2'!F151*(1-'Other Assumptions'!J19)</f>
        <v>297.3101575972791</v>
      </c>
      <c r="G151" s="4">
        <f ca="1">'Total Distance Tables Sup #2'!G151*(1-'Other Assumptions'!K19)</f>
        <v>254.14718386044913</v>
      </c>
      <c r="H151" s="4">
        <f ca="1">'Total Distance Tables Sup #2'!H151*(1-'Other Assumptions'!L19)</f>
        <v>211.79418524077599</v>
      </c>
      <c r="I151" s="1">
        <f ca="1">'Total Distance Tables Sup #2'!I151*(1-'Other Assumptions'!M19)</f>
        <v>174.32067042312784</v>
      </c>
      <c r="J151" s="1">
        <f ca="1">'Total Distance Tables Sup #2'!J151*(1-'Other Assumptions'!N19)</f>
        <v>137.30085909555552</v>
      </c>
      <c r="K151" s="1">
        <f ca="1">'Total Distance Tables Sup #2'!K151*(1-'Other Assumptions'!O19)</f>
        <v>101.16661056897313</v>
      </c>
    </row>
    <row r="152" spans="1:11" x14ac:dyDescent="0.2">
      <c r="A152" t="str">
        <f ca="1">OFFSET(Southland_Reference,28,2)</f>
        <v>Taxi/Vehicle Share</v>
      </c>
      <c r="B152" s="4">
        <f ca="1">'Total Distance Tables Sup #2'!B152</f>
        <v>1.2430116738999999</v>
      </c>
      <c r="C152" s="4">
        <f ca="1">'Total Distance Tables Sup #2'!C152+((C150+C151)*'Other Assumptions'!G19/(1-'Other Assumptions'!G19))</f>
        <v>1.3615054818282841</v>
      </c>
      <c r="D152" s="4">
        <f ca="1">'Total Distance Tables Sup #2'!D152+((D150+D151)*'Other Assumptions'!H19/(1-'Other Assumptions'!H19))</f>
        <v>1.4444298252702474</v>
      </c>
      <c r="E152" s="4">
        <f ca="1">'Total Distance Tables Sup #2'!E152+((E150+E151)*'Other Assumptions'!I19/(1-'Other Assumptions'!I19))</f>
        <v>109.9244611382949</v>
      </c>
      <c r="F152" s="4">
        <f ca="1">'Total Distance Tables Sup #2'!F152+((F150+F151)*'Other Assumptions'!J19/(1-'Other Assumptions'!J19))</f>
        <v>217.96903405515826</v>
      </c>
      <c r="G152" s="4">
        <f ca="1">'Total Distance Tables Sup #2'!G152+((G150+G151)*'Other Assumptions'!K19/(1-'Other Assumptions'!K19))</f>
        <v>322.35935655692367</v>
      </c>
      <c r="H152" s="4">
        <f ca="1">'Total Distance Tables Sup #2'!H152+((H150+H151)*'Other Assumptions'!L19/(1-'Other Assumptions'!L19))</f>
        <v>422.29981281449636</v>
      </c>
      <c r="I152" s="1">
        <f ca="1">'Total Distance Tables Sup #2'!I152+((I150+I151)*'Other Assumptions'!M19/(1-'Other Assumptions'!M19))</f>
        <v>520.79705062494099</v>
      </c>
      <c r="J152" s="1">
        <f ca="1">'Total Distance Tables Sup #2'!J152+((J150+J151)*'Other Assumptions'!N19/(1-'Other Assumptions'!N19))</f>
        <v>614.77580107628114</v>
      </c>
      <c r="K152" s="1">
        <f ca="1">'Total Distance Tables Sup #2'!K152+((K150+K151)*'Other Assumptions'!O19/(1-'Other Assumptions'!O19))</f>
        <v>704.14538942958131</v>
      </c>
    </row>
    <row r="153" spans="1:11" x14ac:dyDescent="0.2">
      <c r="A153" t="str">
        <f ca="1">OFFSET(Southland_Reference,35,2)</f>
        <v>Motorcyclist</v>
      </c>
      <c r="B153" s="4">
        <f ca="1">'Total Distance Tables Sup #2'!B153</f>
        <v>18.926640866</v>
      </c>
      <c r="C153" s="4">
        <f ca="1">'Total Distance Tables Sup #2'!C153</f>
        <v>19.91649742129086</v>
      </c>
      <c r="D153" s="4">
        <f ca="1">'Total Distance Tables Sup #2'!D153</f>
        <v>20.085733357089381</v>
      </c>
      <c r="E153" s="4">
        <f ca="1">'Total Distance Tables Sup #2'!E153</f>
        <v>19.95406717451095</v>
      </c>
      <c r="F153" s="4">
        <f ca="1">'Total Distance Tables Sup #2'!F153</f>
        <v>19.623356646971022</v>
      </c>
      <c r="G153" s="4">
        <f ca="1">'Total Distance Tables Sup #2'!G153</f>
        <v>18.943151534353721</v>
      </c>
      <c r="H153" s="4">
        <f ca="1">'Total Distance Tables Sup #2'!H153</f>
        <v>18.192180992011334</v>
      </c>
      <c r="I153" s="1">
        <f ca="1">'Total Distance Tables Sup #2'!I153</f>
        <v>18.062756434779075</v>
      </c>
      <c r="J153" s="1">
        <f ca="1">'Total Distance Tables Sup #2'!J153</f>
        <v>17.877917157179567</v>
      </c>
      <c r="K153" s="1">
        <f ca="1">'Total Distance Tables Sup #2'!K153</f>
        <v>17.657633018410309</v>
      </c>
    </row>
    <row r="154" spans="1:11" x14ac:dyDescent="0.2">
      <c r="A154" t="str">
        <f ca="1">OFFSET(Canterbury_Reference,42,2)</f>
        <v>Local Train</v>
      </c>
      <c r="B154" s="4">
        <f ca="1">'Total Distance Tables Sup #2'!B154</f>
        <v>0</v>
      </c>
      <c r="C154" s="4">
        <f ca="1">'Total Distance Tables Sup #2'!C154</f>
        <v>0</v>
      </c>
      <c r="D154" s="4">
        <f ca="1">'Total Distance Tables Sup #2'!D154</f>
        <v>0</v>
      </c>
      <c r="E154" s="4">
        <f ca="1">'Total Distance Tables Sup #2'!E154</f>
        <v>0</v>
      </c>
      <c r="F154" s="4">
        <f ca="1">'Total Distance Tables Sup #2'!F154</f>
        <v>0</v>
      </c>
      <c r="G154" s="4">
        <f ca="1">'Total Distance Tables Sup #2'!G154</f>
        <v>0</v>
      </c>
      <c r="H154" s="4">
        <f ca="1">'Total Distance Tables Sup #2'!H154</f>
        <v>0</v>
      </c>
      <c r="I154" s="1">
        <f ca="1">'Total Distance Tables Sup #2'!I154</f>
        <v>0</v>
      </c>
      <c r="J154" s="1">
        <f ca="1">'Total Distance Tables Sup #2'!J154</f>
        <v>0</v>
      </c>
      <c r="K154" s="1">
        <f ca="1">'Total Distance Tables Sup #2'!K154</f>
        <v>0</v>
      </c>
    </row>
    <row r="155" spans="1:11" x14ac:dyDescent="0.2">
      <c r="A155" t="str">
        <f ca="1">OFFSET(Southland_Reference,42,2)</f>
        <v>Local Bus</v>
      </c>
      <c r="B155" s="4">
        <f ca="1">'Total Distance Tables Sup #2'!B155</f>
        <v>30.182609224</v>
      </c>
      <c r="C155" s="4">
        <f ca="1">'Total Distance Tables Sup #2'!C155</f>
        <v>28.455829338114345</v>
      </c>
      <c r="D155" s="4">
        <f ca="1">'Total Distance Tables Sup #2'!D155</f>
        <v>27.025004329044116</v>
      </c>
      <c r="E155" s="4">
        <f ca="1">'Total Distance Tables Sup #2'!E155</f>
        <v>25.984666073803744</v>
      </c>
      <c r="F155" s="4">
        <f ca="1">'Total Distance Tables Sup #2'!F155</f>
        <v>24.569376654564511</v>
      </c>
      <c r="G155" s="4">
        <f ca="1">'Total Distance Tables Sup #2'!G155</f>
        <v>23.456530643287209</v>
      </c>
      <c r="H155" s="4">
        <f ca="1">'Total Distance Tables Sup #2'!H155</f>
        <v>22.313530073349639</v>
      </c>
      <c r="I155" s="1">
        <f ca="1">'Total Distance Tables Sup #2'!I155</f>
        <v>22.045869554762486</v>
      </c>
      <c r="J155" s="1">
        <f ca="1">'Total Distance Tables Sup #2'!J155</f>
        <v>21.711262350552609</v>
      </c>
      <c r="K155" s="1">
        <f ca="1">'Total Distance Tables Sup #2'!K155</f>
        <v>21.334948639202143</v>
      </c>
    </row>
    <row r="156" spans="1:11" x14ac:dyDescent="0.2">
      <c r="A156" t="str">
        <f ca="1">OFFSET(Wellington_Reference,56,2)</f>
        <v>Local Ferry</v>
      </c>
      <c r="B156" s="4">
        <f>'Total Distance Tables Sup #2'!B156</f>
        <v>0</v>
      </c>
      <c r="C156" s="4">
        <f ca="1">'Total Distance Tables Sup #2'!C156</f>
        <v>0</v>
      </c>
      <c r="D156" s="4">
        <f ca="1">'Total Distance Tables Sup #2'!D156</f>
        <v>0</v>
      </c>
      <c r="E156" s="4">
        <f ca="1">'Total Distance Tables Sup #2'!E156</f>
        <v>0</v>
      </c>
      <c r="F156" s="4">
        <f ca="1">'Total Distance Tables Sup #2'!F156</f>
        <v>0</v>
      </c>
      <c r="G156" s="4">
        <f ca="1">'Total Distance Tables Sup #2'!G156</f>
        <v>0</v>
      </c>
      <c r="H156" s="4">
        <f ca="1">'Total Distance Tables Sup #2'!H156</f>
        <v>0</v>
      </c>
      <c r="I156" s="1">
        <f ca="1">'Total Distance Tables Sup #2'!I156</f>
        <v>0</v>
      </c>
      <c r="J156" s="1">
        <f ca="1">'Total Distance Tables Sup #2'!J156</f>
        <v>0</v>
      </c>
      <c r="K156" s="1">
        <f ca="1">'Total Distance Tables Sup #2'!K156</f>
        <v>0</v>
      </c>
    </row>
    <row r="157" spans="1:11" x14ac:dyDescent="0.2">
      <c r="A157" t="str">
        <f ca="1">OFFSET(Southland_Reference,49,2)</f>
        <v>Other Household Travel</v>
      </c>
      <c r="B157" s="4">
        <f ca="1">'Total Distance Tables Sup #2'!B157</f>
        <v>0</v>
      </c>
      <c r="C157" s="4">
        <f ca="1">'Total Distance Tables Sup #2'!C157</f>
        <v>0</v>
      </c>
      <c r="D157" s="4">
        <f ca="1">'Total Distance Tables Sup #2'!D157</f>
        <v>0</v>
      </c>
      <c r="E157" s="4">
        <f ca="1">'Total Distance Tables Sup #2'!E157</f>
        <v>0</v>
      </c>
      <c r="F157" s="4">
        <f ca="1">'Total Distance Tables Sup #2'!F157</f>
        <v>0</v>
      </c>
      <c r="G157" s="4">
        <f ca="1">'Total Distance Tables Sup #2'!G157</f>
        <v>0</v>
      </c>
      <c r="H157" s="4">
        <f ca="1">'Total Distance Tables Sup #2'!H157</f>
        <v>0</v>
      </c>
      <c r="I157" s="1">
        <f ca="1">'Total Distance Tables Sup #2'!I157</f>
        <v>0</v>
      </c>
      <c r="J157" s="1">
        <f ca="1">'Total Distance Tables Sup #2'!J157</f>
        <v>0</v>
      </c>
      <c r="K157" s="1">
        <f ca="1">'Total Distance Tables Sup #2'!K157</f>
        <v>0</v>
      </c>
    </row>
    <row r="158" spans="1:11" x14ac:dyDescent="0.2">
      <c r="A158" t="s">
        <v>103</v>
      </c>
      <c r="B158" s="1">
        <f ca="1">SUM(B159:B168)</f>
        <v>50519.628342710188</v>
      </c>
      <c r="C158" s="1">
        <f t="shared" ref="C158:H158" ca="1" si="0">SUM(C159:C168)</f>
        <v>55456.80468239879</v>
      </c>
      <c r="D158" s="1">
        <f t="shared" ca="1" si="0"/>
        <v>58598.104826081086</v>
      </c>
      <c r="E158" s="1">
        <f t="shared" ca="1" si="0"/>
        <v>61262.903127502905</v>
      </c>
      <c r="F158" s="1">
        <f t="shared" ca="1" si="0"/>
        <v>63465.037348807862</v>
      </c>
      <c r="G158" s="1">
        <f t="shared" ca="1" si="0"/>
        <v>65080.823766641784</v>
      </c>
      <c r="H158" s="1">
        <f t="shared" ca="1" si="0"/>
        <v>66396.49033879998</v>
      </c>
      <c r="I158" s="1">
        <f t="shared" ref="I158:K158" ca="1" si="1">SUM(I159:I168)</f>
        <v>67978.14566734586</v>
      </c>
      <c r="J158" s="1">
        <f t="shared" ca="1" si="1"/>
        <v>69400.506786888465</v>
      </c>
      <c r="K158" s="1">
        <f t="shared" ca="1" si="1"/>
        <v>70726.448860329052</v>
      </c>
    </row>
    <row r="159" spans="1:11" x14ac:dyDescent="0.2">
      <c r="A159" t="str">
        <f t="shared" ref="A159:A165" ca="1" si="2">A5</f>
        <v>Pedestrian</v>
      </c>
      <c r="B159" s="4">
        <f t="shared" ref="B159:H168" ca="1" si="3">B5+B16+B27+B38+B49+B60+B71+B82+B93+B104+B115+B126+B137+B148</f>
        <v>807.42091028530001</v>
      </c>
      <c r="C159" s="4">
        <f t="shared" ca="1" si="3"/>
        <v>870.4543002958992</v>
      </c>
      <c r="D159" s="4">
        <f t="shared" ca="1" si="3"/>
        <v>933.50645564673243</v>
      </c>
      <c r="E159" s="4">
        <f t="shared" ca="1" si="3"/>
        <v>980.66626361997487</v>
      </c>
      <c r="F159" s="4">
        <f t="shared" ca="1" si="3"/>
        <v>1021.8478651467211</v>
      </c>
      <c r="G159" s="4">
        <f t="shared" ca="1" si="3"/>
        <v>1060.5152830457132</v>
      </c>
      <c r="H159" s="4">
        <f t="shared" ca="1" si="3"/>
        <v>1095.3294668275148</v>
      </c>
      <c r="I159" s="1">
        <f t="shared" ref="I159:K159" ca="1" si="4">I5+I16+I27+I38+I49+I60+I71+I82+I93+I104+I115+I126+I137+I148</f>
        <v>1117.3935578435719</v>
      </c>
      <c r="J159" s="1">
        <f t="shared" ca="1" si="4"/>
        <v>1136.3396298861219</v>
      </c>
      <c r="K159" s="1">
        <f t="shared" ca="1" si="4"/>
        <v>1153.0287554341753</v>
      </c>
    </row>
    <row r="160" spans="1:11" x14ac:dyDescent="0.2">
      <c r="A160" t="str">
        <f t="shared" ca="1" si="2"/>
        <v>Cyclist</v>
      </c>
      <c r="B160" s="4">
        <f t="shared" ca="1" si="3"/>
        <v>312.57850166600002</v>
      </c>
      <c r="C160" s="4">
        <f t="shared" ca="1" si="3"/>
        <v>349.37790899333493</v>
      </c>
      <c r="D160" s="4">
        <f t="shared" ca="1" si="3"/>
        <v>442.57304933649789</v>
      </c>
      <c r="E160" s="4">
        <f t="shared" ca="1" si="3"/>
        <v>530.45831022793618</v>
      </c>
      <c r="F160" s="4">
        <f t="shared" ca="1" si="3"/>
        <v>629.81684160495877</v>
      </c>
      <c r="G160" s="4">
        <f t="shared" ca="1" si="3"/>
        <v>745.40652910866936</v>
      </c>
      <c r="H160" s="4">
        <f t="shared" ca="1" si="3"/>
        <v>870.22173009734274</v>
      </c>
      <c r="I160" s="1">
        <f t="shared" ref="I160:K160" ca="1" si="5">I6+I17+I28+I39+I50+I61+I72+I83+I94+I105+I116+I127+I138+I149</f>
        <v>890.57220871591301</v>
      </c>
      <c r="J160" s="1">
        <f t="shared" ca="1" si="5"/>
        <v>908.79213181123919</v>
      </c>
      <c r="K160" s="1">
        <f t="shared" ca="1" si="5"/>
        <v>925.68964113351785</v>
      </c>
    </row>
    <row r="161" spans="1:11" x14ac:dyDescent="0.2">
      <c r="A161" t="str">
        <f t="shared" ca="1" si="2"/>
        <v>Light Vehicle Driver</v>
      </c>
      <c r="B161" s="4">
        <f t="shared" ca="1" si="3"/>
        <v>30373.708042980001</v>
      </c>
      <c r="C161" s="4">
        <f t="shared" ca="1" si="3"/>
        <v>33769.390281043525</v>
      </c>
      <c r="D161" s="4">
        <f t="shared" ca="1" si="3"/>
        <v>35674.759537975624</v>
      </c>
      <c r="E161" s="4">
        <f t="shared" ca="1" si="3"/>
        <v>33606.519365973792</v>
      </c>
      <c r="F161" s="4">
        <f t="shared" ca="1" si="3"/>
        <v>31113.149614196311</v>
      </c>
      <c r="G161" s="4">
        <f t="shared" ca="1" si="3"/>
        <v>28009.708942737649</v>
      </c>
      <c r="H161" s="4">
        <f t="shared" ca="1" si="3"/>
        <v>24575.002433335067</v>
      </c>
      <c r="I161" s="1">
        <f t="shared" ref="I161:K161" ca="1" si="6">I7+I18+I29+I40+I51+I62+I73+I84+I95+I106+I117+I128+I139+I150</f>
        <v>20924.327655618879</v>
      </c>
      <c r="J161" s="1">
        <f t="shared" ca="1" si="6"/>
        <v>17052.323254220162</v>
      </c>
      <c r="K161" s="1">
        <f t="shared" ca="1" si="6"/>
        <v>13001.925277123322</v>
      </c>
    </row>
    <row r="162" spans="1:11" x14ac:dyDescent="0.2">
      <c r="A162" t="str">
        <f t="shared" ca="1" si="2"/>
        <v>Light Vehicle Passenger</v>
      </c>
      <c r="B162" s="4">
        <f t="shared" ca="1" si="3"/>
        <v>17104.323927279998</v>
      </c>
      <c r="C162" s="4">
        <f t="shared" ca="1" si="3"/>
        <v>18282.88708318221</v>
      </c>
      <c r="D162" s="4">
        <f t="shared" ca="1" si="3"/>
        <v>18825.58649208253</v>
      </c>
      <c r="E162" s="4">
        <f t="shared" ca="1" si="3"/>
        <v>17299.913441537479</v>
      </c>
      <c r="F162" s="4">
        <f t="shared" ca="1" si="3"/>
        <v>15627.256413513023</v>
      </c>
      <c r="G162" s="4">
        <f t="shared" ca="1" si="3"/>
        <v>13787.190332683282</v>
      </c>
      <c r="H162" s="4">
        <f t="shared" ca="1" si="3"/>
        <v>11850.364438197455</v>
      </c>
      <c r="I162" s="1">
        <f t="shared" ref="I162:K162" ca="1" si="7">I8+I19+I30+I41+I52+I63+I74+I85+I96+I107+I118+I129+I140+I151</f>
        <v>10072.487091593386</v>
      </c>
      <c r="J162" s="1">
        <f t="shared" ca="1" si="7"/>
        <v>8193.2394213876123</v>
      </c>
      <c r="K162" s="1">
        <f t="shared" ca="1" si="7"/>
        <v>6234.0722277888326</v>
      </c>
    </row>
    <row r="163" spans="1:11" x14ac:dyDescent="0.2">
      <c r="A163" t="str">
        <f t="shared" ca="1" si="2"/>
        <v>Taxi/Vehicle Share</v>
      </c>
      <c r="B163" s="4">
        <f t="shared" ca="1" si="3"/>
        <v>102.6492410403</v>
      </c>
      <c r="C163" s="4">
        <f t="shared" ca="1" si="3"/>
        <v>119.59667537373835</v>
      </c>
      <c r="D163" s="4">
        <f t="shared" ca="1" si="3"/>
        <v>133.81546092219909</v>
      </c>
      <c r="E163" s="4">
        <f t="shared" ca="1" si="3"/>
        <v>5802.8547100078413</v>
      </c>
      <c r="F163" s="4">
        <f t="shared" ca="1" si="3"/>
        <v>11842.892285378917</v>
      </c>
      <c r="G163" s="4">
        <f t="shared" ca="1" si="3"/>
        <v>18079.390757529578</v>
      </c>
      <c r="H163" s="4">
        <f t="shared" ca="1" si="3"/>
        <v>24458.091487245951</v>
      </c>
      <c r="I163" s="1">
        <f t="shared" ref="I163:K163" ca="1" si="8">I9+I20+I31+I42+I53+I64+I75+I86+I97+I108+I119+I130+I141+I152</f>
        <v>31175.409388882501</v>
      </c>
      <c r="J163" s="1">
        <f t="shared" ca="1" si="8"/>
        <v>38050.592463952889</v>
      </c>
      <c r="K163" s="1">
        <f t="shared" ca="1" si="8"/>
        <v>45069.631241735413</v>
      </c>
    </row>
    <row r="164" spans="1:11" x14ac:dyDescent="0.2">
      <c r="A164" t="str">
        <f t="shared" ca="1" si="2"/>
        <v>Motorcyclist</v>
      </c>
      <c r="B164" s="4">
        <f t="shared" ca="1" si="3"/>
        <v>249.6655534436</v>
      </c>
      <c r="C164" s="4">
        <f t="shared" ca="1" si="3"/>
        <v>275.80356363616164</v>
      </c>
      <c r="D164" s="4">
        <f t="shared" ca="1" si="3"/>
        <v>289.95999580639972</v>
      </c>
      <c r="E164" s="4">
        <f t="shared" ca="1" si="3"/>
        <v>297.65402059249112</v>
      </c>
      <c r="F164" s="4">
        <f t="shared" ca="1" si="3"/>
        <v>302.01110749650701</v>
      </c>
      <c r="G164" s="4">
        <f t="shared" ca="1" si="3"/>
        <v>300.59160876553324</v>
      </c>
      <c r="H164" s="4">
        <f t="shared" ca="1" si="3"/>
        <v>297.45891414183973</v>
      </c>
      <c r="I164" s="1">
        <f t="shared" ref="I164:K164" ca="1" si="9">I10+I21+I32+I43+I54+I65+I76+I87+I98+I109+I120+I131+I142+I153</f>
        <v>304.41510825051773</v>
      </c>
      <c r="J164" s="1">
        <f t="shared" ca="1" si="9"/>
        <v>310.64303654998389</v>
      </c>
      <c r="K164" s="1">
        <f t="shared" ca="1" si="9"/>
        <v>316.41893779545654</v>
      </c>
    </row>
    <row r="165" spans="1:11" x14ac:dyDescent="0.2">
      <c r="A165" t="str">
        <f t="shared" ca="1" si="2"/>
        <v>Local Train</v>
      </c>
      <c r="B165" s="4">
        <f t="shared" ca="1" si="3"/>
        <v>456.51929399999995</v>
      </c>
      <c r="C165" s="4">
        <f t="shared" ca="1" si="3"/>
        <v>641.3829709561262</v>
      </c>
      <c r="D165" s="4">
        <f t="shared" ca="1" si="3"/>
        <v>988.93486422549199</v>
      </c>
      <c r="E165" s="4">
        <f t="shared" ca="1" si="3"/>
        <v>1302.3263519915392</v>
      </c>
      <c r="F165" s="4">
        <f t="shared" ca="1" si="3"/>
        <v>1441.0352517064678</v>
      </c>
      <c r="G165" s="4">
        <f t="shared" ca="1" si="3"/>
        <v>1572.3854190695856</v>
      </c>
      <c r="H165" s="4">
        <f t="shared" ca="1" si="3"/>
        <v>1694.5263938919784</v>
      </c>
      <c r="I165" s="1">
        <f t="shared" ref="I165:K165" ca="1" si="10">I11+I22+I33+I44+I55+I66+I77+I88+I99+I110+I121+I132+I143+I154</f>
        <v>1854.5033468565143</v>
      </c>
      <c r="J165" s="1">
        <f t="shared" ca="1" si="10"/>
        <v>2023.4850136774671</v>
      </c>
      <c r="K165" s="1">
        <f t="shared" ca="1" si="10"/>
        <v>2208.5803026042613</v>
      </c>
    </row>
    <row r="166" spans="1:11" x14ac:dyDescent="0.2">
      <c r="A166" t="s">
        <v>20</v>
      </c>
      <c r="B166" s="4">
        <f t="shared" ca="1" si="3"/>
        <v>1110.9386781444002</v>
      </c>
      <c r="C166" s="4">
        <f t="shared" ca="1" si="3"/>
        <v>1146.0871593629872</v>
      </c>
      <c r="D166" s="4">
        <f t="shared" ca="1" si="3"/>
        <v>1307.2165924637532</v>
      </c>
      <c r="E166" s="4">
        <f t="shared" ca="1" si="3"/>
        <v>1440.4911700913476</v>
      </c>
      <c r="F166" s="4">
        <f t="shared" ca="1" si="3"/>
        <v>1484.8692098142624</v>
      </c>
      <c r="G166" s="4">
        <f t="shared" ca="1" si="3"/>
        <v>1523.4869116328862</v>
      </c>
      <c r="H166" s="4">
        <f t="shared" ca="1" si="3"/>
        <v>1553.4065219880929</v>
      </c>
      <c r="I166" s="1">
        <f t="shared" ref="I166:K166" ca="1" si="11">I12+I23+I34+I45+I56+I67+I78+I89+I100+I111+I122+I133+I144+I155</f>
        <v>1636.8995055177097</v>
      </c>
      <c r="J166" s="1">
        <f t="shared" ca="1" si="11"/>
        <v>1722.9102947078072</v>
      </c>
      <c r="K166" s="1">
        <f t="shared" ca="1" si="11"/>
        <v>1814.88037382327</v>
      </c>
    </row>
    <row r="167" spans="1:11" x14ac:dyDescent="0.2">
      <c r="A167" t="str">
        <f ca="1">A13</f>
        <v>Local Ferry</v>
      </c>
      <c r="B167" s="4">
        <f t="shared" ca="1" si="3"/>
        <v>0</v>
      </c>
      <c r="C167" s="4">
        <f t="shared" ca="1" si="3"/>
        <v>0</v>
      </c>
      <c r="D167" s="4">
        <f t="shared" ca="1" si="3"/>
        <v>0</v>
      </c>
      <c r="E167" s="4">
        <f t="shared" ca="1" si="3"/>
        <v>0</v>
      </c>
      <c r="F167" s="4">
        <f t="shared" ca="1" si="3"/>
        <v>0</v>
      </c>
      <c r="G167" s="4">
        <f t="shared" ca="1" si="3"/>
        <v>0</v>
      </c>
      <c r="H167" s="4">
        <f t="shared" ca="1" si="3"/>
        <v>0</v>
      </c>
      <c r="I167" s="1">
        <f t="shared" ref="I167:K167" ca="1" si="12">I13+I24+I35+I46+I57+I68+I79+I90+I101+I112+I123+I134+I145+I156</f>
        <v>0</v>
      </c>
      <c r="J167" s="1">
        <f t="shared" ca="1" si="12"/>
        <v>0</v>
      </c>
      <c r="K167" s="1">
        <f t="shared" ca="1" si="12"/>
        <v>0</v>
      </c>
    </row>
    <row r="168" spans="1:11" x14ac:dyDescent="0.2">
      <c r="A168" t="str">
        <f ca="1">A14</f>
        <v>Other Household Travel</v>
      </c>
      <c r="B168" s="4">
        <f t="shared" ca="1" si="3"/>
        <v>1.8241938706</v>
      </c>
      <c r="C168" s="4">
        <f t="shared" ca="1" si="3"/>
        <v>1.8247395548120247</v>
      </c>
      <c r="D168" s="4">
        <f t="shared" ca="1" si="3"/>
        <v>1.7523776218586544</v>
      </c>
      <c r="E168" s="4">
        <f t="shared" ca="1" si="3"/>
        <v>2.0194934604915908</v>
      </c>
      <c r="F168" s="4">
        <f t="shared" ca="1" si="3"/>
        <v>2.1587599506921595</v>
      </c>
      <c r="G168" s="4">
        <f t="shared" ca="1" si="3"/>
        <v>2.147982068889811</v>
      </c>
      <c r="H168" s="4">
        <f t="shared" ca="1" si="3"/>
        <v>2.0889530747354486</v>
      </c>
      <c r="I168" s="1">
        <f t="shared" ref="I168:K168" ca="1" si="13">I14+I25+I36+I47+I58+I69+I80+I91+I102+I113+I124+I135+I146+I157</f>
        <v>2.1378040668588532</v>
      </c>
      <c r="J168" s="1">
        <f t="shared" ca="1" si="13"/>
        <v>2.1815406951859435</v>
      </c>
      <c r="K168" s="1">
        <f t="shared" ca="1" si="13"/>
        <v>2.2221028908118754</v>
      </c>
    </row>
    <row r="169" spans="1:11" x14ac:dyDescent="0.2">
      <c r="A169" t="s">
        <v>108</v>
      </c>
      <c r="I169" s="1"/>
      <c r="J169" s="1"/>
      <c r="K169" s="1"/>
    </row>
    <row r="170" spans="1:11" x14ac:dyDescent="0.2">
      <c r="A170" t="s">
        <v>103</v>
      </c>
      <c r="B170" s="1">
        <f ca="1">SUM(B171:B177)</f>
        <v>50519.628342710203</v>
      </c>
      <c r="C170" s="1">
        <f t="shared" ref="C170:H170" ca="1" si="14">SUM(C171:C177)</f>
        <v>55456.804682398797</v>
      </c>
      <c r="D170" s="1">
        <f t="shared" ca="1" si="14"/>
        <v>58598.104826081093</v>
      </c>
      <c r="E170" s="1">
        <f t="shared" ca="1" si="14"/>
        <v>61262.90312750289</v>
      </c>
      <c r="F170" s="1">
        <f t="shared" ca="1" si="14"/>
        <v>63465.037348807869</v>
      </c>
      <c r="G170" s="1">
        <f t="shared" ca="1" si="14"/>
        <v>65080.823766641799</v>
      </c>
      <c r="H170" s="1">
        <f t="shared" ca="1" si="14"/>
        <v>66396.49033879998</v>
      </c>
      <c r="I170" s="1">
        <f t="shared" ref="I170:K170" ca="1" si="15">SUM(I171:I177)</f>
        <v>67978.145667345845</v>
      </c>
      <c r="J170" s="1">
        <f t="shared" ca="1" si="15"/>
        <v>69400.506786888451</v>
      </c>
      <c r="K170" s="1">
        <f t="shared" ca="1" si="15"/>
        <v>70726.448860329067</v>
      </c>
    </row>
    <row r="171" spans="1:11" x14ac:dyDescent="0.2">
      <c r="A171" t="s">
        <v>62</v>
      </c>
      <c r="B171" s="1">
        <f ca="1">B159</f>
        <v>807.42091028530001</v>
      </c>
      <c r="C171" s="1">
        <f t="shared" ref="C171:H172" ca="1" si="16">C159</f>
        <v>870.4543002958992</v>
      </c>
      <c r="D171" s="1">
        <f t="shared" ca="1" si="16"/>
        <v>933.50645564673243</v>
      </c>
      <c r="E171" s="1">
        <f t="shared" ca="1" si="16"/>
        <v>980.66626361997487</v>
      </c>
      <c r="F171" s="1">
        <f t="shared" ca="1" si="16"/>
        <v>1021.8478651467211</v>
      </c>
      <c r="G171" s="1">
        <f t="shared" ca="1" si="16"/>
        <v>1060.5152830457132</v>
      </c>
      <c r="H171" s="1">
        <f t="shared" ca="1" si="16"/>
        <v>1095.3294668275148</v>
      </c>
      <c r="I171" s="1">
        <f t="shared" ref="I171:K171" ca="1" si="17">I159</f>
        <v>1117.3935578435719</v>
      </c>
      <c r="J171" s="1">
        <f t="shared" ca="1" si="17"/>
        <v>1136.3396298861219</v>
      </c>
      <c r="K171" s="1">
        <f t="shared" ca="1" si="17"/>
        <v>1153.0287554341753</v>
      </c>
    </row>
    <row r="172" spans="1:11" x14ac:dyDescent="0.2">
      <c r="A172" t="s">
        <v>63</v>
      </c>
      <c r="B172" s="1">
        <f ca="1">B160</f>
        <v>312.57850166600002</v>
      </c>
      <c r="C172" s="1">
        <f t="shared" ca="1" si="16"/>
        <v>349.37790899333493</v>
      </c>
      <c r="D172" s="1">
        <f t="shared" ca="1" si="16"/>
        <v>442.57304933649789</v>
      </c>
      <c r="E172" s="1">
        <f t="shared" ca="1" si="16"/>
        <v>530.45831022793618</v>
      </c>
      <c r="F172" s="1">
        <f t="shared" ca="1" si="16"/>
        <v>629.81684160495877</v>
      </c>
      <c r="G172" s="1">
        <f t="shared" ca="1" si="16"/>
        <v>745.40652910866936</v>
      </c>
      <c r="H172" s="1">
        <f t="shared" ca="1" si="16"/>
        <v>870.22173009734274</v>
      </c>
      <c r="I172" s="1">
        <f t="shared" ref="I172:K172" ca="1" si="18">I160</f>
        <v>890.57220871591301</v>
      </c>
      <c r="J172" s="1">
        <f t="shared" ca="1" si="18"/>
        <v>908.79213181123919</v>
      </c>
      <c r="K172" s="1">
        <f t="shared" ca="1" si="18"/>
        <v>925.68964113351785</v>
      </c>
    </row>
    <row r="173" spans="1:11" x14ac:dyDescent="0.2">
      <c r="A173" t="s">
        <v>104</v>
      </c>
      <c r="B173" s="1">
        <f ca="1">B165</f>
        <v>456.51929399999995</v>
      </c>
      <c r="C173" s="1">
        <f t="shared" ref="C173:H174" ca="1" si="19">C165</f>
        <v>641.3829709561262</v>
      </c>
      <c r="D173" s="1">
        <f t="shared" ca="1" si="19"/>
        <v>988.93486422549199</v>
      </c>
      <c r="E173" s="1">
        <f t="shared" ca="1" si="19"/>
        <v>1302.3263519915392</v>
      </c>
      <c r="F173" s="1">
        <f t="shared" ca="1" si="19"/>
        <v>1441.0352517064678</v>
      </c>
      <c r="G173" s="1">
        <f t="shared" ca="1" si="19"/>
        <v>1572.3854190695856</v>
      </c>
      <c r="H173" s="1">
        <f t="shared" ca="1" si="19"/>
        <v>1694.5263938919784</v>
      </c>
      <c r="I173" s="1">
        <f t="shared" ref="I173:K173" ca="1" si="20">I165</f>
        <v>1854.5033468565143</v>
      </c>
      <c r="J173" s="1">
        <f t="shared" ca="1" si="20"/>
        <v>2023.4850136774671</v>
      </c>
      <c r="K173" s="1">
        <f t="shared" ca="1" si="20"/>
        <v>2208.5803026042613</v>
      </c>
    </row>
    <row r="174" spans="1:11" x14ac:dyDescent="0.2">
      <c r="A174" t="s">
        <v>20</v>
      </c>
      <c r="B174" s="1">
        <f ca="1">B166</f>
        <v>1110.9386781444002</v>
      </c>
      <c r="C174" s="1">
        <f t="shared" ca="1" si="19"/>
        <v>1146.0871593629872</v>
      </c>
      <c r="D174" s="1">
        <f t="shared" ca="1" si="19"/>
        <v>1307.2165924637532</v>
      </c>
      <c r="E174" s="1">
        <f t="shared" ca="1" si="19"/>
        <v>1440.4911700913476</v>
      </c>
      <c r="F174" s="1">
        <f t="shared" ca="1" si="19"/>
        <v>1484.8692098142624</v>
      </c>
      <c r="G174" s="1">
        <f t="shared" ca="1" si="19"/>
        <v>1523.4869116328862</v>
      </c>
      <c r="H174" s="1">
        <f t="shared" ca="1" si="19"/>
        <v>1553.4065219880929</v>
      </c>
      <c r="I174" s="1">
        <f t="shared" ref="I174:K174" ca="1" si="21">I166</f>
        <v>1636.8995055177097</v>
      </c>
      <c r="J174" s="1">
        <f t="shared" ca="1" si="21"/>
        <v>1722.9102947078072</v>
      </c>
      <c r="K174" s="1">
        <f t="shared" ca="1" si="21"/>
        <v>1814.88037382327</v>
      </c>
    </row>
    <row r="175" spans="1:11" x14ac:dyDescent="0.2">
      <c r="A175" t="s">
        <v>105</v>
      </c>
      <c r="B175" s="1">
        <f ca="1">'Total Distance Tables Sup #2'!B9+'Total Distance Tables Sup #2'!B20+'Total Distance Tables Sup #2'!B31+'Total Distance Tables Sup #2'!B42+'Total Distance Tables Sup #2'!B53+'Total Distance Tables Sup #2'!B64+'Total Distance Tables Sup #2'!B75+'Total Distance Tables Sup #2'!B86+'Total Distance Tables Sup #2'!B97+'Total Distance Tables Sup #2'!B108+'Total Distance Tables Sup #2'!B119+'Total Distance Tables Sup #2'!B130+'Total Distance Tables Sup #2'!B141+'Total Distance Tables Sup #2'!B152+B164+B167+B168</f>
        <v>354.13898835450004</v>
      </c>
      <c r="C175" s="1">
        <f ca="1">'Total Distance Tables Sup #2'!C9+'Total Distance Tables Sup #2'!C20+'Total Distance Tables Sup #2'!C31+'Total Distance Tables Sup #2'!C42+'Total Distance Tables Sup #2'!C53+'Total Distance Tables Sup #2'!C64+'Total Distance Tables Sup #2'!C75+'Total Distance Tables Sup #2'!C86+'Total Distance Tables Sup #2'!C97+'Total Distance Tables Sup #2'!C108+'Total Distance Tables Sup #2'!C119+'Total Distance Tables Sup #2'!C130+'Total Distance Tables Sup #2'!C141+'Total Distance Tables Sup #2'!C152+C164+C167+C168</f>
        <v>397.22497856471205</v>
      </c>
      <c r="D175" s="1">
        <f ca="1">'Total Distance Tables Sup #2'!D9+'Total Distance Tables Sup #2'!D20+'Total Distance Tables Sup #2'!D31+'Total Distance Tables Sup #2'!D42+'Total Distance Tables Sup #2'!D53+'Total Distance Tables Sup #2'!D64+'Total Distance Tables Sup #2'!D75+'Total Distance Tables Sup #2'!D86+'Total Distance Tables Sup #2'!D97+'Total Distance Tables Sup #2'!D108+'Total Distance Tables Sup #2'!D119+'Total Distance Tables Sup #2'!D130+'Total Distance Tables Sup #2'!D141+'Total Distance Tables Sup #2'!D152+D164+D167+D168</f>
        <v>425.52783435045745</v>
      </c>
      <c r="E175" s="1">
        <f ca="1">'Total Distance Tables Sup #2'!E9+'Total Distance Tables Sup #2'!E20+'Total Distance Tables Sup #2'!E31+'Total Distance Tables Sup #2'!E42+'Total Distance Tables Sup #2'!E53+'Total Distance Tables Sup #2'!E64+'Total Distance Tables Sup #2'!E75+'Total Distance Tables Sup #2'!E86+'Total Distance Tables Sup #2'!E97+'Total Distance Tables Sup #2'!E108+'Total Distance Tables Sup #2'!E119+'Total Distance Tables Sup #2'!E130+'Total Distance Tables Sup #2'!E141+'Total Distance Tables Sup #2'!E152+E164+E167+E168</f>
        <v>446.25791211512671</v>
      </c>
      <c r="F175" s="1">
        <f ca="1">'Total Distance Tables Sup #2'!F9+'Total Distance Tables Sup #2'!F20+'Total Distance Tables Sup #2'!F31+'Total Distance Tables Sup #2'!F42+'Total Distance Tables Sup #2'!F53+'Total Distance Tables Sup #2'!F64+'Total Distance Tables Sup #2'!F75+'Total Distance Tables Sup #2'!F86+'Total Distance Tables Sup #2'!F97+'Total Distance Tables Sup #2'!F108+'Total Distance Tables Sup #2'!F119+'Total Distance Tables Sup #2'!F130+'Total Distance Tables Sup #2'!F141+'Total Distance Tables Sup #2'!F152+F164+F167+F168</f>
        <v>461.96064589878353</v>
      </c>
      <c r="G175" s="1">
        <f ca="1">'Total Distance Tables Sup #2'!G9+'Total Distance Tables Sup #2'!G20+'Total Distance Tables Sup #2'!G31+'Total Distance Tables Sup #2'!G42+'Total Distance Tables Sup #2'!G53+'Total Distance Tables Sup #2'!G64+'Total Distance Tables Sup #2'!G75+'Total Distance Tables Sup #2'!G86+'Total Distance Tables Sup #2'!G97+'Total Distance Tables Sup #2'!G108+'Total Distance Tables Sup #2'!G119+'Total Distance Tables Sup #2'!G130+'Total Distance Tables Sup #2'!G141+'Total Distance Tables Sup #2'!G152+G164+G167+G168</f>
        <v>469.17351604074548</v>
      </c>
      <c r="H175" s="1">
        <f ca="1">'Total Distance Tables Sup #2'!H9+'Total Distance Tables Sup #2'!H20+'Total Distance Tables Sup #2'!H31+'Total Distance Tables Sup #2'!H42+'Total Distance Tables Sup #2'!H53+'Total Distance Tables Sup #2'!H64+'Total Distance Tables Sup #2'!H75+'Total Distance Tables Sup #2'!H86+'Total Distance Tables Sup #2'!H97+'Total Distance Tables Sup #2'!H108+'Total Distance Tables Sup #2'!H119+'Total Distance Tables Sup #2'!H130+'Total Distance Tables Sup #2'!H141+'Total Distance Tables Sup #2'!H152+H164+H167+H168</f>
        <v>474.06144010750779</v>
      </c>
      <c r="I175" s="1">
        <f ca="1">'Total Distance Tables Sup #2'!I9+'Total Distance Tables Sup #2'!I20+'Total Distance Tables Sup #2'!I31+'Total Distance Tables Sup #2'!I42+'Total Distance Tables Sup #2'!I53+'Total Distance Tables Sup #2'!I64+'Total Distance Tables Sup #2'!I75+'Total Distance Tables Sup #2'!I86+'Total Distance Tables Sup #2'!I97+'Total Distance Tables Sup #2'!I108+'Total Distance Tables Sup #2'!I119+'Total Distance Tables Sup #2'!I130+'Total Distance Tables Sup #2'!I141+'Total Distance Tables Sup #2'!I152+I164+I167+I168</f>
        <v>485.14755398760758</v>
      </c>
      <c r="J175" s="1">
        <f ca="1">'Total Distance Tables Sup #2'!J9+'Total Distance Tables Sup #2'!J20+'Total Distance Tables Sup #2'!J31+'Total Distance Tables Sup #2'!J42+'Total Distance Tables Sup #2'!J53+'Total Distance Tables Sup #2'!J64+'Total Distance Tables Sup #2'!J75+'Total Distance Tables Sup #2'!J86+'Total Distance Tables Sup #2'!J97+'Total Distance Tables Sup #2'!J108+'Total Distance Tables Sup #2'!J119+'Total Distance Tables Sup #2'!J130+'Total Distance Tables Sup #2'!J141+'Total Distance Tables Sup #2'!J152+J164+J167+J168</f>
        <v>495.07302778639712</v>
      </c>
      <c r="K175" s="1">
        <f ca="1">'Total Distance Tables Sup #2'!K9+'Total Distance Tables Sup #2'!K20+'Total Distance Tables Sup #2'!K31+'Total Distance Tables Sup #2'!K42+'Total Distance Tables Sup #2'!K53+'Total Distance Tables Sup #2'!K64+'Total Distance Tables Sup #2'!K75+'Total Distance Tables Sup #2'!K86+'Total Distance Tables Sup #2'!K97+'Total Distance Tables Sup #2'!K108+'Total Distance Tables Sup #2'!K119+'Total Distance Tables Sup #2'!K130+'Total Distance Tables Sup #2'!K141+'Total Distance Tables Sup #2'!K152+K164+K167+K168</f>
        <v>504.27810429333903</v>
      </c>
    </row>
    <row r="176" spans="1:11" x14ac:dyDescent="0.2">
      <c r="A176" t="s">
        <v>106</v>
      </c>
      <c r="B176" s="1">
        <f ca="1">B7+B18+B29+B40+B51+B62+B73+B84+B95+B106+B117+B128+B139+B150</f>
        <v>30373.708042980001</v>
      </c>
      <c r="C176" s="1">
        <f ca="1">C7/(1-'Other Assumptions'!G$6)+C18/(1-'Other Assumptions'!G$7)+C29/(1-'Other Assumptions'!G$8)+C40/(1-'Other Assumptions'!G$9)+C51/(1-'Other Assumptions'!G$10)+C62/(1-'Other Assumptions'!G$11)+C73/(1-'Other Assumptions'!G$12)+C84/(1-'Other Assumptions'!G$13)+C95/(1-'Other Assumptions'!G$14)+C106/(1-'Other Assumptions'!G$15)+C117/(1-'Other Assumptions'!G$16)+C128/(1-'Other Assumptions'!G$17)+C139/(1-'Other Assumptions'!G$18)+C150/(1-'Other Assumptions'!G$19)</f>
        <v>33769.390281043525</v>
      </c>
      <c r="D176" s="1">
        <f ca="1">D7/(1-'Other Assumptions'!H$6)+D18/(1-'Other Assumptions'!H$7)+D29/(1-'Other Assumptions'!H$8)+D40/(1-'Other Assumptions'!H$9)+D51/(1-'Other Assumptions'!H$10)+D62/(1-'Other Assumptions'!H$11)+D73/(1-'Other Assumptions'!H$12)+D84/(1-'Other Assumptions'!H$13)+D95/(1-'Other Assumptions'!H$14)+D106/(1-'Other Assumptions'!H$15)+D117/(1-'Other Assumptions'!H$16)+D128/(1-'Other Assumptions'!H$17)+D139/(1-'Other Assumptions'!H$18)+D150/(1-'Other Assumptions'!H$19)</f>
        <v>35674.759537975624</v>
      </c>
      <c r="E176" s="1">
        <f ca="1">E7/(1-'Other Assumptions'!I$6)+E18/(1-'Other Assumptions'!I$7)+E29/(1-'Other Assumptions'!I$8)+E40/(1-'Other Assumptions'!I$9)+E51/(1-'Other Assumptions'!I$10)+E62/(1-'Other Assumptions'!I$11)+E73/(1-'Other Assumptions'!I$12)+E84/(1-'Other Assumptions'!I$13)+E95/(1-'Other Assumptions'!I$14)+E106/(1-'Other Assumptions'!I$15)+E117/(1-'Other Assumptions'!I$16)+E128/(1-'Other Assumptions'!I$17)+E139/(1-'Other Assumptions'!I$18)+E150/(1-'Other Assumptions'!I$19)</f>
        <v>37340.577073304215</v>
      </c>
      <c r="F176" s="1">
        <f ca="1">F7/(1-'Other Assumptions'!J$6)+F18/(1-'Other Assumptions'!J$7)+F29/(1-'Other Assumptions'!J$8)+F40/(1-'Other Assumptions'!J$9)+F51/(1-'Other Assumptions'!J$10)+F62/(1-'Other Assumptions'!J$11)+F73/(1-'Other Assumptions'!J$12)+F84/(1-'Other Assumptions'!J$13)+F95/(1-'Other Assumptions'!J$14)+F106/(1-'Other Assumptions'!J$15)+F117/(1-'Other Assumptions'!J$16)+F128/(1-'Other Assumptions'!J$17)+F139/(1-'Other Assumptions'!J$18)+F150/(1-'Other Assumptions'!J$19)</f>
        <v>38891.437017745397</v>
      </c>
      <c r="G176" s="1">
        <f ca="1">G7/(1-'Other Assumptions'!K$6)+G18/(1-'Other Assumptions'!K$7)+G29/(1-'Other Assumptions'!K$8)+G40/(1-'Other Assumptions'!K$9)+G51/(1-'Other Assumptions'!K$10)+G62/(1-'Other Assumptions'!K$11)+G73/(1-'Other Assumptions'!K$12)+G84/(1-'Other Assumptions'!K$13)+G95/(1-'Other Assumptions'!K$14)+G106/(1-'Other Assumptions'!K$15)+G117/(1-'Other Assumptions'!K$16)+G128/(1-'Other Assumptions'!K$17)+G139/(1-'Other Assumptions'!K$18)+G150/(1-'Other Assumptions'!K$19)</f>
        <v>40013.869918196651</v>
      </c>
      <c r="H176" s="1">
        <f ca="1">H7/(1-'Other Assumptions'!L$6)+H18/(1-'Other Assumptions'!L$7)+H29/(1-'Other Assumptions'!L$8)+H40/(1-'Other Assumptions'!L$9)+H51/(1-'Other Assumptions'!L$10)+H62/(1-'Other Assumptions'!L$11)+H73/(1-'Other Assumptions'!L$12)+H84/(1-'Other Assumptions'!L$13)+H95/(1-'Other Assumptions'!L$14)+H106/(1-'Other Assumptions'!L$15)+H117/(1-'Other Assumptions'!L$16)+H128/(1-'Other Assumptions'!L$17)+H139/(1-'Other Assumptions'!L$18)+H150/(1-'Other Assumptions'!L$19)</f>
        <v>40958.337388891792</v>
      </c>
      <c r="I176" s="1">
        <f ca="1">I7/(1-'Other Assumptions'!M$6)+I18/(1-'Other Assumptions'!M$7)+I29/(1-'Other Assumptions'!M$8)+I40/(1-'Other Assumptions'!M$9)+I51/(1-'Other Assumptions'!M$10)+I62/(1-'Other Assumptions'!M$11)+I73/(1-'Other Assumptions'!M$12)+I84/(1-'Other Assumptions'!M$13)+I95/(1-'Other Assumptions'!M$14)+I106/(1-'Other Assumptions'!M$15)+I117/(1-'Other Assumptions'!M$16)+I128/(1-'Other Assumptions'!M$17)+I139/(1-'Other Assumptions'!M$18)+I150/(1-'Other Assumptions'!M$19)</f>
        <v>41848.655311237759</v>
      </c>
      <c r="J176" s="1">
        <f ca="1">J7/(1-'Other Assumptions'!N$6)+J18/(1-'Other Assumptions'!N$7)+J29/(1-'Other Assumptions'!N$8)+J40/(1-'Other Assumptions'!N$9)+J51/(1-'Other Assumptions'!N$10)+J62/(1-'Other Assumptions'!N$11)+J73/(1-'Other Assumptions'!N$12)+J84/(1-'Other Assumptions'!N$13)+J95/(1-'Other Assumptions'!N$14)+J106/(1-'Other Assumptions'!N$15)+J117/(1-'Other Assumptions'!N$16)+J128/(1-'Other Assumptions'!N$17)+J139/(1-'Other Assumptions'!N$18)+J150/(1-'Other Assumptions'!N$19)</f>
        <v>42630.808135550396</v>
      </c>
      <c r="K176" s="1">
        <f ca="1">K7/(1-'Other Assumptions'!O$6)+K18/(1-'Other Assumptions'!O$7)+K29/(1-'Other Assumptions'!O$8)+K40/(1-'Other Assumptions'!O$9)+K51/(1-'Other Assumptions'!O$10)+K62/(1-'Other Assumptions'!O$11)+K73/(1-'Other Assumptions'!O$12)+K84/(1-'Other Assumptions'!O$13)+K95/(1-'Other Assumptions'!O$14)+K106/(1-'Other Assumptions'!O$15)+K117/(1-'Other Assumptions'!O$16)+K128/(1-'Other Assumptions'!O$17)+K139/(1-'Other Assumptions'!O$18)+K150/(1-'Other Assumptions'!O$19)</f>
        <v>43339.750923744403</v>
      </c>
    </row>
    <row r="177" spans="1:11" x14ac:dyDescent="0.2">
      <c r="A177" t="s">
        <v>107</v>
      </c>
      <c r="B177" s="1">
        <f ca="1">B8+B19+B30+B41+B52+B63+B74+B85+B96+B107+B118+B129+B140+B151</f>
        <v>17104.323927279998</v>
      </c>
      <c r="C177" s="1">
        <f ca="1">C8/(1-'Other Assumptions'!G$6)+C19/(1-'Other Assumptions'!G$7)+C30/(1-'Other Assumptions'!G$8)+C41/(1-'Other Assumptions'!G$9)+C52/(1-'Other Assumptions'!G$10)+C63/(1-'Other Assumptions'!G$11)+C74/(1-'Other Assumptions'!G$12)+C85/(1-'Other Assumptions'!G$13)+C96/(1-'Other Assumptions'!G$14)+C107/(1-'Other Assumptions'!G$15)+C118/(1-'Other Assumptions'!G$16)+C129/(1-'Other Assumptions'!G$17)+C140/(1-'Other Assumptions'!G$18)+C151/(1-'Other Assumptions'!G$19)</f>
        <v>18282.88708318221</v>
      </c>
      <c r="D177" s="1">
        <f ca="1">D8/(1-'Other Assumptions'!H$6)+D19/(1-'Other Assumptions'!H$7)+D30/(1-'Other Assumptions'!H$8)+D41/(1-'Other Assumptions'!H$9)+D52/(1-'Other Assumptions'!H$10)+D63/(1-'Other Assumptions'!H$11)+D74/(1-'Other Assumptions'!H$12)+D85/(1-'Other Assumptions'!H$13)+D96/(1-'Other Assumptions'!H$14)+D107/(1-'Other Assumptions'!H$15)+D118/(1-'Other Assumptions'!H$16)+D129/(1-'Other Assumptions'!H$17)+D140/(1-'Other Assumptions'!H$18)+D151/(1-'Other Assumptions'!H$19)</f>
        <v>18825.58649208253</v>
      </c>
      <c r="E177" s="1">
        <f ca="1">E8/(1-'Other Assumptions'!I$6)+E19/(1-'Other Assumptions'!I$7)+E30/(1-'Other Assumptions'!I$8)+E41/(1-'Other Assumptions'!I$9)+E52/(1-'Other Assumptions'!I$10)+E63/(1-'Other Assumptions'!I$11)+E74/(1-'Other Assumptions'!I$12)+E85/(1-'Other Assumptions'!I$13)+E96/(1-'Other Assumptions'!I$14)+E107/(1-'Other Assumptions'!I$15)+E118/(1-'Other Assumptions'!I$16)+E129/(1-'Other Assumptions'!I$17)+E140/(1-'Other Assumptions'!I$18)+E151/(1-'Other Assumptions'!I$19)</f>
        <v>19222.126046152749</v>
      </c>
      <c r="F177" s="1">
        <f ca="1">F8/(1-'Other Assumptions'!J$6)+F19/(1-'Other Assumptions'!J$7)+F30/(1-'Other Assumptions'!J$8)+F41/(1-'Other Assumptions'!J$9)+F52/(1-'Other Assumptions'!J$10)+F63/(1-'Other Assumptions'!J$11)+F74/(1-'Other Assumptions'!J$12)+F85/(1-'Other Assumptions'!J$13)+F96/(1-'Other Assumptions'!J$14)+F107/(1-'Other Assumptions'!J$15)+F118/(1-'Other Assumptions'!J$16)+F129/(1-'Other Assumptions'!J$17)+F140/(1-'Other Assumptions'!J$18)+F151/(1-'Other Assumptions'!J$19)</f>
        <v>19534.070516891275</v>
      </c>
      <c r="G177" s="1">
        <f ca="1">G8/(1-'Other Assumptions'!K$6)+G19/(1-'Other Assumptions'!K$7)+G30/(1-'Other Assumptions'!K$8)+G41/(1-'Other Assumptions'!K$9)+G52/(1-'Other Assumptions'!K$10)+G63/(1-'Other Assumptions'!K$11)+G74/(1-'Other Assumptions'!K$12)+G85/(1-'Other Assumptions'!K$13)+G96/(1-'Other Assumptions'!K$14)+G107/(1-'Other Assumptions'!K$15)+G118/(1-'Other Assumptions'!K$16)+G129/(1-'Other Assumptions'!K$17)+G140/(1-'Other Assumptions'!K$18)+G151/(1-'Other Assumptions'!K$19)</f>
        <v>19695.986189547548</v>
      </c>
      <c r="H177" s="1">
        <f ca="1">H8/(1-'Other Assumptions'!L$6)+H19/(1-'Other Assumptions'!L$7)+H30/(1-'Other Assumptions'!L$8)+H41/(1-'Other Assumptions'!L$9)+H52/(1-'Other Assumptions'!L$10)+H63/(1-'Other Assumptions'!L$11)+H74/(1-'Other Assumptions'!L$12)+H85/(1-'Other Assumptions'!L$13)+H96/(1-'Other Assumptions'!L$14)+H107/(1-'Other Assumptions'!L$15)+H118/(1-'Other Assumptions'!L$16)+H129/(1-'Other Assumptions'!L$17)+H140/(1-'Other Assumptions'!L$18)+H151/(1-'Other Assumptions'!L$19)</f>
        <v>19750.607396995758</v>
      </c>
      <c r="I177" s="1">
        <f ca="1">I8/(1-'Other Assumptions'!M$6)+I19/(1-'Other Assumptions'!M$7)+I30/(1-'Other Assumptions'!M$8)+I41/(1-'Other Assumptions'!M$9)+I52/(1-'Other Assumptions'!M$10)+I63/(1-'Other Assumptions'!M$11)+I74/(1-'Other Assumptions'!M$12)+I85/(1-'Other Assumptions'!M$13)+I96/(1-'Other Assumptions'!M$14)+I107/(1-'Other Assumptions'!M$15)+I118/(1-'Other Assumptions'!M$16)+I129/(1-'Other Assumptions'!M$17)+I140/(1-'Other Assumptions'!M$18)+I151/(1-'Other Assumptions'!M$19)</f>
        <v>20144.974183186772</v>
      </c>
      <c r="J177" s="1">
        <f ca="1">J8/(1-'Other Assumptions'!N$6)+J19/(1-'Other Assumptions'!N$7)+J30/(1-'Other Assumptions'!N$8)+J41/(1-'Other Assumptions'!N$9)+J52/(1-'Other Assumptions'!N$10)+J63/(1-'Other Assumptions'!N$11)+J74/(1-'Other Assumptions'!N$12)+J85/(1-'Other Assumptions'!N$13)+J96/(1-'Other Assumptions'!N$14)+J107/(1-'Other Assumptions'!N$15)+J118/(1-'Other Assumptions'!N$16)+J129/(1-'Other Assumptions'!N$17)+J140/(1-'Other Assumptions'!N$18)+J151/(1-'Other Assumptions'!N$19)</f>
        <v>20483.098553469023</v>
      </c>
      <c r="K177" s="1">
        <f ca="1">K8/(1-'Other Assumptions'!O$6)+K19/(1-'Other Assumptions'!O$7)+K30/(1-'Other Assumptions'!O$8)+K41/(1-'Other Assumptions'!O$9)+K52/(1-'Other Assumptions'!O$10)+K63/(1-'Other Assumptions'!O$11)+K74/(1-'Other Assumptions'!O$12)+K85/(1-'Other Assumptions'!O$13)+K96/(1-'Other Assumptions'!O$14)+K107/(1-'Other Assumptions'!O$15)+K118/(1-'Other Assumptions'!O$16)+K129/(1-'Other Assumptions'!O$17)+K140/(1-'Other Assumptions'!O$18)+K151/(1-'Other Assumptions'!O$19)</f>
        <v>20780.240759296106</v>
      </c>
    </row>
  </sheetData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K177"/>
  <sheetViews>
    <sheetView topLeftCell="A103" workbookViewId="0">
      <selection activeCell="H24" sqref="H24"/>
    </sheetView>
  </sheetViews>
  <sheetFormatPr defaultRowHeight="12.75" x14ac:dyDescent="0.2"/>
  <cols>
    <col min="1" max="1" width="26.140625" customWidth="1"/>
    <col min="9" max="11" width="10.28515625" bestFit="1" customWidth="1"/>
  </cols>
  <sheetData>
    <row r="2" spans="1:11" x14ac:dyDescent="0.2">
      <c r="A2" s="3" t="s">
        <v>14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'Total Duration Tables Sup #2'!B5</f>
        <v>5.0772161771000004</v>
      </c>
      <c r="C5" s="4">
        <f ca="1">'Total Duration Tables Sup #2'!C5</f>
        <v>5.3976112933431768</v>
      </c>
      <c r="D5" s="4">
        <f ca="1">'Total Duration Tables Sup #2'!D5</f>
        <v>5.7796239850933127</v>
      </c>
      <c r="E5" s="4">
        <f ca="1">'Total Duration Tables Sup #2'!E5</f>
        <v>6.0777753997159172</v>
      </c>
      <c r="F5" s="4">
        <f ca="1">'Total Duration Tables Sup #2'!F5</f>
        <v>6.3110184040863162</v>
      </c>
      <c r="G5" s="4">
        <f ca="1">'Total Duration Tables Sup #2'!G5</f>
        <v>6.5124273118216633</v>
      </c>
      <c r="H5" s="4">
        <f ca="1">'Total Duration Tables Sup #2'!H5</f>
        <v>6.6788815930205478</v>
      </c>
      <c r="I5" s="1">
        <f ca="1">'Total Duration Tables Sup #2'!I5</f>
        <v>6.7623706907563994</v>
      </c>
      <c r="J5" s="1">
        <f ca="1">'Total Duration Tables Sup #2'!J5</f>
        <v>6.8279597265271121</v>
      </c>
      <c r="K5" s="1">
        <f ca="1">'Total Duration Tables Sup #2'!K5</f>
        <v>6.8822930234236814</v>
      </c>
    </row>
    <row r="6" spans="1:11" x14ac:dyDescent="0.2">
      <c r="A6" t="str">
        <f ca="1">OFFSET(Northland_Reference,7,2)</f>
        <v>Cyclist</v>
      </c>
      <c r="B6" s="4">
        <f ca="1">'Total Duration Tables Sup #2'!B6</f>
        <v>0.15772883609999999</v>
      </c>
      <c r="C6" s="4">
        <f ca="1">'Total Duration Tables Sup #2'!C6</f>
        <v>0.17227123706497835</v>
      </c>
      <c r="D6" s="4">
        <f ca="1">'Total Duration Tables Sup #2'!D6</f>
        <v>0.21537455173790351</v>
      </c>
      <c r="E6" s="4">
        <f ca="1">'Total Duration Tables Sup #2'!E6</f>
        <v>0.25585436583221888</v>
      </c>
      <c r="F6" s="4">
        <f ca="1">'Total Duration Tables Sup #2'!F6</f>
        <v>0.29935109504050722</v>
      </c>
      <c r="G6" s="4">
        <f ca="1">'Total Duration Tables Sup #2'!G6</f>
        <v>0.34755411747108189</v>
      </c>
      <c r="H6" s="4">
        <f ca="1">'Total Duration Tables Sup #2'!H6</f>
        <v>0.39777387701264572</v>
      </c>
      <c r="I6" s="1">
        <f ca="1">'Total Duration Tables Sup #2'!I6</f>
        <v>0.40308199024019525</v>
      </c>
      <c r="J6" s="1">
        <f ca="1">'Total Duration Tables Sup #2'!J6</f>
        <v>0.40732794514442233</v>
      </c>
      <c r="K6" s="1">
        <f ca="1">'Total Duration Tables Sup #2'!K6</f>
        <v>0.41090600675260963</v>
      </c>
    </row>
    <row r="7" spans="1:11" x14ac:dyDescent="0.2">
      <c r="A7" t="str">
        <f ca="1">OFFSET(Northland_Reference,14,2)</f>
        <v>Light Vehicle Driver</v>
      </c>
      <c r="B7" s="4">
        <f ca="1">'Total Duration Tables Sup #2'!B7</f>
        <v>23.421840091</v>
      </c>
      <c r="C7" s="4">
        <f ca="1">'Total Duration Tables Sup #2'!C7*(1-'Other Assumptions'!G6)</f>
        <v>25.764340346804023</v>
      </c>
      <c r="D7" s="4">
        <f ca="1">'Total Duration Tables Sup #2'!D7*(1-'Other Assumptions'!H6)</f>
        <v>27.023475961538086</v>
      </c>
      <c r="E7" s="4">
        <f ca="1">'Total Duration Tables Sup #2'!E7*(1-'Other Assumptions'!I6)</f>
        <v>25.283176271341336</v>
      </c>
      <c r="F7" s="4">
        <f ca="1">'Total Duration Tables Sup #2'!F7*(1-'Other Assumptions'!J6)</f>
        <v>23.189756803865809</v>
      </c>
      <c r="G7" s="4">
        <f ca="1">'Total Duration Tables Sup #2'!G7*(1-'Other Assumptions'!K6)</f>
        <v>20.696565375826378</v>
      </c>
      <c r="H7" s="4">
        <f ca="1">'Total Duration Tables Sup #2'!H7*(1-'Other Assumptions'!L6)</f>
        <v>17.981591093189273</v>
      </c>
      <c r="I7" s="1">
        <f ca="1">'Total Duration Tables Sup #2'!I7*(1-'Other Assumptions'!M6)</f>
        <v>15.180422349283523</v>
      </c>
      <c r="J7" s="1">
        <f ca="1">'Total Duration Tables Sup #2'!J7*(1-'Other Assumptions'!N6)</f>
        <v>12.268887988831082</v>
      </c>
      <c r="K7" s="1">
        <f ca="1">'Total Duration Tables Sup #2'!K7*(1-'Other Assumptions'!O6)</f>
        <v>9.2799540949118544</v>
      </c>
    </row>
    <row r="8" spans="1:11" x14ac:dyDescent="0.2">
      <c r="A8" t="str">
        <f ca="1">OFFSET(Northland_Reference,21,2)</f>
        <v>Light Vehicle Passenger</v>
      </c>
      <c r="B8" s="4">
        <f ca="1">'Total Duration Tables Sup #2'!B8</f>
        <v>15.174949781</v>
      </c>
      <c r="C8" s="4">
        <f ca="1">'Total Duration Tables Sup #2'!C8*(1-'Other Assumptions'!G6)</f>
        <v>16.011044243821207</v>
      </c>
      <c r="D8" s="4">
        <f ca="1">'Total Duration Tables Sup #2'!D8*(1-'Other Assumptions'!H6)</f>
        <v>16.386627454969776</v>
      </c>
      <c r="E8" s="4">
        <f ca="1">'Total Duration Tables Sup #2'!E8*(1-'Other Assumptions'!I6)</f>
        <v>14.960663441407695</v>
      </c>
      <c r="F8" s="4">
        <f ca="1">'Total Duration Tables Sup #2'!F8*(1-'Other Assumptions'!J6)</f>
        <v>13.380641418230756</v>
      </c>
      <c r="G8" s="4">
        <f ca="1">'Total Duration Tables Sup #2'!G8*(1-'Other Assumptions'!K6)</f>
        <v>11.696938147457331</v>
      </c>
      <c r="H8" s="4">
        <f ca="1">'Total Duration Tables Sup #2'!H8*(1-'Other Assumptions'!L6)</f>
        <v>9.9534687393301819</v>
      </c>
      <c r="I8" s="1">
        <f ca="1">'Total Duration Tables Sup #2'!I8*(1-'Other Assumptions'!M6)</f>
        <v>8.4079473764480426</v>
      </c>
      <c r="J8" s="1">
        <f ca="1">'Total Duration Tables Sup #2'!J8*(1-'Other Assumptions'!N6)</f>
        <v>6.7993842221779621</v>
      </c>
      <c r="K8" s="1">
        <f ca="1">'Total Duration Tables Sup #2'!K8*(1-'Other Assumptions'!O6)</f>
        <v>5.145964700521299</v>
      </c>
    </row>
    <row r="9" spans="1:11" x14ac:dyDescent="0.2">
      <c r="A9" t="str">
        <f ca="1">OFFSET(Northland_Reference,28,2)</f>
        <v>Taxi/Vehicle Share</v>
      </c>
      <c r="B9" s="4">
        <f ca="1">'Total Duration Tables Sup #2'!B9</f>
        <v>2.5131369800000001E-2</v>
      </c>
      <c r="C9" s="4">
        <f ca="1">'Total Duration Tables Sup #2'!C9+((C7+C8)*'Other Assumptions'!G6/(1-'Other Assumptions'!G6))</f>
        <v>2.8730318263659599E-2</v>
      </c>
      <c r="D9" s="4">
        <f ca="1">'Total Duration Tables Sup #2'!D9+((D7+D8)*'Other Assumptions'!H6/(1-'Other Assumptions'!H6))</f>
        <v>3.1418649801061342E-2</v>
      </c>
      <c r="E9" s="4">
        <f ca="1">'Total Duration Tables Sup #2'!E9+((E7+E8)*'Other Assumptions'!I6/(1-'Other Assumptions'!I6))</f>
        <v>4.5051592127589428</v>
      </c>
      <c r="F9" s="4">
        <f ca="1">'Total Duration Tables Sup #2'!F9+((F7+F8)*'Other Assumptions'!J6/(1-'Other Assumptions'!J6))</f>
        <v>9.1779914210966727</v>
      </c>
      <c r="G9" s="4">
        <f ca="1">'Total Duration Tables Sup #2'!G9+((G7+G8)*'Other Assumptions'!K6/(1-'Other Assumptions'!K6))</f>
        <v>13.919396866177662</v>
      </c>
      <c r="H9" s="4">
        <f ca="1">'Total Duration Tables Sup #2'!H9+((H7+H8)*'Other Assumptions'!L6/(1-'Other Assumptions'!L6))</f>
        <v>18.660691392675041</v>
      </c>
      <c r="I9" s="1">
        <f ca="1">'Total Duration Tables Sup #2'!I9+((I7+I8)*'Other Assumptions'!M6/(1-'Other Assumptions'!M6))</f>
        <v>23.626083527570561</v>
      </c>
      <c r="J9" s="1">
        <f ca="1">'Total Duration Tables Sup #2'!J9+((J7+J8)*'Other Assumptions'!N6/(1-'Other Assumptions'!N6))</f>
        <v>28.640416314105295</v>
      </c>
      <c r="K9" s="1">
        <f ca="1">'Total Duration Tables Sup #2'!K9+((K7+K8)*'Other Assumptions'!O6/(1-'Other Assumptions'!O6))</f>
        <v>33.698715491154175</v>
      </c>
    </row>
    <row r="10" spans="1:11" x14ac:dyDescent="0.2">
      <c r="A10" t="str">
        <f ca="1">OFFSET(Northland_Reference,35,2)</f>
        <v>Motorcyclist</v>
      </c>
      <c r="B10" s="4">
        <f ca="1">'Total Duration Tables Sup #2'!B10</f>
        <v>0.28382488960000002</v>
      </c>
      <c r="C10" s="4">
        <f ca="1">'Total Duration Tables Sup #2'!C10</f>
        <v>0.30916922082041315</v>
      </c>
      <c r="D10" s="4">
        <f ca="1">'Total Duration Tables Sup #2'!D10</f>
        <v>0.32196942064974055</v>
      </c>
      <c r="E10" s="4">
        <f ca="1">'Total Duration Tables Sup #2'!E10</f>
        <v>0.33043031563133157</v>
      </c>
      <c r="F10" s="4">
        <f ca="1">'Total Duration Tables Sup #2'!F10</f>
        <v>0.33660994024150942</v>
      </c>
      <c r="G10" s="4">
        <f ca="1">'Total Duration Tables Sup #2'!G10</f>
        <v>0.33756139824055492</v>
      </c>
      <c r="H10" s="4">
        <f ca="1">'Total Duration Tables Sup #2'!H10</f>
        <v>0.33612416576265852</v>
      </c>
      <c r="I10" s="1">
        <f ca="1">'Total Duration Tables Sup #2'!I10</f>
        <v>0.34187893640989492</v>
      </c>
      <c r="J10" s="1">
        <f ca="1">'Total Duration Tables Sup #2'!J10</f>
        <v>0.34676729372032</v>
      </c>
      <c r="K10" s="1">
        <f ca="1">'Total Duration Tables Sup #2'!K10</f>
        <v>0.35111525525644438</v>
      </c>
    </row>
    <row r="11" spans="1:11" x14ac:dyDescent="0.2">
      <c r="A11" t="str">
        <f ca="1">OFFSET(Auckland_Reference,42,2)</f>
        <v>Local Train</v>
      </c>
      <c r="B11" s="4">
        <f ca="1">'Total Duration Tables Sup #2'!B11</f>
        <v>0</v>
      </c>
      <c r="C11" s="4">
        <f ca="1">'Total Duration Tables Sup #2'!C11</f>
        <v>0</v>
      </c>
      <c r="D11" s="4">
        <f ca="1">'Total Duration Tables Sup #2'!D11</f>
        <v>0</v>
      </c>
      <c r="E11" s="4">
        <f ca="1">'Total Duration Tables Sup #2'!E11</f>
        <v>0</v>
      </c>
      <c r="F11" s="4">
        <f ca="1">'Total Duration Tables Sup #2'!F11</f>
        <v>0</v>
      </c>
      <c r="G11" s="4">
        <f ca="1">'Total Duration Tables Sup #2'!G11</f>
        <v>0</v>
      </c>
      <c r="H11" s="4">
        <f ca="1">'Total Duration Tables Sup #2'!H11</f>
        <v>0</v>
      </c>
      <c r="I11" s="1">
        <f ca="1">'Total Duration Tables Sup #2'!I11</f>
        <v>0</v>
      </c>
      <c r="J11" s="1">
        <f ca="1">'Total Duration Tables Sup #2'!J11</f>
        <v>0</v>
      </c>
      <c r="K11" s="1">
        <f ca="1">'Total Duration Tables Sup #2'!K11</f>
        <v>0</v>
      </c>
    </row>
    <row r="12" spans="1:11" x14ac:dyDescent="0.2">
      <c r="A12" t="str">
        <f ca="1">OFFSET(Northland_Reference,42,2)</f>
        <v>Local Bus</v>
      </c>
      <c r="B12" s="4">
        <f ca="1">'Total Duration Tables Sup #2'!B12</f>
        <v>1.5691203781</v>
      </c>
      <c r="C12" s="4">
        <f ca="1">'Total Duration Tables Sup #2'!C12</f>
        <v>1.5650952851566038</v>
      </c>
      <c r="D12" s="4">
        <f ca="1">'Total Duration Tables Sup #2'!D12</f>
        <v>1.5537457486647215</v>
      </c>
      <c r="E12" s="4">
        <f ca="1">'Total Duration Tables Sup #2'!E12</f>
        <v>1.5476104700985052</v>
      </c>
      <c r="F12" s="4">
        <f ca="1">'Total Duration Tables Sup #2'!F12</f>
        <v>1.5176254043995168</v>
      </c>
      <c r="G12" s="4">
        <f ca="1">'Total Duration Tables Sup #2'!G12</f>
        <v>1.4937141975630379</v>
      </c>
      <c r="H12" s="4">
        <f ca="1">'Total Duration Tables Sup #2'!H12</f>
        <v>1.4616757293096259</v>
      </c>
      <c r="I12" s="1">
        <f ca="1">'Total Duration Tables Sup #2'!I12</f>
        <v>1.4838465191424597</v>
      </c>
      <c r="J12" s="1">
        <f ca="1">'Total Duration Tables Sup #2'!J12</f>
        <v>1.5021566860465816</v>
      </c>
      <c r="K12" s="1">
        <f ca="1">'Total Duration Tables Sup #2'!K12</f>
        <v>1.5180394072027279</v>
      </c>
    </row>
    <row r="13" spans="1:11" x14ac:dyDescent="0.2">
      <c r="A13" t="str">
        <f ca="1">OFFSET(Northland_Reference,49,2)</f>
        <v>Local Ferry</v>
      </c>
      <c r="B13" s="4">
        <f ca="1">'Total Duration Tables Sup #2'!B13</f>
        <v>1.4305812299999996E-2</v>
      </c>
      <c r="C13" s="4">
        <f ca="1">'Total Duration Tables Sup #2'!C13</f>
        <v>1.5951770464801143E-2</v>
      </c>
      <c r="D13" s="4">
        <f ca="1">'Total Duration Tables Sup #2'!D13</f>
        <v>1.6933180160664762E-2</v>
      </c>
      <c r="E13" s="4">
        <f ca="1">'Total Duration Tables Sup #2'!E13</f>
        <v>1.749180044468791E-2</v>
      </c>
      <c r="F13" s="4">
        <f ca="1">'Total Duration Tables Sup #2'!F13</f>
        <v>1.7783437517204174E-2</v>
      </c>
      <c r="G13" s="4">
        <f ca="1">'Total Duration Tables Sup #2'!G13</f>
        <v>1.8337500431807058E-2</v>
      </c>
      <c r="H13" s="4">
        <f ca="1">'Total Duration Tables Sup #2'!H13</f>
        <v>1.8712482707370713E-2</v>
      </c>
      <c r="I13" s="1">
        <f ca="1">'Total Duration Tables Sup #2'!I13</f>
        <v>1.8831401424151364E-2</v>
      </c>
      <c r="J13" s="1">
        <f ca="1">'Total Duration Tables Sup #2'!J13</f>
        <v>1.8899910862669053E-2</v>
      </c>
      <c r="K13" s="1">
        <f ca="1">'Total Duration Tables Sup #2'!K13</f>
        <v>1.8937248402830426E-2</v>
      </c>
    </row>
    <row r="14" spans="1:11" x14ac:dyDescent="0.2">
      <c r="A14" t="str">
        <f ca="1">OFFSET(Northland_Reference,56,2)</f>
        <v>Other Household Travel</v>
      </c>
      <c r="B14" s="4">
        <f ca="1">'Total Duration Tables Sup #2'!B14</f>
        <v>0</v>
      </c>
      <c r="C14" s="4">
        <f ca="1">'Total Duration Tables Sup #2'!C14</f>
        <v>0</v>
      </c>
      <c r="D14" s="4">
        <f ca="1">'Total Duration Tables Sup #2'!D14</f>
        <v>0</v>
      </c>
      <c r="E14" s="4">
        <f ca="1">'Total Duration Tables Sup #2'!E14</f>
        <v>0</v>
      </c>
      <c r="F14" s="4">
        <f ca="1">'Total Duration Tables Sup #2'!F14</f>
        <v>0</v>
      </c>
      <c r="G14" s="4">
        <f ca="1">'Total Duration Tables Sup #2'!G14</f>
        <v>0</v>
      </c>
      <c r="H14" s="4">
        <f ca="1">'Total Duration Tables Sup #2'!H14</f>
        <v>0</v>
      </c>
      <c r="I14" s="1">
        <f ca="1">'Total Duration Tables Sup #2'!I14</f>
        <v>0</v>
      </c>
      <c r="J14" s="1">
        <f ca="1">'Total Duration Tables Sup #2'!J14</f>
        <v>0</v>
      </c>
      <c r="K14" s="1">
        <f ca="1">'Total Duration Tables Sup #2'!K14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'Total Duration Tables Sup #2'!B16</f>
        <v>73.381071999</v>
      </c>
      <c r="C16" s="4">
        <f ca="1">'Total Duration Tables Sup #2'!C16+'Total Duration Tables Sup #2'!C18*'Other Assumptions'!G66*'Other Assumptions'!G73+'Total Duration Tables Sup #2'!C19*'Other Assumptions'!G66*'Other Assumptions'!G73</f>
        <v>79.92932482476543</v>
      </c>
      <c r="D16" s="4">
        <f ca="1">'Total Duration Tables Sup #2'!D16+'Total Duration Tables Sup #2'!D18*'Other Assumptions'!H66*'Other Assumptions'!H73+'Total Duration Tables Sup #2'!D19*'Other Assumptions'!H66*'Other Assumptions'!H73</f>
        <v>87.024319046143859</v>
      </c>
      <c r="E16" s="4">
        <f ca="1">'Total Duration Tables Sup #2'!E16+'Total Duration Tables Sup #2'!E18*'Other Assumptions'!I66*'Other Assumptions'!I73+'Total Duration Tables Sup #2'!E19*'Other Assumptions'!I66*'Other Assumptions'!I73</f>
        <v>92.698134341974864</v>
      </c>
      <c r="F16" s="4">
        <f ca="1">'Total Duration Tables Sup #2'!F16+'Total Duration Tables Sup #2'!F18*'Other Assumptions'!J66*'Other Assumptions'!J73+'Total Duration Tables Sup #2'!F19*'Other Assumptions'!J66*'Other Assumptions'!J73</f>
        <v>97.815330886485853</v>
      </c>
      <c r="G16" s="4">
        <f ca="1">'Total Duration Tables Sup #2'!G16+'Total Duration Tables Sup #2'!G18*'Other Assumptions'!K66*'Other Assumptions'!K73+'Total Duration Tables Sup #2'!G19*'Other Assumptions'!K66*'Other Assumptions'!K73</f>
        <v>102.59200364121703</v>
      </c>
      <c r="H16" s="4">
        <f ca="1">'Total Duration Tables Sup #2'!H16+'Total Duration Tables Sup #2'!H18*'Other Assumptions'!L66*'Other Assumptions'!L73+'Total Duration Tables Sup #2'!H19*'Other Assumptions'!L66*'Other Assumptions'!L73</f>
        <v>107.04412263734915</v>
      </c>
      <c r="I16" s="1">
        <f ca="1">'Total Duration Tables Sup #2'!I16+'Total Duration Tables Sup #2'!I18*'Other Assumptions'!M66*'Other Assumptions'!M73+'Total Duration Tables Sup #2'!I19*'Other Assumptions'!M66*'Other Assumptions'!M73</f>
        <v>110.26724931199507</v>
      </c>
      <c r="J16" s="1">
        <f ca="1">'Total Duration Tables Sup #2'!J16+'Total Duration Tables Sup #2'!J18*'Other Assumptions'!N66*'Other Assumptions'!N73+'Total Duration Tables Sup #2'!J19*'Other Assumptions'!N66*'Other Assumptions'!N73</f>
        <v>113.24195709811565</v>
      </c>
      <c r="K16" s="1">
        <f ca="1">'Total Duration Tables Sup #2'!K16+'Total Duration Tables Sup #2'!K18*'Other Assumptions'!O66*'Other Assumptions'!O73+'Total Duration Tables Sup #2'!K19*'Other Assumptions'!O66*'Other Assumptions'!O73</f>
        <v>116.05453756539298</v>
      </c>
    </row>
    <row r="17" spans="1:11" x14ac:dyDescent="0.2">
      <c r="A17" t="str">
        <f ca="1">OFFSET(Auckland_Reference,7,2)</f>
        <v>Cyclist</v>
      </c>
      <c r="B17" s="4">
        <f ca="1">'Total Duration Tables Sup #2'!B17</f>
        <v>4.3659429593999999</v>
      </c>
      <c r="C17" s="4">
        <f ca="1">'Total Duration Tables Sup #2'!C17+'Total Duration Tables Sup #2'!C18*'Other Assumptions'!G66*'Other Assumptions'!G72+'Total Duration Tables Sup #2'!C19*'Other Assumptions'!G66*'Other Assumptions'!G72</f>
        <v>4.8862443830221096</v>
      </c>
      <c r="D17" s="4">
        <f ca="1">'Total Duration Tables Sup #2'!D17+'Total Duration Tables Sup #2'!D18*'Other Assumptions'!H66*'Other Assumptions'!H72+'Total Duration Tables Sup #2'!D19*'Other Assumptions'!H66*'Other Assumptions'!H72</f>
        <v>6.2386199604561483</v>
      </c>
      <c r="E17" s="4">
        <f ca="1">'Total Duration Tables Sup #2'!E17+'Total Duration Tables Sup #2'!E18*'Other Assumptions'!I66*'Other Assumptions'!I72+'Total Duration Tables Sup #2'!E19*'Other Assumptions'!I66*'Other Assumptions'!I72</f>
        <v>7.534778032690296</v>
      </c>
      <c r="F17" s="4">
        <f ca="1">'Total Duration Tables Sup #2'!F17+'Total Duration Tables Sup #2'!F18*'Other Assumptions'!J66*'Other Assumptions'!J72+'Total Duration Tables Sup #2'!F19*'Other Assumptions'!J66*'Other Assumptions'!J72</f>
        <v>8.9748024668972111</v>
      </c>
      <c r="G17" s="4">
        <f ca="1">'Total Duration Tables Sup #2'!G17+'Total Duration Tables Sup #2'!G18*'Other Assumptions'!K66*'Other Assumptions'!K72+'Total Duration Tables Sup #2'!G19*'Other Assumptions'!K66*'Other Assumptions'!K72</f>
        <v>10.608484028144538</v>
      </c>
      <c r="H17" s="4">
        <f ca="1">'Total Duration Tables Sup #2'!H17+'Total Duration Tables Sup #2'!H18*'Other Assumptions'!L66*'Other Assumptions'!L72+'Total Duration Tables Sup #2'!H19*'Other Assumptions'!L66*'Other Assumptions'!L72</f>
        <v>12.372758597192675</v>
      </c>
      <c r="I17" s="1">
        <f ca="1">'Total Duration Tables Sup #2'!I17+'Total Duration Tables Sup #2'!I18*'Other Assumptions'!M66*'Other Assumptions'!M72+'Total Duration Tables Sup #2'!I19*'Other Assumptions'!M66*'Other Assumptions'!M72</f>
        <v>12.774696073163206</v>
      </c>
      <c r="J17" s="1">
        <f ca="1">'Total Duration Tables Sup #2'!J17+'Total Duration Tables Sup #2'!J18*'Other Assumptions'!N66*'Other Assumptions'!N72+'Total Duration Tables Sup #2'!J19*'Other Assumptions'!N66*'Other Assumptions'!N72</f>
        <v>13.15074943557164</v>
      </c>
      <c r="K17" s="1">
        <f ca="1">'Total Duration Tables Sup #2'!K17+'Total Duration Tables Sup #2'!K18*'Other Assumptions'!O66*'Other Assumptions'!O72+'Total Duration Tables Sup #2'!K19*'Other Assumptions'!O66*'Other Assumptions'!O72</f>
        <v>13.511853673678084</v>
      </c>
    </row>
    <row r="18" spans="1:11" x14ac:dyDescent="0.2">
      <c r="A18" t="str">
        <f ca="1">OFFSET(Auckland_Reference,14,2)</f>
        <v>Light Vehicle Driver</v>
      </c>
      <c r="B18" s="4">
        <f ca="1">'Total Duration Tables Sup #2'!B18</f>
        <v>295.36669345000001</v>
      </c>
      <c r="C18" s="4">
        <f ca="1">'Total Duration Tables Sup #2'!C18*(1-'Other Assumptions'!G7)*(1-'Other Assumptions'!G66)</f>
        <v>331.59024149492831</v>
      </c>
      <c r="D18" s="4">
        <f ca="1">'Total Duration Tables Sup #2'!D18*(1-'Other Assumptions'!H7)*(1-'Other Assumptions'!H66)</f>
        <v>349.19136080450312</v>
      </c>
      <c r="E18" s="4">
        <f ca="1">'Total Duration Tables Sup #2'!E18*(1-'Other Assumptions'!I7)*(1-'Other Assumptions'!I66)</f>
        <v>327.1184551237547</v>
      </c>
      <c r="F18" s="4">
        <f ca="1">'Total Duration Tables Sup #2'!F18*(1-'Other Assumptions'!J7)*(1-'Other Assumptions'!J66)</f>
        <v>303.25376955596641</v>
      </c>
      <c r="G18" s="4">
        <f ca="1">'Total Duration Tables Sup #2'!G18*(1-'Other Assumptions'!K7)*(1-'Other Assumptions'!K66)</f>
        <v>273.57698957039418</v>
      </c>
      <c r="H18" s="4">
        <f ca="1">'Total Duration Tables Sup #2'!H18*(1-'Other Assumptions'!L7)*(1-'Other Assumptions'!L66)</f>
        <v>240.48317895194216</v>
      </c>
      <c r="I18" s="1">
        <f ca="1">'Total Duration Tables Sup #2'!I18*(1-'Other Assumptions'!M7)*(1-'Other Assumptions'!M66)</f>
        <v>205.69011198617173</v>
      </c>
      <c r="J18" s="1">
        <f ca="1">'Total Duration Tables Sup #2'!J18*(1-'Other Assumptions'!N7)*(1-'Other Assumptions'!N66)</f>
        <v>168.33189277389354</v>
      </c>
      <c r="K18" s="1">
        <f ca="1">'Total Duration Tables Sup #2'!K18*(1-'Other Assumptions'!O7)*(1-'Other Assumptions'!O66)</f>
        <v>128.81247907728456</v>
      </c>
    </row>
    <row r="19" spans="1:11" x14ac:dyDescent="0.2">
      <c r="A19" t="str">
        <f ca="1">OFFSET(Auckland_Reference,21,2)</f>
        <v>Light Vehicle Passenger</v>
      </c>
      <c r="B19" s="4">
        <f ca="1">'Total Duration Tables Sup #2'!B19</f>
        <v>145.42645436999999</v>
      </c>
      <c r="C19" s="4">
        <f ca="1">'Total Duration Tables Sup #2'!C19*(1-'Other Assumptions'!G7)*(1-'Other Assumptions'!G66+'Other Assumptions'!G66*'Other Assumptions'!G69)+'Total Duration Tables Sup #2'!C18*(1-'Other Assumptions'!G7)*'Other Assumptions'!G66*'Other Assumptions'!G69</f>
        <v>155.88716006965109</v>
      </c>
      <c r="D19" s="4">
        <f ca="1">'Total Duration Tables Sup #2'!D19*(1-'Other Assumptions'!H7)*(1-'Other Assumptions'!H66+'Other Assumptions'!H66*'Other Assumptions'!H69)+'Total Duration Tables Sup #2'!D18*(1-'Other Assumptions'!H7)*'Other Assumptions'!H66*'Other Assumptions'!H69</f>
        <v>156.70031127467306</v>
      </c>
      <c r="E19" s="4">
        <f ca="1">'Total Duration Tables Sup #2'!E19*(1-'Other Assumptions'!I7)*(1-'Other Assumptions'!I66+'Other Assumptions'!I66*'Other Assumptions'!I69)+'Total Duration Tables Sup #2'!E18*(1-'Other Assumptions'!I7)*'Other Assumptions'!I66*'Other Assumptions'!I69</f>
        <v>140.05601317748756</v>
      </c>
      <c r="F19" s="4">
        <f ca="1">'Total Duration Tables Sup #2'!F19*(1-'Other Assumptions'!J7)*(1-'Other Assumptions'!J66+'Other Assumptions'!J66*'Other Assumptions'!J69)+'Total Duration Tables Sup #2'!F18*(1-'Other Assumptions'!J7)*'Other Assumptions'!J66*'Other Assumptions'!J69</f>
        <v>124.87851125621745</v>
      </c>
      <c r="G19" s="4">
        <f ca="1">'Total Duration Tables Sup #2'!G19*(1-'Other Assumptions'!K7)*(1-'Other Assumptions'!K66+'Other Assumptions'!K66*'Other Assumptions'!K69)+'Total Duration Tables Sup #2'!G18*(1-'Other Assumptions'!K7)*'Other Assumptions'!K66*'Other Assumptions'!K69</f>
        <v>108.76368045136432</v>
      </c>
      <c r="H19" s="4">
        <f ca="1">'Total Duration Tables Sup #2'!H19*(1-'Other Assumptions'!L7)*(1-'Other Assumptions'!L66+'Other Assumptions'!L66*'Other Assumptions'!L69)+'Total Duration Tables Sup #2'!H18*(1-'Other Assumptions'!L7)*'Other Assumptions'!L66*'Other Assumptions'!L69</f>
        <v>92.184479514863881</v>
      </c>
      <c r="I19" s="1">
        <f ca="1">'Total Duration Tables Sup #2'!I19*(1-'Other Assumptions'!M7)*(1-'Other Assumptions'!M66+'Other Assumptions'!M66*'Other Assumptions'!M69)+'Total Duration Tables Sup #2'!I18*(1-'Other Assumptions'!M7)*'Other Assumptions'!M66*'Other Assumptions'!M69</f>
        <v>78.183923493742043</v>
      </c>
      <c r="J19" s="1">
        <f ca="1">'Total Duration Tables Sup #2'!J19*(1-'Other Assumptions'!N7)*(1-'Other Assumptions'!N66+'Other Assumptions'!N66*'Other Assumptions'!N69)+'Total Duration Tables Sup #2'!J18*(1-'Other Assumptions'!N7)*'Other Assumptions'!N66*'Other Assumptions'!N69</f>
        <v>63.398446145219332</v>
      </c>
      <c r="K19" s="1">
        <f ca="1">'Total Duration Tables Sup #2'!K19*(1-'Other Assumptions'!O7)*(1-'Other Assumptions'!O66+'Other Assumptions'!O66*'Other Assumptions'!O69)+'Total Duration Tables Sup #2'!K18*(1-'Other Assumptions'!O7)*'Other Assumptions'!O66*'Other Assumptions'!O69</f>
        <v>48.008277739736201</v>
      </c>
    </row>
    <row r="20" spans="1:11" x14ac:dyDescent="0.2">
      <c r="A20" t="str">
        <f ca="1">OFFSET(Auckland_Reference,28,2)</f>
        <v>Taxi/Vehicle Share</v>
      </c>
      <c r="B20" s="4">
        <f ca="1">'Total Duration Tables Sup #2'!B20</f>
        <v>1.9131795197999999</v>
      </c>
      <c r="C20" s="4">
        <f ca="1">'Total Duration Tables Sup #2'!C20+((C18+C19)*'Other Assumptions'!G7/(1-'Other Assumptions'!G7))</f>
        <v>2.2411733650548</v>
      </c>
      <c r="D20" s="4">
        <f ca="1">'Total Duration Tables Sup #2'!D20+((D18+D19)*'Other Assumptions'!H7/(1-'Other Assumptions'!H7))</f>
        <v>2.5029620513320605</v>
      </c>
      <c r="E20" s="4">
        <f ca="1">'Total Duration Tables Sup #2'!E20+((E18+E19)*'Other Assumptions'!I7/(1-'Other Assumptions'!I7))</f>
        <v>54.631394960601497</v>
      </c>
      <c r="F20" s="4">
        <f ca="1">'Total Duration Tables Sup #2'!F20+((F18+F19)*'Other Assumptions'!J7/(1-'Other Assumptions'!J7))</f>
        <v>109.95130416174561</v>
      </c>
      <c r="G20" s="4">
        <f ca="1">'Total Duration Tables Sup #2'!G20+((G18+G19)*'Other Assumptions'!K7/(1-'Other Assumptions'!K7))</f>
        <v>166.92155243595258</v>
      </c>
      <c r="H20" s="4">
        <f ca="1">'Total Duration Tables Sup #2'!H20+((H18+H19)*'Other Assumptions'!L7/(1-'Other Assumptions'!L7))</f>
        <v>224.97088259140781</v>
      </c>
      <c r="I20" s="1">
        <f ca="1">'Total Duration Tables Sup #2'!I20+((I18+I19)*'Other Assumptions'!M7/(1-'Other Assumptions'!M7))</f>
        <v>287.16126554813502</v>
      </c>
      <c r="J20" s="1">
        <f ca="1">'Total Duration Tables Sup #2'!J20+((J18+J19)*'Other Assumptions'!N7/(1-'Other Assumptions'!N7))</f>
        <v>350.97035383768161</v>
      </c>
      <c r="K20" s="1">
        <f ca="1">'Total Duration Tables Sup #2'!K20+((K18+K19)*'Other Assumptions'!O7/(1-'Other Assumptions'!O7))</f>
        <v>416.03991444634494</v>
      </c>
    </row>
    <row r="21" spans="1:11" x14ac:dyDescent="0.2">
      <c r="A21" t="str">
        <f ca="1">OFFSET(Auckland_Reference,35,2)</f>
        <v>Motorcyclist</v>
      </c>
      <c r="B21" s="4">
        <f ca="1">'Total Duration Tables Sup #2'!B21</f>
        <v>1.5334409518000001</v>
      </c>
      <c r="C21" s="4">
        <f ca="1">'Total Duration Tables Sup #2'!C21</f>
        <v>1.7116236718392628</v>
      </c>
      <c r="D21" s="4">
        <f ca="1">'Total Duration Tables Sup #2'!D21</f>
        <v>1.8203646399550641</v>
      </c>
      <c r="E21" s="4">
        <f ca="1">'Total Duration Tables Sup #2'!E21</f>
        <v>1.8993593411484637</v>
      </c>
      <c r="F21" s="4">
        <f ca="1">'Total Duration Tables Sup #2'!F21</f>
        <v>1.9697930695976613</v>
      </c>
      <c r="G21" s="4">
        <f ca="1">'Total Duration Tables Sup #2'!G21</f>
        <v>2.0110982446004462</v>
      </c>
      <c r="H21" s="4">
        <f ca="1">'Total Duration Tables Sup #2'!H21</f>
        <v>2.0407022319434507</v>
      </c>
      <c r="I21" s="1">
        <f ca="1">'Total Duration Tables Sup #2'!I21</f>
        <v>2.1148479437333316</v>
      </c>
      <c r="J21" s="1">
        <f ca="1">'Total Duration Tables Sup #2'!J21</f>
        <v>2.1852143650500024</v>
      </c>
      <c r="K21" s="1">
        <f ca="1">'Total Duration Tables Sup #2'!K21</f>
        <v>2.2535736885879647</v>
      </c>
    </row>
    <row r="22" spans="1:11" x14ac:dyDescent="0.2">
      <c r="A22" t="str">
        <f ca="1">OFFSET(Auckland_Reference,42,2)</f>
        <v>Local Train</v>
      </c>
      <c r="B22" s="4">
        <f ca="1">'Total Duration Tables Sup #2'!B22</f>
        <v>5.3839181294388831</v>
      </c>
      <c r="C22" s="4">
        <f ca="1">'Total Duration Tables Sup #2'!C22+'Total Duration Tables Sup #2'!C18*'Other Assumptions'!G66*'Other Assumptions'!G71+'Total Duration Tables Sup #2'!C19*'Other Assumptions'!G66*'Other Assumptions'!G71</f>
        <v>10.741581901885192</v>
      </c>
      <c r="D22" s="4">
        <f ca="1">'Total Duration Tables Sup #2'!D22+'Total Duration Tables Sup #2'!D18*'Other Assumptions'!H66*'Other Assumptions'!H71+'Total Duration Tables Sup #2'!D19*'Other Assumptions'!H66*'Other Assumptions'!H71</f>
        <v>21.123809927385704</v>
      </c>
      <c r="E22" s="4">
        <f ca="1">'Total Duration Tables Sup #2'!E22+'Total Duration Tables Sup #2'!E18*'Other Assumptions'!I66*'Other Assumptions'!I71+'Total Duration Tables Sup #2'!E19*'Other Assumptions'!I66*'Other Assumptions'!I71</f>
        <v>30.572710417109107</v>
      </c>
      <c r="F22" s="4">
        <f ca="1">'Total Duration Tables Sup #2'!F22+'Total Duration Tables Sup #2'!F18*'Other Assumptions'!J66*'Other Assumptions'!J71+'Total Duration Tables Sup #2'!F19*'Other Assumptions'!J66*'Other Assumptions'!J71</f>
        <v>34.362811318382597</v>
      </c>
      <c r="G22" s="4">
        <f ca="1">'Total Duration Tables Sup #2'!G22+'Total Duration Tables Sup #2'!G18*'Other Assumptions'!K66*'Other Assumptions'!K71+'Total Duration Tables Sup #2'!G19*'Other Assumptions'!K66*'Other Assumptions'!K71</f>
        <v>37.848390141106812</v>
      </c>
      <c r="H22" s="4">
        <f ca="1">'Total Duration Tables Sup #2'!H22+'Total Duration Tables Sup #2'!H18*'Other Assumptions'!L66*'Other Assumptions'!L71+'Total Duration Tables Sup #2'!H19*'Other Assumptions'!L66*'Other Assumptions'!L71</f>
        <v>41.031745457375322</v>
      </c>
      <c r="I22" s="1">
        <f ca="1">'Total Duration Tables Sup #2'!I22+'Total Duration Tables Sup #2'!I18*'Other Assumptions'!M66*'Other Assumptions'!M71+'Total Duration Tables Sup #2'!I19*'Other Assumptions'!M66*'Other Assumptions'!M71</f>
        <v>45.241904697743571</v>
      </c>
      <c r="J22" s="1">
        <f ca="1">'Total Duration Tables Sup #2'!J22+'Total Duration Tables Sup #2'!J18*'Other Assumptions'!N66*'Other Assumptions'!N71+'Total Duration Tables Sup #2'!J19*'Other Assumptions'!N66*'Other Assumptions'!N71</f>
        <v>49.670820125669664</v>
      </c>
      <c r="K22" s="1">
        <f ca="1">'Total Duration Tables Sup #2'!K22+'Total Duration Tables Sup #2'!K18*'Other Assumptions'!O66*'Other Assumptions'!O71+'Total Duration Tables Sup #2'!K19*'Other Assumptions'!O66*'Other Assumptions'!O71</f>
        <v>54.545160435145014</v>
      </c>
    </row>
    <row r="23" spans="1:11" x14ac:dyDescent="0.2">
      <c r="A23" t="str">
        <f ca="1">OFFSET(Auckland_Reference,49,2)</f>
        <v>Local Bus</v>
      </c>
      <c r="B23" s="4">
        <f ca="1">'Total Duration Tables Sup #2'!B23</f>
        <v>22.597670440041398</v>
      </c>
      <c r="C23" s="4">
        <f ca="1">'Total Duration Tables Sup #2'!C23+'Total Duration Tables Sup #2'!C18*'Other Assumptions'!G66*'Other Assumptions'!G70+'Total Duration Tables Sup #2'!C19*'Other Assumptions'!G66*'Other Assumptions'!G70</f>
        <v>24.032137116452621</v>
      </c>
      <c r="D23" s="4">
        <f ca="1">'Total Duration Tables Sup #2'!D23+'Total Duration Tables Sup #2'!D18*'Other Assumptions'!H66*'Other Assumptions'!H70+'Total Duration Tables Sup #2'!D19*'Other Assumptions'!H66*'Other Assumptions'!H70</f>
        <v>31.523641717779523</v>
      </c>
      <c r="E23" s="4">
        <f ca="1">'Total Duration Tables Sup #2'!E23+'Total Duration Tables Sup #2'!E18*'Other Assumptions'!I66*'Other Assumptions'!I70+'Total Duration Tables Sup #2'!E19*'Other Assumptions'!I66*'Other Assumptions'!I70</f>
        <v>37.510431204569102</v>
      </c>
      <c r="F23" s="4">
        <f ca="1">'Total Duration Tables Sup #2'!F23+'Total Duration Tables Sup #2'!F18*'Other Assumptions'!J66*'Other Assumptions'!J70+'Total Duration Tables Sup #2'!F19*'Other Assumptions'!J66*'Other Assumptions'!J70</f>
        <v>39.849532943535117</v>
      </c>
      <c r="G23" s="4">
        <f ca="1">'Total Duration Tables Sup #2'!G23+'Total Duration Tables Sup #2'!G18*'Other Assumptions'!K66*'Other Assumptions'!K70+'Total Duration Tables Sup #2'!G19*'Other Assumptions'!K66*'Other Assumptions'!K70</f>
        <v>41.722534068270086</v>
      </c>
      <c r="H23" s="4">
        <f ca="1">'Total Duration Tables Sup #2'!H23+'Total Duration Tables Sup #2'!H18*'Other Assumptions'!L66*'Other Assumptions'!L70+'Total Duration Tables Sup #2'!H19*'Other Assumptions'!L66*'Other Assumptions'!L70</f>
        <v>43.20734485658479</v>
      </c>
      <c r="I23" s="1">
        <f ca="1">'Total Duration Tables Sup #2'!I23+'Total Duration Tables Sup #2'!I18*'Other Assumptions'!M66*'Other Assumptions'!M70+'Total Duration Tables Sup #2'!I19*'Other Assumptions'!M66*'Other Assumptions'!M70</f>
        <v>46.742468832819526</v>
      </c>
      <c r="J23" s="1">
        <f ca="1">'Total Duration Tables Sup #2'!J23+'Total Duration Tables Sup #2'!J18*'Other Assumptions'!N66*'Other Assumptions'!N70+'Total Duration Tables Sup #2'!J19*'Other Assumptions'!N66*'Other Assumptions'!N70</f>
        <v>50.423490753770821</v>
      </c>
      <c r="K23" s="1">
        <f ca="1">'Total Duration Tables Sup #2'!K23+'Total Duration Tables Sup #2'!K18*'Other Assumptions'!O66*'Other Assumptions'!O70+'Total Duration Tables Sup #2'!K19*'Other Assumptions'!O66*'Other Assumptions'!O70</f>
        <v>54.406227279069945</v>
      </c>
    </row>
    <row r="24" spans="1:11" x14ac:dyDescent="0.2">
      <c r="A24" t="str">
        <f ca="1">OFFSET(Auckland_Reference,56,2)</f>
        <v>Local Ferry</v>
      </c>
      <c r="B24" s="4">
        <f ca="1">'Total Duration Tables Sup #2'!B24</f>
        <v>1.3948644118033415</v>
      </c>
      <c r="C24" s="4">
        <f ca="1">'Total Duration Tables Sup #2'!C24</f>
        <v>1.593763278897623</v>
      </c>
      <c r="D24" s="4">
        <f ca="1">'Total Duration Tables Sup #2'!D24</f>
        <v>1.7277670426595511</v>
      </c>
      <c r="E24" s="4">
        <f ca="1">'Total Duration Tables Sup #2'!E24</f>
        <v>1.8145321084922603</v>
      </c>
      <c r="F24" s="4">
        <f ca="1">'Total Duration Tables Sup #2'!F24</f>
        <v>1.8780721537815597</v>
      </c>
      <c r="G24" s="4">
        <f ca="1">'Total Duration Tables Sup #2'!G24</f>
        <v>1.971621469119837</v>
      </c>
      <c r="H24" s="4">
        <f ca="1">'Total Duration Tables Sup #2'!H24</f>
        <v>2.0502848652743397</v>
      </c>
      <c r="I24" s="1">
        <f ca="1">'Total Duration Tables Sup #2'!I24</f>
        <v>2.1022886037371458</v>
      </c>
      <c r="J24" s="1">
        <f ca="1">'Total Duration Tables Sup #2'!J24</f>
        <v>2.1494065368097606</v>
      </c>
      <c r="K24" s="1">
        <f ca="1">'Total Duration Tables Sup #2'!K24</f>
        <v>2.1935211788828273</v>
      </c>
    </row>
    <row r="25" spans="1:11" x14ac:dyDescent="0.2">
      <c r="A25" t="str">
        <f ca="1">OFFSET(Auckland_Reference,63,2)</f>
        <v>Other Household Travel</v>
      </c>
      <c r="B25" s="4">
        <f ca="1">'Total Duration Tables Sup #2'!B25</f>
        <v>2.4325058500000001</v>
      </c>
      <c r="C25" s="4">
        <f ca="1">'Total Duration Tables Sup #2'!C25</f>
        <v>2.7269866129336418</v>
      </c>
      <c r="D25" s="4">
        <f ca="1">'Total Duration Tables Sup #2'!D25</f>
        <v>2.9498841914385858</v>
      </c>
      <c r="E25" s="4">
        <f ca="1">'Total Duration Tables Sup #2'!E25</f>
        <v>3.087699177882794</v>
      </c>
      <c r="F25" s="4">
        <f ca="1">'Total Duration Tables Sup #2'!F25</f>
        <v>3.1995063006377706</v>
      </c>
      <c r="G25" s="4">
        <f ca="1">'Total Duration Tables Sup #2'!G25</f>
        <v>3.3169450781524148</v>
      </c>
      <c r="H25" s="4">
        <f ca="1">'Total Duration Tables Sup #2'!H25</f>
        <v>3.409942487821334</v>
      </c>
      <c r="I25" s="1">
        <f ca="1">'Total Duration Tables Sup #2'!I25</f>
        <v>3.514498745223094</v>
      </c>
      <c r="J25" s="1">
        <f ca="1">'Total Duration Tables Sup #2'!J25</f>
        <v>3.6117032498919999</v>
      </c>
      <c r="K25" s="1">
        <f ca="1">'Total Duration Tables Sup #2'!K25</f>
        <v>3.7046018593530299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'Total Duration Tables Sup #2'!B27</f>
        <v>13.69170819</v>
      </c>
      <c r="C27" s="4">
        <f ca="1">'Total Duration Tables Sup #2'!C27</f>
        <v>14.723080176659934</v>
      </c>
      <c r="D27" s="4">
        <f ca="1">'Total Duration Tables Sup #2'!D27</f>
        <v>15.808594713630225</v>
      </c>
      <c r="E27" s="4">
        <f ca="1">'Total Duration Tables Sup #2'!E27</f>
        <v>16.656782813125627</v>
      </c>
      <c r="F27" s="4">
        <f ca="1">'Total Duration Tables Sup #2'!F27</f>
        <v>17.344488331383509</v>
      </c>
      <c r="G27" s="4">
        <f ca="1">'Total Duration Tables Sup #2'!G27</f>
        <v>17.945177385637784</v>
      </c>
      <c r="H27" s="4">
        <f ca="1">'Total Duration Tables Sup #2'!H27</f>
        <v>18.465547223668182</v>
      </c>
      <c r="I27" s="1">
        <f ca="1">'Total Duration Tables Sup #2'!I27</f>
        <v>18.750363645978457</v>
      </c>
      <c r="J27" s="1">
        <f ca="1">'Total Duration Tables Sup #2'!J27</f>
        <v>18.977891459603839</v>
      </c>
      <c r="K27" s="1">
        <f ca="1">'Total Duration Tables Sup #2'!K27</f>
        <v>19.165749553701577</v>
      </c>
    </row>
    <row r="28" spans="1:11" x14ac:dyDescent="0.2">
      <c r="A28" t="str">
        <f ca="1">OFFSET(Waikato_Reference,7,2)</f>
        <v>Cyclist</v>
      </c>
      <c r="B28" s="4">
        <f ca="1">'Total Duration Tables Sup #2'!B28</f>
        <v>1.7805943500000001</v>
      </c>
      <c r="C28" s="4">
        <f ca="1">'Total Duration Tables Sup #2'!C28</f>
        <v>1.9671240888224482</v>
      </c>
      <c r="D28" s="4">
        <f ca="1">'Total Duration Tables Sup #2'!D28</f>
        <v>2.4660960093504727</v>
      </c>
      <c r="E28" s="4">
        <f ca="1">'Total Duration Tables Sup #2'!E28</f>
        <v>2.9353589815060039</v>
      </c>
      <c r="F28" s="4">
        <f ca="1">'Total Duration Tables Sup #2'!F28</f>
        <v>3.4440132214829959</v>
      </c>
      <c r="G28" s="4">
        <f ca="1">'Total Duration Tables Sup #2'!G28</f>
        <v>4.009121495350346</v>
      </c>
      <c r="H28" s="4">
        <f ca="1">'Total Duration Tables Sup #2'!H28</f>
        <v>4.6038017073474178</v>
      </c>
      <c r="I28" s="1">
        <f ca="1">'Total Duration Tables Sup #2'!I28</f>
        <v>4.6787089364947514</v>
      </c>
      <c r="J28" s="1">
        <f ca="1">'Total Duration Tables Sup #2'!J28</f>
        <v>4.7393974105917742</v>
      </c>
      <c r="K28" s="1">
        <f ca="1">'Total Duration Tables Sup #2'!K28</f>
        <v>4.7902375669621886</v>
      </c>
    </row>
    <row r="29" spans="1:11" x14ac:dyDescent="0.2">
      <c r="A29" t="str">
        <f ca="1">OFFSET(Waikato_Reference,14,2)</f>
        <v>Light Vehicle Driver</v>
      </c>
      <c r="B29" s="4">
        <f ca="1">'Total Duration Tables Sup #2'!B29</f>
        <v>82.274552721999996</v>
      </c>
      <c r="C29" s="4">
        <f ca="1">'Total Duration Tables Sup #2'!C29*(1-'Other Assumptions'!G8)</f>
        <v>91.543737138214851</v>
      </c>
      <c r="D29" s="4">
        <f ca="1">'Total Duration Tables Sup #2'!D29*(1-'Other Assumptions'!H8)</f>
        <v>96.25773301453556</v>
      </c>
      <c r="E29" s="4">
        <f ca="1">'Total Duration Tables Sup #2'!E29*(1-'Other Assumptions'!I8)</f>
        <v>90.213049645473546</v>
      </c>
      <c r="F29" s="4">
        <f ca="1">'Total Duration Tables Sup #2'!F29*(1-'Other Assumptions'!J8)</f>
        <v>82.952257126059479</v>
      </c>
      <c r="G29" s="4">
        <f ca="1">'Total Duration Tables Sup #2'!G29*(1-'Other Assumptions'!K8)</f>
        <v>74.203773107282416</v>
      </c>
      <c r="H29" s="4">
        <f ca="1">'Total Duration Tables Sup #2'!H29*(1-'Other Assumptions'!L8)</f>
        <v>64.660694455092326</v>
      </c>
      <c r="I29" s="1">
        <f ca="1">'Total Duration Tables Sup #2'!I29*(1-'Other Assumptions'!M8)</f>
        <v>54.745373181334855</v>
      </c>
      <c r="J29" s="1">
        <f ca="1">'Total Duration Tables Sup #2'!J29*(1-'Other Assumptions'!N8)</f>
        <v>44.352090776670401</v>
      </c>
      <c r="K29" s="1">
        <f ca="1">'Total Duration Tables Sup #2'!K29*(1-'Other Assumptions'!O8)</f>
        <v>33.611617781287833</v>
      </c>
    </row>
    <row r="30" spans="1:11" x14ac:dyDescent="0.2">
      <c r="A30" t="str">
        <f ca="1">OFFSET(Waikato_Reference,21,2)</f>
        <v>Light Vehicle Passenger</v>
      </c>
      <c r="B30" s="4">
        <f ca="1">'Total Duration Tables Sup #2'!B30</f>
        <v>42.037273755000001</v>
      </c>
      <c r="C30" s="4">
        <f ca="1">'Total Duration Tables Sup #2'!C30*(1-'Other Assumptions'!G8)</f>
        <v>44.863384114770895</v>
      </c>
      <c r="D30" s="4">
        <f ca="1">'Total Duration Tables Sup #2'!D30*(1-'Other Assumptions'!H8)</f>
        <v>45.96906698233667</v>
      </c>
      <c r="E30" s="4">
        <f ca="1">'Total Duration Tables Sup #2'!E30*(1-'Other Assumptions'!I8)</f>
        <v>41.983642107799731</v>
      </c>
      <c r="F30" s="4">
        <f ca="1">'Total Duration Tables Sup #2'!F30*(1-'Other Assumptions'!J8)</f>
        <v>37.591063143141966</v>
      </c>
      <c r="G30" s="4">
        <f ca="1">'Total Duration Tables Sup #2'!G30*(1-'Other Assumptions'!K8)</f>
        <v>32.885979285849828</v>
      </c>
      <c r="H30" s="4">
        <f ca="1">'Total Duration Tables Sup #2'!H30*(1-'Other Assumptions'!L8)</f>
        <v>28.020876006407587</v>
      </c>
      <c r="I30" s="1">
        <f ca="1">'Total Duration Tables Sup #2'!I30*(1-'Other Assumptions'!M8)</f>
        <v>23.738353482853455</v>
      </c>
      <c r="J30" s="1">
        <f ca="1">'Total Duration Tables Sup #2'!J30*(1-'Other Assumptions'!N8)</f>
        <v>19.243211103128651</v>
      </c>
      <c r="K30" s="1">
        <f ca="1">'Total Duration Tables Sup #2'!K30*(1-'Other Assumptions'!O8)</f>
        <v>14.591887199431573</v>
      </c>
    </row>
    <row r="31" spans="1:11" x14ac:dyDescent="0.2">
      <c r="A31" t="str">
        <f ca="1">OFFSET(Waikato_Reference,28,2)</f>
        <v>Taxi/Vehicle Share</v>
      </c>
      <c r="B31" s="4">
        <f ca="1">'Total Duration Tables Sup #2'!B31</f>
        <v>0.1633822556</v>
      </c>
      <c r="C31" s="4">
        <f ca="1">'Total Duration Tables Sup #2'!C31+((C29+C30)*'Other Assumptions'!G8/(1-'Other Assumptions'!G8))</f>
        <v>0.18892709887277406</v>
      </c>
      <c r="D31" s="4">
        <f ca="1">'Total Duration Tables Sup #2'!D31+((D29+D30)*'Other Assumptions'!H8/(1-'Other Assumptions'!H8))</f>
        <v>0.20717528541286973</v>
      </c>
      <c r="E31" s="4">
        <f ca="1">'Total Duration Tables Sup #2'!E31+((E29+E30)*'Other Assumptions'!I8/(1-'Other Assumptions'!I8))</f>
        <v>14.910657783608789</v>
      </c>
      <c r="F31" s="4">
        <f ca="1">'Total Duration Tables Sup #2'!F31+((F29+F30)*'Other Assumptions'!J8/(1-'Other Assumptions'!J8))</f>
        <v>30.37031894552721</v>
      </c>
      <c r="G31" s="4">
        <f ca="1">'Total Duration Tables Sup #2'!G31+((G29+G30)*'Other Assumptions'!K8/(1-'Other Assumptions'!K8))</f>
        <v>46.137855548044087</v>
      </c>
      <c r="H31" s="4">
        <f ca="1">'Total Duration Tables Sup #2'!H31+((H29+H30)*'Other Assumptions'!L8/(1-'Other Assumptions'!L8))</f>
        <v>62.036447859829451</v>
      </c>
      <c r="I31" s="1">
        <f ca="1">'Total Duration Tables Sup #2'!I31+((I29+I30)*'Other Assumptions'!M8/(1-'Other Assumptions'!M8))</f>
        <v>78.735823725675885</v>
      </c>
      <c r="J31" s="1">
        <f ca="1">'Total Duration Tables Sup #2'!J31+((J29+J30)*'Other Assumptions'!N8/(1-'Other Assumptions'!N8))</f>
        <v>95.647629244730069</v>
      </c>
      <c r="K31" s="1">
        <f ca="1">'Total Duration Tables Sup #2'!K31+((K29+K30)*'Other Assumptions'!O8/(1-'Other Assumptions'!O8))</f>
        <v>112.7315580327476</v>
      </c>
    </row>
    <row r="32" spans="1:11" x14ac:dyDescent="0.2">
      <c r="A32" t="str">
        <f ca="1">OFFSET(Waikato_Reference,35,2)</f>
        <v>Motorcyclist</v>
      </c>
      <c r="B32" s="4">
        <f ca="1">'Total Duration Tables Sup #2'!B32</f>
        <v>0.60639269429999998</v>
      </c>
      <c r="C32" s="4">
        <f ca="1">'Total Duration Tables Sup #2'!C32</f>
        <v>0.66813592835104996</v>
      </c>
      <c r="D32" s="4">
        <f ca="1">'Total Duration Tables Sup #2'!D32</f>
        <v>0.69771781230213603</v>
      </c>
      <c r="E32" s="4">
        <f ca="1">'Total Duration Tables Sup #2'!E32</f>
        <v>0.71746028333122447</v>
      </c>
      <c r="F32" s="4">
        <f ca="1">'Total Duration Tables Sup #2'!F32</f>
        <v>0.73292660379298702</v>
      </c>
      <c r="G32" s="4">
        <f ca="1">'Total Duration Tables Sup #2'!G32</f>
        <v>0.73693493859054604</v>
      </c>
      <c r="H32" s="4">
        <f ca="1">'Total Duration Tables Sup #2'!H32</f>
        <v>0.73625741055774108</v>
      </c>
      <c r="I32" s="1">
        <f ca="1">'Total Duration Tables Sup #2'!I32</f>
        <v>0.75102530237092668</v>
      </c>
      <c r="J32" s="1">
        <f ca="1">'Total Duration Tables Sup #2'!J32</f>
        <v>0.76360126661903704</v>
      </c>
      <c r="K32" s="1">
        <f ca="1">'Total Duration Tables Sup #2'!K32</f>
        <v>0.7746648524030243</v>
      </c>
    </row>
    <row r="33" spans="1:11" x14ac:dyDescent="0.2">
      <c r="A33" t="str">
        <f ca="1">OFFSET(Waikato_Reference,42,2)</f>
        <v>Local Train</v>
      </c>
      <c r="B33" s="4">
        <f ca="1">'Total Duration Tables Sup #2'!B33</f>
        <v>0</v>
      </c>
      <c r="C33" s="4">
        <f ca="1">'Total Duration Tables Sup #2'!C33</f>
        <v>0</v>
      </c>
      <c r="D33" s="4">
        <f ca="1">'Total Duration Tables Sup #2'!D33</f>
        <v>0</v>
      </c>
      <c r="E33" s="4">
        <f ca="1">'Total Duration Tables Sup #2'!E33</f>
        <v>0</v>
      </c>
      <c r="F33" s="4">
        <f ca="1">'Total Duration Tables Sup #2'!F33</f>
        <v>0</v>
      </c>
      <c r="G33" s="4">
        <f ca="1">'Total Duration Tables Sup #2'!G33</f>
        <v>0</v>
      </c>
      <c r="H33" s="4">
        <f ca="1">'Total Duration Tables Sup #2'!H33</f>
        <v>0</v>
      </c>
      <c r="I33" s="1">
        <f ca="1">'Total Duration Tables Sup #2'!I33</f>
        <v>0</v>
      </c>
      <c r="J33" s="1">
        <f ca="1">'Total Duration Tables Sup #2'!J33</f>
        <v>0</v>
      </c>
      <c r="K33" s="1">
        <f ca="1">'Total Duration Tables Sup #2'!K33</f>
        <v>0</v>
      </c>
    </row>
    <row r="34" spans="1:11" x14ac:dyDescent="0.2">
      <c r="A34" t="str">
        <f ca="1">OFFSET(Waikato_Reference,49,2)</f>
        <v>Local Bus</v>
      </c>
      <c r="B34" s="4">
        <f ca="1">'Total Duration Tables Sup #2'!B34</f>
        <v>2.2088814398999999</v>
      </c>
      <c r="C34" s="4">
        <f ca="1">'Total Duration Tables Sup #2'!C34</f>
        <v>2.2285481327347942</v>
      </c>
      <c r="D34" s="4">
        <f ca="1">'Total Duration Tables Sup #2'!D34</f>
        <v>2.2184916492050939</v>
      </c>
      <c r="E34" s="4">
        <f ca="1">'Total Duration Tables Sup #2'!E34</f>
        <v>2.2140748532098713</v>
      </c>
      <c r="F34" s="4">
        <f ca="1">'Total Duration Tables Sup #2'!F34</f>
        <v>2.1772625262078744</v>
      </c>
      <c r="G34" s="4">
        <f ca="1">'Total Duration Tables Sup #2'!G34</f>
        <v>2.1486047904553742</v>
      </c>
      <c r="H34" s="4">
        <f ca="1">'Total Duration Tables Sup #2'!H34</f>
        <v>2.1095685298222233</v>
      </c>
      <c r="I34" s="1">
        <f ca="1">'Total Duration Tables Sup #2'!I34</f>
        <v>2.1477506916753502</v>
      </c>
      <c r="J34" s="1">
        <f ca="1">'Total Duration Tables Sup #2'!J34</f>
        <v>2.1794976588808592</v>
      </c>
      <c r="K34" s="1">
        <f ca="1">'Total Duration Tables Sup #2'!K34</f>
        <v>2.2067841658721643</v>
      </c>
    </row>
    <row r="35" spans="1:11" x14ac:dyDescent="0.2">
      <c r="A35" t="str">
        <f ca="1">OFFSET(Waikato_Reference,56,2)</f>
        <v>Local Ferry</v>
      </c>
      <c r="B35" s="4">
        <f ca="1">'Total Duration Tables Sup #2'!B35</f>
        <v>9.334266179999999E-2</v>
      </c>
      <c r="C35" s="4">
        <f ca="1">'Total Duration Tables Sup #2'!C35</f>
        <v>0.10527897365494616</v>
      </c>
      <c r="D35" s="4">
        <f ca="1">'Total Duration Tables Sup #2'!D35</f>
        <v>0.11206445652019897</v>
      </c>
      <c r="E35" s="4">
        <f ca="1">'Total Duration Tables Sup #2'!E35</f>
        <v>0.11598896401900829</v>
      </c>
      <c r="F35" s="4">
        <f ca="1">'Total Duration Tables Sup #2'!F35</f>
        <v>0.11825334614396754</v>
      </c>
      <c r="G35" s="4">
        <f ca="1">'Total Duration Tables Sup #2'!G35</f>
        <v>0.12225895604254741</v>
      </c>
      <c r="H35" s="4">
        <f ca="1">'Total Duration Tables Sup #2'!H35</f>
        <v>0.12517728553488877</v>
      </c>
      <c r="I35" s="1">
        <f ca="1">'Total Duration Tables Sup #2'!I35</f>
        <v>0.12633655836811378</v>
      </c>
      <c r="J35" s="1">
        <f ca="1">'Total Duration Tables Sup #2'!J35</f>
        <v>0.12710201710762417</v>
      </c>
      <c r="K35" s="1">
        <f ca="1">'Total Duration Tables Sup #2'!K35</f>
        <v>0.12759839294083403</v>
      </c>
    </row>
    <row r="36" spans="1:11" x14ac:dyDescent="0.2">
      <c r="A36" t="str">
        <f ca="1">OFFSET(Waikato_Reference,63,2)</f>
        <v>Other Household Travel</v>
      </c>
      <c r="B36" s="4">
        <f ca="1">'Total Duration Tables Sup #2'!B36</f>
        <v>0.63404452519999999</v>
      </c>
      <c r="C36" s="4">
        <f ca="1">'Total Duration Tables Sup #2'!C36</f>
        <v>0.70164673450549786</v>
      </c>
      <c r="D36" s="4">
        <f ca="1">'Total Duration Tables Sup #2'!D36</f>
        <v>0.74525576870205212</v>
      </c>
      <c r="E36" s="4">
        <f ca="1">'Total Duration Tables Sup #2'!E36</f>
        <v>0.76878459140198585</v>
      </c>
      <c r="F36" s="4">
        <f ca="1">'Total Duration Tables Sup #2'!F36</f>
        <v>0.78469667258879605</v>
      </c>
      <c r="G36" s="4">
        <f ca="1">'Total Duration Tables Sup #2'!G36</f>
        <v>0.80114864267278363</v>
      </c>
      <c r="H36" s="4">
        <f ca="1">'Total Duration Tables Sup #2'!H36</f>
        <v>0.81091634498245002</v>
      </c>
      <c r="I36" s="1">
        <f ca="1">'Total Duration Tables Sup #2'!I36</f>
        <v>0.82265506223519724</v>
      </c>
      <c r="J36" s="1">
        <f ca="1">'Total Duration Tables Sup #2'!J36</f>
        <v>0.8318856133752951</v>
      </c>
      <c r="K36" s="1">
        <f ca="1">'Total Duration Tables Sup #2'!K36</f>
        <v>0.83938767727532126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'Total Duration Tables Sup #2'!B38</f>
        <v>9.1706746114000008</v>
      </c>
      <c r="C38" s="4">
        <f ca="1">'Total Duration Tables Sup #2'!C38</f>
        <v>9.7140310625465176</v>
      </c>
      <c r="D38" s="4">
        <f ca="1">'Total Duration Tables Sup #2'!D38</f>
        <v>10.33687306690601</v>
      </c>
      <c r="E38" s="4">
        <f ca="1">'Total Duration Tables Sup #2'!E38</f>
        <v>10.811394644550161</v>
      </c>
      <c r="F38" s="4">
        <f ca="1">'Total Duration Tables Sup #2'!F38</f>
        <v>11.176188954944049</v>
      </c>
      <c r="G38" s="4">
        <f ca="1">'Total Duration Tables Sup #2'!G38</f>
        <v>11.476728409606286</v>
      </c>
      <c r="H38" s="4">
        <f ca="1">'Total Duration Tables Sup #2'!H38</f>
        <v>11.722989743336855</v>
      </c>
      <c r="I38" s="1">
        <f ca="1">'Total Duration Tables Sup #2'!I38</f>
        <v>11.815951282246433</v>
      </c>
      <c r="J38" s="1">
        <f ca="1">'Total Duration Tables Sup #2'!J38</f>
        <v>11.870414529035182</v>
      </c>
      <c r="K38" s="1">
        <f ca="1">'Total Duration Tables Sup #2'!K38</f>
        <v>11.898109140065442</v>
      </c>
    </row>
    <row r="39" spans="1:11" x14ac:dyDescent="0.2">
      <c r="A39" t="str">
        <f ca="1">OFFSET(BOP_Reference,7,2)</f>
        <v>Cyclist</v>
      </c>
      <c r="B39" s="4">
        <f ca="1">'Total Duration Tables Sup #2'!B39</f>
        <v>0.91801276549999999</v>
      </c>
      <c r="C39" s="4">
        <f ca="1">'Total Duration Tables Sup #2'!C39</f>
        <v>0.99901646727120075</v>
      </c>
      <c r="D39" s="4">
        <f ca="1">'Total Duration Tables Sup #2'!D39</f>
        <v>1.2412120344315596</v>
      </c>
      <c r="E39" s="4">
        <f ca="1">'Total Duration Tables Sup #2'!E39</f>
        <v>1.4665331966349298</v>
      </c>
      <c r="F39" s="4">
        <f ca="1">'Total Duration Tables Sup #2'!F39</f>
        <v>1.7081937667944544</v>
      </c>
      <c r="G39" s="4">
        <f ca="1">'Total Duration Tables Sup #2'!G39</f>
        <v>1.9736023152409652</v>
      </c>
      <c r="H39" s="4">
        <f ca="1">'Total Duration Tables Sup #2'!H39</f>
        <v>2.2497429096961166</v>
      </c>
      <c r="I39" s="1">
        <f ca="1">'Total Duration Tables Sup #2'!I39</f>
        <v>2.269473441690153</v>
      </c>
      <c r="J39" s="1">
        <f ca="1">'Total Duration Tables Sup #2'!J39</f>
        <v>2.2818186914556731</v>
      </c>
      <c r="K39" s="1">
        <f ca="1">'Total Duration Tables Sup #2'!K39</f>
        <v>2.2890183354465634</v>
      </c>
    </row>
    <row r="40" spans="1:11" x14ac:dyDescent="0.2">
      <c r="A40" t="str">
        <f ca="1">OFFSET(BOP_Reference,14,2)</f>
        <v>Light Vehicle Driver</v>
      </c>
      <c r="B40" s="4">
        <f ca="1">'Total Duration Tables Sup #2'!B40</f>
        <v>45.59682093</v>
      </c>
      <c r="C40" s="4">
        <f ca="1">'Total Duration Tables Sup #2'!C40*(1-'Other Assumptions'!G9)</f>
        <v>49.97523361889133</v>
      </c>
      <c r="D40" s="4">
        <f ca="1">'Total Duration Tables Sup #2'!D40*(1-'Other Assumptions'!H9)</f>
        <v>52.065038329243045</v>
      </c>
      <c r="E40" s="4">
        <f ca="1">'Total Duration Tables Sup #2'!E40*(1-'Other Assumptions'!I9)</f>
        <v>48.425026966061324</v>
      </c>
      <c r="F40" s="4">
        <f ca="1">'Total Duration Tables Sup #2'!F40*(1-'Other Assumptions'!J9)</f>
        <v>44.195102176230712</v>
      </c>
      <c r="G40" s="4">
        <f ca="1">'Total Duration Tables Sup #2'!G40*(1-'Other Assumptions'!K9)</f>
        <v>39.230152128946408</v>
      </c>
      <c r="H40" s="4">
        <f ca="1">'Total Duration Tables Sup #2'!H40*(1-'Other Assumptions'!L9)</f>
        <v>33.927874035194783</v>
      </c>
      <c r="I40" s="1">
        <f ca="1">'Total Duration Tables Sup #2'!I40*(1-'Other Assumptions'!M9)</f>
        <v>28.513261770828485</v>
      </c>
      <c r="J40" s="1">
        <f ca="1">'Total Duration Tables Sup #2'!J40*(1-'Other Assumptions'!N9)</f>
        <v>22.928355577435351</v>
      </c>
      <c r="K40" s="1">
        <f ca="1">'Total Duration Tables Sup #2'!K40*(1-'Other Assumptions'!O9)</f>
        <v>17.245779780943703</v>
      </c>
    </row>
    <row r="41" spans="1:11" x14ac:dyDescent="0.2">
      <c r="A41" t="str">
        <f ca="1">OFFSET(BOP_Reference,21,2)</f>
        <v>Light Vehicle Passenger</v>
      </c>
      <c r="B41" s="4">
        <f ca="1">'Total Duration Tables Sup #2'!B41</f>
        <v>28.895615969000001</v>
      </c>
      <c r="C41" s="4">
        <f ca="1">'Total Duration Tables Sup #2'!C41*(1-'Other Assumptions'!G9)</f>
        <v>30.377120555640051</v>
      </c>
      <c r="D41" s="4">
        <f ca="1">'Total Duration Tables Sup #2'!D41*(1-'Other Assumptions'!H9)</f>
        <v>30.867017408757988</v>
      </c>
      <c r="E41" s="4">
        <f ca="1">'Total Duration Tables Sup #2'!E41*(1-'Other Assumptions'!I9)</f>
        <v>28.001770023111128</v>
      </c>
      <c r="F41" s="4">
        <f ca="1">'Total Duration Tables Sup #2'!F41*(1-'Other Assumptions'!J9)</f>
        <v>24.907235614244758</v>
      </c>
      <c r="G41" s="4">
        <f ca="1">'Total Duration Tables Sup #2'!G41*(1-'Other Assumptions'!K9)</f>
        <v>21.642575019890334</v>
      </c>
      <c r="H41" s="4">
        <f ca="1">'Total Duration Tables Sup #2'!H41*(1-'Other Assumptions'!L9)</f>
        <v>18.320178447667249</v>
      </c>
      <c r="I41" s="1">
        <f ca="1">'Total Duration Tables Sup #2'!I41*(1-'Other Assumptions'!M9)</f>
        <v>15.405675125555671</v>
      </c>
      <c r="J41" s="1">
        <f ca="1">'Total Duration Tables Sup #2'!J41*(1-'Other Assumptions'!N9)</f>
        <v>12.395555060117633</v>
      </c>
      <c r="K41" s="1">
        <f ca="1">'Total Duration Tables Sup #2'!K41*(1-'Other Assumptions'!O9)</f>
        <v>9.3289653153733276</v>
      </c>
    </row>
    <row r="42" spans="1:11" x14ac:dyDescent="0.2">
      <c r="A42" t="str">
        <f ca="1">OFFSET(BOP_Reference,28,2)</f>
        <v>Taxi/Vehicle Share</v>
      </c>
      <c r="B42" s="4">
        <f ca="1">'Total Duration Tables Sup #2'!B42</f>
        <v>7.3048454499999999E-2</v>
      </c>
      <c r="C42" s="4">
        <f ca="1">'Total Duration Tables Sup #2'!C42+((C40+C41)*'Other Assumptions'!G9/(1-'Other Assumptions'!G9))</f>
        <v>8.3206558784176196E-2</v>
      </c>
      <c r="D42" s="4">
        <f ca="1">'Total Duration Tables Sup #2'!D42+((D40+D41)*'Other Assumptions'!H9/(1-'Other Assumptions'!H9))</f>
        <v>9.0426632545927671E-2</v>
      </c>
      <c r="E42" s="4">
        <f ca="1">'Total Duration Tables Sup #2'!E42+((E40+E41)*'Other Assumptions'!I9/(1-'Other Assumptions'!I9))</f>
        <v>8.5881101789632091</v>
      </c>
      <c r="F42" s="4">
        <f ca="1">'Total Duration Tables Sup #2'!F42+((F40+F41)*'Other Assumptions'!J9/(1-'Other Assumptions'!J9))</f>
        <v>17.376443988485416</v>
      </c>
      <c r="G42" s="4">
        <f ca="1">'Total Duration Tables Sup #2'!G42+((G40+G41)*'Other Assumptions'!K9/(1-'Other Assumptions'!K9))</f>
        <v>26.191728634263978</v>
      </c>
      <c r="H42" s="4">
        <f ca="1">'Total Duration Tables Sup #2'!H42+((H40+H41)*'Other Assumptions'!L9/(1-'Other Assumptions'!L9))</f>
        <v>34.937443148788155</v>
      </c>
      <c r="I42" s="1">
        <f ca="1">'Total Duration Tables Sup #2'!I42+((I40+I41)*'Other Assumptions'!M9/(1-'Other Assumptions'!M9))</f>
        <v>44.024981671350858</v>
      </c>
      <c r="J42" s="1">
        <f ca="1">'Total Duration Tables Sup #2'!J42+((J40+J41)*'Other Assumptions'!N9/(1-'Other Assumptions'!N9))</f>
        <v>53.092199225519678</v>
      </c>
      <c r="K42" s="1">
        <f ca="1">'Total Duration Tables Sup #2'!K42+((K40+K41)*'Other Assumptions'!O9/(1-'Other Assumptions'!O9))</f>
        <v>62.114119205154999</v>
      </c>
    </row>
    <row r="43" spans="1:11" x14ac:dyDescent="0.2">
      <c r="A43" t="str">
        <f ca="1">OFFSET(BOP_Reference,35,2)</f>
        <v>Motorcyclist</v>
      </c>
      <c r="B43" s="4">
        <f ca="1">'Total Duration Tables Sup #2'!B43</f>
        <v>0.60409197079999999</v>
      </c>
      <c r="C43" s="4">
        <f ca="1">'Total Duration Tables Sup #2'!C43</f>
        <v>0.65564852740875135</v>
      </c>
      <c r="D43" s="4">
        <f ca="1">'Total Duration Tables Sup #2'!D43</f>
        <v>0.67854894776404062</v>
      </c>
      <c r="E43" s="4">
        <f ca="1">'Total Duration Tables Sup #2'!E43</f>
        <v>0.69261822557848163</v>
      </c>
      <c r="F43" s="4">
        <f ca="1">'Total Duration Tables Sup #2'!F43</f>
        <v>0.70242212476643906</v>
      </c>
      <c r="G43" s="4">
        <f ca="1">'Total Duration Tables Sup #2'!G43</f>
        <v>0.70097890587177614</v>
      </c>
      <c r="H43" s="4">
        <f ca="1">'Total Duration Tables Sup #2'!H43</f>
        <v>0.69520251545669853</v>
      </c>
      <c r="I43" s="1">
        <f ca="1">'Total Duration Tables Sup #2'!I43</f>
        <v>0.7039130533541923</v>
      </c>
      <c r="J43" s="1">
        <f ca="1">'Total Duration Tables Sup #2'!J43</f>
        <v>0.71037884572460352</v>
      </c>
      <c r="K43" s="1">
        <f ca="1">'Total Duration Tables Sup #2'!K43</f>
        <v>0.71527236260884808</v>
      </c>
    </row>
    <row r="44" spans="1:11" x14ac:dyDescent="0.2">
      <c r="A44" t="str">
        <f ca="1">OFFSET(Auckland_Reference,42,2)</f>
        <v>Local Train</v>
      </c>
      <c r="B44" s="4">
        <f ca="1">'Total Duration Tables Sup #2'!B44</f>
        <v>0</v>
      </c>
      <c r="C44" s="4">
        <f ca="1">'Total Duration Tables Sup #2'!C44</f>
        <v>0</v>
      </c>
      <c r="D44" s="4">
        <f ca="1">'Total Duration Tables Sup #2'!D44</f>
        <v>0</v>
      </c>
      <c r="E44" s="4">
        <f ca="1">'Total Duration Tables Sup #2'!E44</f>
        <v>0</v>
      </c>
      <c r="F44" s="4">
        <f ca="1">'Total Duration Tables Sup #2'!F44</f>
        <v>0</v>
      </c>
      <c r="G44" s="4">
        <f ca="1">'Total Duration Tables Sup #2'!G44</f>
        <v>0</v>
      </c>
      <c r="H44" s="4">
        <f ca="1">'Total Duration Tables Sup #2'!H44</f>
        <v>0</v>
      </c>
      <c r="I44" s="1">
        <f ca="1">'Total Duration Tables Sup #2'!I44</f>
        <v>0</v>
      </c>
      <c r="J44" s="1">
        <f ca="1">'Total Duration Tables Sup #2'!J44</f>
        <v>0</v>
      </c>
      <c r="K44" s="1">
        <f ca="1">'Total Duration Tables Sup #2'!K44</f>
        <v>0</v>
      </c>
    </row>
    <row r="45" spans="1:11" x14ac:dyDescent="0.2">
      <c r="A45" t="str">
        <f ca="1">OFFSET(BOP_Reference,42,2)</f>
        <v>Local Bus</v>
      </c>
      <c r="B45" s="4">
        <f ca="1">'Total Duration Tables Sup #2'!B45</f>
        <v>2.9412276716000001</v>
      </c>
      <c r="C45" s="4">
        <f ca="1">'Total Duration Tables Sup #2'!C45</f>
        <v>2.9230444299725993</v>
      </c>
      <c r="D45" s="4">
        <f ca="1">'Total Duration Tables Sup #2'!D45</f>
        <v>2.8838077419036061</v>
      </c>
      <c r="E45" s="4">
        <f ca="1">'Total Duration Tables Sup #2'!E45</f>
        <v>2.8569029284062966</v>
      </c>
      <c r="F45" s="4">
        <f ca="1">'Total Duration Tables Sup #2'!F45</f>
        <v>2.7890456865470235</v>
      </c>
      <c r="G45" s="4">
        <f ca="1">'Total Duration Tables Sup #2'!G45</f>
        <v>2.7317407162797624</v>
      </c>
      <c r="H45" s="4">
        <f ca="1">'Total Duration Tables Sup #2'!H45</f>
        <v>2.6624559308167641</v>
      </c>
      <c r="I45" s="1">
        <f ca="1">'Total Duration Tables Sup #2'!I45</f>
        <v>2.6906391167413228</v>
      </c>
      <c r="J45" s="1">
        <f ca="1">'Total Duration Tables Sup #2'!J45</f>
        <v>2.7101100146400827</v>
      </c>
      <c r="K45" s="1">
        <f ca="1">'Total Duration Tables Sup #2'!K45</f>
        <v>2.7234824815438934</v>
      </c>
    </row>
    <row r="46" spans="1:11" x14ac:dyDescent="0.2">
      <c r="A46" t="str">
        <f ca="1">OFFSET(Waikato_Reference,56,2)</f>
        <v>Local Ferry</v>
      </c>
      <c r="B46" s="4">
        <f ca="1">'Total Duration Tables Sup #2'!B46</f>
        <v>0</v>
      </c>
      <c r="C46" s="4">
        <f ca="1">'Total Duration Tables Sup #2'!C46</f>
        <v>0</v>
      </c>
      <c r="D46" s="4">
        <f ca="1">'Total Duration Tables Sup #2'!D46</f>
        <v>0</v>
      </c>
      <c r="E46" s="4">
        <f ca="1">'Total Duration Tables Sup #2'!E46</f>
        <v>0</v>
      </c>
      <c r="F46" s="4">
        <f ca="1">'Total Duration Tables Sup #2'!F46</f>
        <v>0</v>
      </c>
      <c r="G46" s="4">
        <f ca="1">'Total Duration Tables Sup #2'!G46</f>
        <v>0</v>
      </c>
      <c r="H46" s="4">
        <f ca="1">'Total Duration Tables Sup #2'!H46</f>
        <v>0</v>
      </c>
      <c r="I46" s="1">
        <f ca="1">'Total Duration Tables Sup #2'!I46</f>
        <v>0</v>
      </c>
      <c r="J46" s="1">
        <f ca="1">'Total Duration Tables Sup #2'!J46</f>
        <v>0</v>
      </c>
      <c r="K46" s="1">
        <f ca="1">'Total Duration Tables Sup #2'!K46</f>
        <v>0</v>
      </c>
    </row>
    <row r="47" spans="1:11" x14ac:dyDescent="0.2">
      <c r="A47" t="str">
        <f ca="1">OFFSET(BOP_Reference,49,2)</f>
        <v>Other Household Travel</v>
      </c>
      <c r="B47" s="4">
        <f ca="1">'Total Duration Tables Sup #2'!B47</f>
        <v>0.21279540499999999</v>
      </c>
      <c r="C47" s="4">
        <f ca="1">'Total Duration Tables Sup #2'!C47</f>
        <v>0.23196270157289592</v>
      </c>
      <c r="D47" s="4">
        <f ca="1">'Total Duration Tables Sup #2'!D47</f>
        <v>0.24417438538769082</v>
      </c>
      <c r="E47" s="4">
        <f ca="1">'Total Duration Tables Sup #2'!E47</f>
        <v>0.25003114333793069</v>
      </c>
      <c r="F47" s="4">
        <f ca="1">'Total Duration Tables Sup #2'!F47</f>
        <v>0.25335699148512891</v>
      </c>
      <c r="G47" s="4">
        <f ca="1">'Total Duration Tables Sup #2'!G47</f>
        <v>0.25673335077795445</v>
      </c>
      <c r="H47" s="4">
        <f ca="1">'Total Duration Tables Sup #2'!H47</f>
        <v>0.25795924422735472</v>
      </c>
      <c r="I47" s="1">
        <f ca="1">'Total Duration Tables Sup #2'!I47</f>
        <v>0.2597619945767437</v>
      </c>
      <c r="J47" s="1">
        <f ca="1">'Total Duration Tables Sup #2'!J47</f>
        <v>0.26072362129292548</v>
      </c>
      <c r="K47" s="1">
        <f ca="1">'Total Duration Tables Sup #2'!K47</f>
        <v>0.26110402571816482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'Total Duration Tables Sup #2'!B49</f>
        <v>2.2694063563000002</v>
      </c>
      <c r="C49" s="4">
        <f ca="1">'Total Duration Tables Sup #2'!C49</f>
        <v>2.2983906238002705</v>
      </c>
      <c r="D49" s="4">
        <f ca="1">'Total Duration Tables Sup #2'!D49</f>
        <v>2.3846992433827925</v>
      </c>
      <c r="E49" s="4">
        <f ca="1">'Total Duration Tables Sup #2'!E49</f>
        <v>2.4455256460991968</v>
      </c>
      <c r="F49" s="4">
        <f ca="1">'Total Duration Tables Sup #2'!F49</f>
        <v>2.4809266712118019</v>
      </c>
      <c r="G49" s="4">
        <f ca="1">'Total Duration Tables Sup #2'!G49</f>
        <v>2.4984164572081999</v>
      </c>
      <c r="H49" s="4">
        <f ca="1">'Total Duration Tables Sup #2'!H49</f>
        <v>2.5045388762324254</v>
      </c>
      <c r="I49" s="1">
        <f ca="1">'Total Duration Tables Sup #2'!I49</f>
        <v>2.4777317351361821</v>
      </c>
      <c r="J49" s="1">
        <f ca="1">'Total Duration Tables Sup #2'!J49</f>
        <v>2.4434495516909025</v>
      </c>
      <c r="K49" s="1">
        <f ca="1">'Total Duration Tables Sup #2'!K49</f>
        <v>2.4045028230294441</v>
      </c>
    </row>
    <row r="50" spans="1:11" x14ac:dyDescent="0.2">
      <c r="A50" t="str">
        <f ca="1">OFFSET(Gisborne_Reference,7,2)</f>
        <v>Cyclist</v>
      </c>
      <c r="B50" s="4">
        <f ca="1">'Total Duration Tables Sup #2'!B50</f>
        <v>0.28046850410000002</v>
      </c>
      <c r="C50" s="4">
        <f ca="1">'Total Duration Tables Sup #2'!C50</f>
        <v>0.29182426179471438</v>
      </c>
      <c r="D50" s="4">
        <f ca="1">'Total Duration Tables Sup #2'!D50</f>
        <v>0.35352066338944488</v>
      </c>
      <c r="E50" s="4">
        <f ca="1">'Total Duration Tables Sup #2'!E50</f>
        <v>0.40954987191965592</v>
      </c>
      <c r="F50" s="4">
        <f ca="1">'Total Duration Tables Sup #2'!F50</f>
        <v>0.46814643472046485</v>
      </c>
      <c r="G50" s="4">
        <f ca="1">'Total Duration Tables Sup #2'!G50</f>
        <v>0.5304332852506779</v>
      </c>
      <c r="H50" s="4">
        <f ca="1">'Total Duration Tables Sup #2'!H50</f>
        <v>0.59339882126135324</v>
      </c>
      <c r="I50" s="1">
        <f ca="1">'Total Duration Tables Sup #2'!I50</f>
        <v>0.58753682455208545</v>
      </c>
      <c r="J50" s="1">
        <f ca="1">'Total Duration Tables Sup #2'!J50</f>
        <v>0.57988652908318639</v>
      </c>
      <c r="K50" s="1">
        <f ca="1">'Total Duration Tables Sup #2'!K50</f>
        <v>0.57111163721776348</v>
      </c>
    </row>
    <row r="51" spans="1:11" x14ac:dyDescent="0.2">
      <c r="A51" t="str">
        <f ca="1">OFFSET(Gisborne_Reference,14,2)</f>
        <v>Light Vehicle Driver</v>
      </c>
      <c r="B51" s="4">
        <f ca="1">'Total Duration Tables Sup #2'!B51</f>
        <v>6.0182660548999998</v>
      </c>
      <c r="C51" s="4">
        <f ca="1">'Total Duration Tables Sup #2'!C51*(1-'Other Assumptions'!G10)</f>
        <v>6.3067413867032887</v>
      </c>
      <c r="D51" s="4">
        <f ca="1">'Total Duration Tables Sup #2'!D51*(1-'Other Assumptions'!H10)</f>
        <v>6.3873693131985299</v>
      </c>
      <c r="E51" s="4">
        <f ca="1">'Total Duration Tables Sup #2'!E51*(1-'Other Assumptions'!I10)</f>
        <v>5.8083583188728385</v>
      </c>
      <c r="F51" s="4">
        <f ca="1">'Total Duration Tables Sup #2'!F51*(1-'Other Assumptions'!J10)</f>
        <v>5.1878818191781733</v>
      </c>
      <c r="G51" s="4">
        <f ca="1">'Total Duration Tables Sup #2'!G51*(1-'Other Assumptions'!K10)</f>
        <v>4.5034700750076535</v>
      </c>
      <c r="H51" s="4">
        <f ca="1">'Total Duration Tables Sup #2'!H51*(1-'Other Assumptions'!L10)</f>
        <v>3.8115937082671314</v>
      </c>
      <c r="I51" s="1">
        <f ca="1">'Total Duration Tables Sup #2'!I51*(1-'Other Assumptions'!M10)</f>
        <v>3.1440837256730414</v>
      </c>
      <c r="J51" s="1">
        <f ca="1">'Total Duration Tables Sup #2'!J51*(1-'Other Assumptions'!N10)</f>
        <v>2.4818357862370561</v>
      </c>
      <c r="K51" s="1">
        <f ca="1">'Total Duration Tables Sup #2'!K51*(1-'Other Assumptions'!O10)</f>
        <v>1.8327103817631281</v>
      </c>
    </row>
    <row r="52" spans="1:11" x14ac:dyDescent="0.2">
      <c r="A52" t="str">
        <f ca="1">OFFSET(Gisborne_Reference,21,2)</f>
        <v>Light Vehicle Passenger</v>
      </c>
      <c r="B52" s="4">
        <f ca="1">'Total Duration Tables Sup #2'!B52</f>
        <v>4.5909579553000004</v>
      </c>
      <c r="C52" s="4">
        <f ca="1">'Total Duration Tables Sup #2'!C52*(1-'Other Assumptions'!G10)</f>
        <v>4.6145710190342841</v>
      </c>
      <c r="D52" s="4">
        <f ca="1">'Total Duration Tables Sup #2'!D52*(1-'Other Assumptions'!H10)</f>
        <v>4.5566511126909184</v>
      </c>
      <c r="E52" s="4">
        <f ca="1">'Total Duration Tables Sup #2'!E52*(1-'Other Assumptions'!I10)</f>
        <v>4.0394193127368316</v>
      </c>
      <c r="F52" s="4">
        <f ca="1">'Total Duration Tables Sup #2'!F52*(1-'Other Assumptions'!J10)</f>
        <v>3.5139359238194219</v>
      </c>
      <c r="G52" s="4">
        <f ca="1">'Total Duration Tables Sup #2'!G52*(1-'Other Assumptions'!K10)</f>
        <v>2.983546183350116</v>
      </c>
      <c r="H52" s="4">
        <f ca="1">'Total Duration Tables Sup #2'!H52*(1-'Other Assumptions'!L10)</f>
        <v>2.4691507637578467</v>
      </c>
      <c r="I52" s="1">
        <f ca="1">'Total Duration Tables Sup #2'!I52*(1-'Other Assumptions'!M10)</f>
        <v>2.0379832429866287</v>
      </c>
      <c r="J52" s="1">
        <f ca="1">'Total Duration Tables Sup #2'!J52*(1-'Other Assumptions'!N10)</f>
        <v>1.6096945336527391</v>
      </c>
      <c r="K52" s="1">
        <f ca="1">'Total Duration Tables Sup #2'!K52*(1-'Other Assumptions'!O10)</f>
        <v>1.1893960357853939</v>
      </c>
    </row>
    <row r="53" spans="1:11" x14ac:dyDescent="0.2">
      <c r="A53" t="str">
        <f ca="1">OFFSET(Gisborne_Reference,28,2)</f>
        <v>Taxi/Vehicle Share</v>
      </c>
      <c r="B53" s="4">
        <f ca="1">'Total Duration Tables Sup #2'!B53</f>
        <v>5.0534828E-3</v>
      </c>
      <c r="C53" s="4">
        <f ca="1">'Total Duration Tables Sup #2'!C53+((C51+C52)*'Other Assumptions'!G10/(1-'Other Assumptions'!G10))</f>
        <v>5.5036485339431942E-3</v>
      </c>
      <c r="D53" s="4">
        <f ca="1">'Total Duration Tables Sup #2'!D53+((D51+D52)*'Other Assumptions'!H10/(1-'Other Assumptions'!H10))</f>
        <v>5.8318932539712385E-3</v>
      </c>
      <c r="E53" s="4">
        <f ca="1">'Total Duration Tables Sup #2'!E53+((E51+E52)*'Other Assumptions'!I10/(1-'Other Assumptions'!I10))</f>
        <v>1.100283518879037</v>
      </c>
      <c r="F53" s="4">
        <f ca="1">'Total Duration Tables Sup #2'!F53+((F51+F52)*'Other Assumptions'!J10/(1-'Other Assumptions'!J10))</f>
        <v>2.1817134502319573</v>
      </c>
      <c r="G53" s="4">
        <f ca="1">'Total Duration Tables Sup #2'!G53+((G51+G52)*'Other Assumptions'!K10/(1-'Other Assumptions'!K10))</f>
        <v>3.2150149738484854</v>
      </c>
      <c r="H53" s="4">
        <f ca="1">'Total Duration Tables Sup #2'!H53+((H51+H52)*'Other Assumptions'!L10/(1-'Other Assumptions'!L10))</f>
        <v>4.1934585128738959</v>
      </c>
      <c r="I53" s="1">
        <f ca="1">'Total Duration Tables Sup #2'!I53+((I51+I52)*'Other Assumptions'!M10/(1-'Other Assumptions'!M10))</f>
        <v>5.1882834358220231</v>
      </c>
      <c r="J53" s="1">
        <f ca="1">'Total Duration Tables Sup #2'!J53+((J51+J52)*'Other Assumptions'!N10/(1-'Other Assumptions'!N10))</f>
        <v>6.1434144091351399</v>
      </c>
      <c r="K53" s="1">
        <f ca="1">'Total Duration Tables Sup #2'!K53+((K51+K52)*'Other Assumptions'!O10/(1-'Other Assumptions'!O10))</f>
        <v>7.0575917001203265</v>
      </c>
    </row>
    <row r="54" spans="1:11" x14ac:dyDescent="0.2">
      <c r="A54" t="str">
        <f ca="1">OFFSET(Gisborne_Reference,35,2)</f>
        <v>Motorcyclist</v>
      </c>
      <c r="B54" s="4">
        <f ca="1">'Total Duration Tables Sup #2'!B54</f>
        <v>4.6418087199999999E-2</v>
      </c>
      <c r="C54" s="4">
        <f ca="1">'Total Duration Tables Sup #2'!C54</f>
        <v>4.8169111715382164E-2</v>
      </c>
      <c r="D54" s="4">
        <f ca="1">'Total Duration Tables Sup #2'!D54</f>
        <v>4.8606998716852305E-2</v>
      </c>
      <c r="E54" s="4">
        <f ca="1">'Total Duration Tables Sup #2'!E54</f>
        <v>4.8647173340424107E-2</v>
      </c>
      <c r="F54" s="4">
        <f ca="1">'Total Duration Tables Sup #2'!F54</f>
        <v>4.8416296811522645E-2</v>
      </c>
      <c r="G54" s="4">
        <f ca="1">'Total Duration Tables Sup #2'!G54</f>
        <v>4.73832527571326E-2</v>
      </c>
      <c r="H54" s="4">
        <f ca="1">'Total Duration Tables Sup #2'!H54</f>
        <v>4.6118367022115477E-2</v>
      </c>
      <c r="I54" s="1">
        <f ca="1">'Total Duration Tables Sup #2'!I54</f>
        <v>4.5832949304359237E-2</v>
      </c>
      <c r="J54" s="1">
        <f ca="1">'Total Duration Tables Sup #2'!J54</f>
        <v>4.5404689047826172E-2</v>
      </c>
      <c r="K54" s="1">
        <f ca="1">'Total Duration Tables Sup #2'!K54</f>
        <v>4.4884044231360269E-2</v>
      </c>
    </row>
    <row r="55" spans="1:11" x14ac:dyDescent="0.2">
      <c r="A55" t="str">
        <f ca="1">OFFSET(Gisborne_Reference,42,2)</f>
        <v>Local Train</v>
      </c>
      <c r="B55" s="4">
        <f ca="1">'Total Duration Tables Sup #2'!B55</f>
        <v>0</v>
      </c>
      <c r="C55" s="4">
        <f ca="1">'Total Duration Tables Sup #2'!C55</f>
        <v>0</v>
      </c>
      <c r="D55" s="4">
        <f ca="1">'Total Duration Tables Sup #2'!D55</f>
        <v>0</v>
      </c>
      <c r="E55" s="4">
        <f ca="1">'Total Duration Tables Sup #2'!E55</f>
        <v>0</v>
      </c>
      <c r="F55" s="4">
        <f ca="1">'Total Duration Tables Sup #2'!F55</f>
        <v>0</v>
      </c>
      <c r="G55" s="4">
        <f ca="1">'Total Duration Tables Sup #2'!G55</f>
        <v>0</v>
      </c>
      <c r="H55" s="4">
        <f ca="1">'Total Duration Tables Sup #2'!H55</f>
        <v>0</v>
      </c>
      <c r="I55" s="1">
        <f ca="1">'Total Duration Tables Sup #2'!I55</f>
        <v>0</v>
      </c>
      <c r="J55" s="1">
        <f ca="1">'Total Duration Tables Sup #2'!J55</f>
        <v>0</v>
      </c>
      <c r="K55" s="1">
        <f ca="1">'Total Duration Tables Sup #2'!K55</f>
        <v>0</v>
      </c>
    </row>
    <row r="56" spans="1:11" x14ac:dyDescent="0.2">
      <c r="A56" t="str">
        <f ca="1">OFFSET(Gisborne_Reference,49,2)</f>
        <v>Local Bus</v>
      </c>
      <c r="B56" s="4">
        <f ca="1">'Total Duration Tables Sup #2'!B56</f>
        <v>0.17812381360000001</v>
      </c>
      <c r="C56" s="4">
        <f ca="1">'Total Duration Tables Sup #2'!C56</f>
        <v>0.16925524233466949</v>
      </c>
      <c r="D56" s="4">
        <f ca="1">'Total Duration Tables Sup #2'!D56</f>
        <v>0.1628145048864599</v>
      </c>
      <c r="E56" s="4">
        <f ca="1">'Total Duration Tables Sup #2'!E56</f>
        <v>0.15814968971315368</v>
      </c>
      <c r="F56" s="4">
        <f ca="1">'Total Duration Tables Sup #2'!F56</f>
        <v>0.15151588941618058</v>
      </c>
      <c r="G56" s="4">
        <f ca="1">'Total Duration Tables Sup #2'!G56</f>
        <v>0.14553537264455438</v>
      </c>
      <c r="H56" s="4">
        <f ca="1">'Total Duration Tables Sup #2'!H56</f>
        <v>0.13920478991986496</v>
      </c>
      <c r="I56" s="1">
        <f ca="1">'Total Duration Tables Sup #2'!I56</f>
        <v>0.13807765486172954</v>
      </c>
      <c r="J56" s="1">
        <f ca="1">'Total Duration Tables Sup #2'!J56</f>
        <v>0.13652329815688893</v>
      </c>
      <c r="K56" s="1">
        <f ca="1">'Total Duration Tables Sup #2'!K56</f>
        <v>0.1346958725390229</v>
      </c>
    </row>
    <row r="57" spans="1:11" x14ac:dyDescent="0.2">
      <c r="A57" t="str">
        <f ca="1">OFFSET(Gisborne_Reference,56,2)</f>
        <v>Local Ferry</v>
      </c>
      <c r="B57" s="4">
        <f ca="1">'Total Duration Tables Sup #2'!B57</f>
        <v>6.5213138999999981E-3</v>
      </c>
      <c r="C57" s="4">
        <f ca="1">'Total Duration Tables Sup #2'!C57</f>
        <v>6.9273494821047955E-3</v>
      </c>
      <c r="D57" s="4">
        <f ca="1">'Total Duration Tables Sup #2'!D57</f>
        <v>7.125388182770801E-3</v>
      </c>
      <c r="E57" s="4">
        <f ca="1">'Total Duration Tables Sup #2'!E57</f>
        <v>7.1779108417725267E-3</v>
      </c>
      <c r="F57" s="4">
        <f ca="1">'Total Duration Tables Sup #2'!F57</f>
        <v>7.1296164292090885E-3</v>
      </c>
      <c r="G57" s="4">
        <f ca="1">'Total Duration Tables Sup #2'!G57</f>
        <v>7.1746059100940918E-3</v>
      </c>
      <c r="H57" s="4">
        <f ca="1">'Total Duration Tables Sup #2'!H57</f>
        <v>7.1563474193974746E-3</v>
      </c>
      <c r="I57" s="1">
        <f ca="1">'Total Duration Tables Sup #2'!I57</f>
        <v>7.0367791652231346E-3</v>
      </c>
      <c r="J57" s="1">
        <f ca="1">'Total Duration Tables Sup #2'!J57</f>
        <v>6.8977611647381403E-3</v>
      </c>
      <c r="K57" s="1">
        <f ca="1">'Total Duration Tables Sup #2'!K57</f>
        <v>6.7475324017153343E-3</v>
      </c>
    </row>
    <row r="58" spans="1:11" x14ac:dyDescent="0.2">
      <c r="A58" t="str">
        <f ca="1">OFFSET(Gisborne_Reference,63,2)</f>
        <v>Other Household Travel</v>
      </c>
      <c r="B58" s="4">
        <f ca="1">'Total Duration Tables Sup #2'!B58</f>
        <v>5.2226492000000003E-3</v>
      </c>
      <c r="C58" s="4">
        <f ca="1">'Total Duration Tables Sup #2'!C58</f>
        <v>5.4432732829653024E-3</v>
      </c>
      <c r="D58" s="4">
        <f ca="1">'Total Duration Tables Sup #2'!D58</f>
        <v>5.5867876075460466E-3</v>
      </c>
      <c r="E58" s="4">
        <f ca="1">'Total Duration Tables Sup #2'!E58</f>
        <v>5.6092169176032826E-3</v>
      </c>
      <c r="F58" s="4">
        <f ca="1">'Total Duration Tables Sup #2'!F58</f>
        <v>5.5778998572965982E-3</v>
      </c>
      <c r="G58" s="4">
        <f ca="1">'Total Duration Tables Sup #2'!G58</f>
        <v>5.5430225314286579E-3</v>
      </c>
      <c r="H58" s="4">
        <f ca="1">'Total Duration Tables Sup #2'!H58</f>
        <v>5.465855114577675E-3</v>
      </c>
      <c r="I58" s="1">
        <f ca="1">'Total Duration Tables Sup #2'!I58</f>
        <v>5.4023016374725574E-3</v>
      </c>
      <c r="J58" s="1">
        <f ca="1">'Total Duration Tables Sup #2'!J58</f>
        <v>5.3227430121921635E-3</v>
      </c>
      <c r="K58" s="1">
        <f ca="1">'Total Duration Tables Sup #2'!K58</f>
        <v>5.2333350256855418E-3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'Total Duration Tables Sup #2'!B60</f>
        <v>5.9462513095</v>
      </c>
      <c r="C60" s="4">
        <f ca="1">'Total Duration Tables Sup #2'!C60</f>
        <v>6.2508559629629925</v>
      </c>
      <c r="D60" s="4">
        <f ca="1">'Total Duration Tables Sup #2'!D60</f>
        <v>6.6480345536681487</v>
      </c>
      <c r="E60" s="4">
        <f ca="1">'Total Duration Tables Sup #2'!E60</f>
        <v>6.9547813732355257</v>
      </c>
      <c r="F60" s="4">
        <f ca="1">'Total Duration Tables Sup #2'!F60</f>
        <v>7.1923663684318377</v>
      </c>
      <c r="G60" s="4">
        <f ca="1">'Total Duration Tables Sup #2'!G60</f>
        <v>7.3956091162800481</v>
      </c>
      <c r="H60" s="4">
        <f ca="1">'Total Duration Tables Sup #2'!H60</f>
        <v>7.5726441425812414</v>
      </c>
      <c r="I60" s="1">
        <f ca="1">'Total Duration Tables Sup #2'!I60</f>
        <v>7.6568705327531017</v>
      </c>
      <c r="J60" s="1">
        <f ca="1">'Total Duration Tables Sup #2'!J60</f>
        <v>7.7222896385443081</v>
      </c>
      <c r="K60" s="1">
        <f ca="1">'Total Duration Tables Sup #2'!K60</f>
        <v>7.7764907170070945</v>
      </c>
    </row>
    <row r="61" spans="1:11" x14ac:dyDescent="0.2">
      <c r="A61" t="str">
        <f ca="1">OFFSET(Hawkes_Bay_Reference,7,2)</f>
        <v>Cyclist</v>
      </c>
      <c r="B61" s="4">
        <f ca="1">'Total Duration Tables Sup #2'!B61</f>
        <v>0.88401106659999995</v>
      </c>
      <c r="C61" s="4">
        <f ca="1">'Total Duration Tables Sup #2'!C61</f>
        <v>0.95472799308883627</v>
      </c>
      <c r="D61" s="4">
        <f ca="1">'Total Duration Tables Sup #2'!D61</f>
        <v>1.1855423382602992</v>
      </c>
      <c r="E61" s="4">
        <f ca="1">'Total Duration Tables Sup #2'!E61</f>
        <v>1.40107268307808</v>
      </c>
      <c r="F61" s="4">
        <f ca="1">'Total Duration Tables Sup #2'!F61</f>
        <v>1.6326090679612628</v>
      </c>
      <c r="G61" s="4">
        <f ca="1">'Total Duration Tables Sup #2'!G61</f>
        <v>1.8887848750877436</v>
      </c>
      <c r="H61" s="4">
        <f ca="1">'Total Duration Tables Sup #2'!H61</f>
        <v>2.1582863357491346</v>
      </c>
      <c r="I61" s="1">
        <f ca="1">'Total Duration Tables Sup #2'!I61</f>
        <v>2.1841110831902615</v>
      </c>
      <c r="J61" s="1">
        <f ca="1">'Total Duration Tables Sup #2'!J61</f>
        <v>2.2045925747380548</v>
      </c>
      <c r="K61" s="1">
        <f ca="1">'Total Duration Tables Sup #2'!K61</f>
        <v>2.2218870961102644</v>
      </c>
    </row>
    <row r="62" spans="1:11" x14ac:dyDescent="0.2">
      <c r="A62" t="str">
        <f ca="1">OFFSET(Hawkes_Bay_Reference,14,2)</f>
        <v>Light Vehicle Driver</v>
      </c>
      <c r="B62" s="4">
        <f ca="1">'Total Duration Tables Sup #2'!B62</f>
        <v>25.377986313000001</v>
      </c>
      <c r="C62" s="4">
        <f ca="1">'Total Duration Tables Sup #2'!C62*(1-'Other Assumptions'!G11)</f>
        <v>27.604218457562606</v>
      </c>
      <c r="D62" s="4">
        <f ca="1">'Total Duration Tables Sup #2'!D62*(1-'Other Assumptions'!H11)</f>
        <v>28.713021237688199</v>
      </c>
      <c r="E62" s="4">
        <f ca="1">'Total Duration Tables Sup #2'!E62*(1-'Other Assumptions'!I11)</f>
        <v>26.685010396959314</v>
      </c>
      <c r="F62" s="4">
        <f ca="1">'Total Duration Tables Sup #2'!F62*(1-'Other Assumptions'!J11)</f>
        <v>24.340155491358463</v>
      </c>
      <c r="G62" s="4">
        <f ca="1">'Total Duration Tables Sup #2'!G62*(1-'Other Assumptions'!K11)</f>
        <v>21.612558426958522</v>
      </c>
      <c r="H62" s="4">
        <f ca="1">'Total Duration Tables Sup #2'!H62*(1-'Other Assumptions'!L11)</f>
        <v>18.717373005335062</v>
      </c>
      <c r="I62" s="1">
        <f ca="1">'Total Duration Tables Sup #2'!I62*(1-'Other Assumptions'!M11)</f>
        <v>15.780054635684843</v>
      </c>
      <c r="J62" s="1">
        <f ca="1">'Total Duration Tables Sup #2'!J62*(1-'Other Assumptions'!N11)</f>
        <v>12.738902168473471</v>
      </c>
      <c r="K62" s="1">
        <f ca="1">'Total Duration Tables Sup #2'!K62*(1-'Other Assumptions'!O11)</f>
        <v>9.6264761810386101</v>
      </c>
    </row>
    <row r="63" spans="1:11" x14ac:dyDescent="0.2">
      <c r="A63" t="str">
        <f ca="1">OFFSET(Hawkes_Bay_Reference,21,2)</f>
        <v>Light Vehicle Passenger</v>
      </c>
      <c r="B63" s="4">
        <f ca="1">'Total Duration Tables Sup #2'!B63</f>
        <v>15.230731736999999</v>
      </c>
      <c r="C63" s="4">
        <f ca="1">'Total Duration Tables Sup #2'!C63*(1-'Other Assumptions'!G11)</f>
        <v>15.890349334359691</v>
      </c>
      <c r="D63" s="4">
        <f ca="1">'Total Duration Tables Sup #2'!D63*(1-'Other Assumptions'!H11)</f>
        <v>16.103528972491986</v>
      </c>
      <c r="E63" s="4">
        <f ca="1">'Total Duration Tables Sup #2'!E63*(1-'Other Assumptions'!I11)</f>
        <v>14.580682284000734</v>
      </c>
      <c r="F63" s="4">
        <f ca="1">'Total Duration Tables Sup #2'!F63*(1-'Other Assumptions'!J11)</f>
        <v>12.945924266320809</v>
      </c>
      <c r="G63" s="4">
        <f ca="1">'Total Duration Tables Sup #2'!G63*(1-'Other Assumptions'!K11)</f>
        <v>11.237460624502884</v>
      </c>
      <c r="H63" s="4">
        <f ca="1">'Total Duration Tables Sup #2'!H63*(1-'Other Assumptions'!L11)</f>
        <v>9.5115496898105452</v>
      </c>
      <c r="I63" s="1">
        <f ca="1">'Total Duration Tables Sup #2'!I63*(1-'Other Assumptions'!M11)</f>
        <v>8.0237744486787967</v>
      </c>
      <c r="J63" s="1">
        <f ca="1">'Total Duration Tables Sup #2'!J63*(1-'Other Assumptions'!N11)</f>
        <v>6.4813349806887466</v>
      </c>
      <c r="K63" s="1">
        <f ca="1">'Total Duration Tables Sup #2'!K63*(1-'Other Assumptions'!O11)</f>
        <v>4.9007254572511769</v>
      </c>
    </row>
    <row r="64" spans="1:11" x14ac:dyDescent="0.2">
      <c r="A64" t="str">
        <f ca="1">OFFSET(Hawkes_Bay_Reference,28,2)</f>
        <v>Taxi/Vehicle Share</v>
      </c>
      <c r="B64" s="4">
        <f ca="1">'Total Duration Tables Sup #2'!B64</f>
        <v>4.5837477299999999E-2</v>
      </c>
      <c r="C64" s="4">
        <f ca="1">'Total Duration Tables Sup #2'!C64+((C62+C63)*'Other Assumptions'!G11/(1-'Other Assumptions'!G11))</f>
        <v>5.1816164771550592E-2</v>
      </c>
      <c r="D64" s="4">
        <f ca="1">'Total Duration Tables Sup #2'!D64+((D62+D63)*'Other Assumptions'!H11/(1-'Other Assumptions'!H11))</f>
        <v>5.6281821330662049E-2</v>
      </c>
      <c r="E64" s="4">
        <f ca="1">'Total Duration Tables Sup #2'!E64+((E62+E63)*'Other Assumptions'!I11/(1-'Other Assumptions'!I11))</f>
        <v>4.644992912563449</v>
      </c>
      <c r="F64" s="4">
        <f ca="1">'Total Duration Tables Sup #2'!F64+((F62+F63)*'Other Assumptions'!J11/(1-'Other Assumptions'!J11))</f>
        <v>9.3843348510195881</v>
      </c>
      <c r="G64" s="4">
        <f ca="1">'Total Duration Tables Sup #2'!G64+((G62+G63)*'Other Assumptions'!K11/(1-'Other Assumptions'!K11))</f>
        <v>14.14307302367056</v>
      </c>
      <c r="H64" s="4">
        <f ca="1">'Total Duration Tables Sup #2'!H64+((H62+H63)*'Other Assumptions'!L11/(1-'Other Assumptions'!L11))</f>
        <v>18.885176589636327</v>
      </c>
      <c r="I64" s="1">
        <f ca="1">'Total Duration Tables Sup #2'!I64+((I62+I63)*'Other Assumptions'!M11/(1-'Other Assumptions'!M11))</f>
        <v>23.870331831720947</v>
      </c>
      <c r="J64" s="1">
        <f ca="1">'Total Duration Tables Sup #2'!J64+((J62+J63)*'Other Assumptions'!N11/(1-'Other Assumptions'!N11))</f>
        <v>28.897300557573775</v>
      </c>
      <c r="K64" s="1">
        <f ca="1">'Total Duration Tables Sup #2'!K64+((K62+K63)*'Other Assumptions'!O11/(1-'Other Assumptions'!O11))</f>
        <v>33.964091577491772</v>
      </c>
    </row>
    <row r="65" spans="1:11" x14ac:dyDescent="0.2">
      <c r="A65" t="str">
        <f ca="1">OFFSET(Hawkes_Bay_Reference,35,2)</f>
        <v>Motorcyclist</v>
      </c>
      <c r="B65" s="4">
        <f ca="1">'Total Duration Tables Sup #2'!B65</f>
        <v>0.11763194120000001</v>
      </c>
      <c r="C65" s="4">
        <f ca="1">'Total Duration Tables Sup #2'!C65</f>
        <v>0.1267042897301085</v>
      </c>
      <c r="D65" s="4">
        <f ca="1">'Total Duration Tables Sup #2'!D65</f>
        <v>0.13105858988969443</v>
      </c>
      <c r="E65" s="4">
        <f ca="1">'Total Duration Tables Sup #2'!E65</f>
        <v>0.13380609670622101</v>
      </c>
      <c r="F65" s="4">
        <f ca="1">'Total Duration Tables Sup #2'!F65</f>
        <v>0.13575519974908357</v>
      </c>
      <c r="G65" s="4">
        <f ca="1">'Total Duration Tables Sup #2'!G65</f>
        <v>0.13565662832494532</v>
      </c>
      <c r="H65" s="4">
        <f ca="1">'Total Duration Tables Sup #2'!H65</f>
        <v>0.13486545545030404</v>
      </c>
      <c r="I65" s="1">
        <f ca="1">'Total Duration Tables Sup #2'!I65</f>
        <v>0.13698778887623608</v>
      </c>
      <c r="J65" s="1">
        <f ca="1">'Total Duration Tables Sup #2'!J65</f>
        <v>0.13878752986207599</v>
      </c>
      <c r="K65" s="1">
        <f ca="1">'Total Duration Tables Sup #2'!K65</f>
        <v>0.14039685489502662</v>
      </c>
    </row>
    <row r="66" spans="1:11" x14ac:dyDescent="0.2">
      <c r="A66" t="str">
        <f ca="1">OFFSET(Auckland_Reference,42,2)</f>
        <v>Local Train</v>
      </c>
      <c r="B66" s="4">
        <f ca="1">'Total Duration Tables Sup #2'!B66</f>
        <v>0</v>
      </c>
      <c r="C66" s="4">
        <f ca="1">'Total Duration Tables Sup #2'!C66</f>
        <v>0</v>
      </c>
      <c r="D66" s="4">
        <f ca="1">'Total Duration Tables Sup #2'!D66</f>
        <v>0</v>
      </c>
      <c r="E66" s="4">
        <f ca="1">'Total Duration Tables Sup #2'!E66</f>
        <v>0</v>
      </c>
      <c r="F66" s="4">
        <f ca="1">'Total Duration Tables Sup #2'!F66</f>
        <v>0</v>
      </c>
      <c r="G66" s="4">
        <f ca="1">'Total Duration Tables Sup #2'!G66</f>
        <v>0</v>
      </c>
      <c r="H66" s="4">
        <f ca="1">'Total Duration Tables Sup #2'!H66</f>
        <v>0</v>
      </c>
      <c r="I66" s="1">
        <f ca="1">'Total Duration Tables Sup #2'!I66</f>
        <v>0</v>
      </c>
      <c r="J66" s="1">
        <f ca="1">'Total Duration Tables Sup #2'!J66</f>
        <v>0</v>
      </c>
      <c r="K66" s="1">
        <f ca="1">'Total Duration Tables Sup #2'!K66</f>
        <v>0</v>
      </c>
    </row>
    <row r="67" spans="1:11" x14ac:dyDescent="0.2">
      <c r="A67" t="str">
        <f ca="1">OFFSET(Hawkes_Bay_Reference,42,2)</f>
        <v>Local Bus</v>
      </c>
      <c r="B67" s="4">
        <f ca="1">'Total Duration Tables Sup #2'!B67</f>
        <v>1.3660147812000001</v>
      </c>
      <c r="C67" s="4">
        <f ca="1">'Total Duration Tables Sup #2'!C67</f>
        <v>1.3472872509506069</v>
      </c>
      <c r="D67" s="4">
        <f ca="1">'Total Duration Tables Sup #2'!D67</f>
        <v>1.3284804506304626</v>
      </c>
      <c r="E67" s="4">
        <f ca="1">'Total Duration Tables Sup #2'!E67</f>
        <v>1.3163822744243245</v>
      </c>
      <c r="F67" s="4">
        <f ca="1">'Total Duration Tables Sup #2'!F67</f>
        <v>1.2856373293745418</v>
      </c>
      <c r="G67" s="4">
        <f ca="1">'Total Duration Tables Sup #2'!G67</f>
        <v>1.2608984192436918</v>
      </c>
      <c r="H67" s="4">
        <f ca="1">'Total Duration Tables Sup #2'!H67</f>
        <v>1.23190259905319</v>
      </c>
      <c r="I67" s="1">
        <f ca="1">'Total Duration Tables Sup #2'!I67</f>
        <v>1.2488861334564985</v>
      </c>
      <c r="J67" s="1">
        <f ca="1">'Total Duration Tables Sup #2'!J67</f>
        <v>1.2628503882762945</v>
      </c>
      <c r="K67" s="1">
        <f ca="1">'Total Duration Tables Sup #2'!K67</f>
        <v>1.2750143579424196</v>
      </c>
    </row>
    <row r="68" spans="1:11" x14ac:dyDescent="0.2">
      <c r="A68" t="str">
        <f ca="1">OFFSET(Waikato_Reference,56,2)</f>
        <v>Local Ferry</v>
      </c>
      <c r="B68" s="4">
        <f ca="1">'Total Duration Tables Sup #2'!B68</f>
        <v>0</v>
      </c>
      <c r="C68" s="4">
        <f ca="1">'Total Duration Tables Sup #2'!C68</f>
        <v>0</v>
      </c>
      <c r="D68" s="4">
        <f ca="1">'Total Duration Tables Sup #2'!D68</f>
        <v>0</v>
      </c>
      <c r="E68" s="4">
        <f ca="1">'Total Duration Tables Sup #2'!E68</f>
        <v>0</v>
      </c>
      <c r="F68" s="4">
        <f ca="1">'Total Duration Tables Sup #2'!F68</f>
        <v>0</v>
      </c>
      <c r="G68" s="4">
        <f ca="1">'Total Duration Tables Sup #2'!G68</f>
        <v>0</v>
      </c>
      <c r="H68" s="4">
        <f ca="1">'Total Duration Tables Sup #2'!H68</f>
        <v>0</v>
      </c>
      <c r="I68" s="1">
        <f ca="1">'Total Duration Tables Sup #2'!I68</f>
        <v>0</v>
      </c>
      <c r="J68" s="1">
        <f ca="1">'Total Duration Tables Sup #2'!J68</f>
        <v>0</v>
      </c>
      <c r="K68" s="1">
        <f ca="1">'Total Duration Tables Sup #2'!K68</f>
        <v>0</v>
      </c>
    </row>
    <row r="69" spans="1:11" x14ac:dyDescent="0.2">
      <c r="A69" t="str">
        <f ca="1">OFFSET(Hawkes_Bay_Reference,49,2)</f>
        <v>Other Household Travel</v>
      </c>
      <c r="B69" s="4">
        <f ca="1">'Total Duration Tables Sup #2'!B69</f>
        <v>0.15778150060000001</v>
      </c>
      <c r="C69" s="4">
        <f ca="1">'Total Duration Tables Sup #2'!C69</f>
        <v>0.17069076411913831</v>
      </c>
      <c r="D69" s="4">
        <f ca="1">'Total Duration Tables Sup #2'!D69</f>
        <v>0.17957920665339472</v>
      </c>
      <c r="E69" s="4">
        <f ca="1">'Total Duration Tables Sup #2'!E69</f>
        <v>0.18392794951047955</v>
      </c>
      <c r="F69" s="4">
        <f ca="1">'Total Duration Tables Sup #2'!F69</f>
        <v>0.18645018551138484</v>
      </c>
      <c r="G69" s="4">
        <f ca="1">'Total Duration Tables Sup #2'!G69</f>
        <v>0.18918643539165883</v>
      </c>
      <c r="H69" s="4">
        <f ca="1">'Total Duration Tables Sup #2'!H69</f>
        <v>0.19055138959532789</v>
      </c>
      <c r="I69" s="1">
        <f ca="1">'Total Duration Tables Sup #2'!I69</f>
        <v>0.19249084683508963</v>
      </c>
      <c r="J69" s="1">
        <f ca="1">'Total Duration Tables Sup #2'!J69</f>
        <v>0.19396011883223402</v>
      </c>
      <c r="K69" s="1">
        <f ca="1">'Total Duration Tables Sup #2'!K69</f>
        <v>0.19515116041928926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'Total Duration Tables Sup #2'!B71</f>
        <v>4.7547330373000003</v>
      </c>
      <c r="C71" s="4">
        <f ca="1">'Total Duration Tables Sup #2'!C71</f>
        <v>5.0435140573256829</v>
      </c>
      <c r="D71" s="4">
        <f ca="1">'Total Duration Tables Sup #2'!D71</f>
        <v>5.4091666714746021</v>
      </c>
      <c r="E71" s="4">
        <f ca="1">'Total Duration Tables Sup #2'!E71</f>
        <v>5.6997949001710895</v>
      </c>
      <c r="F71" s="4">
        <f ca="1">'Total Duration Tables Sup #2'!F71</f>
        <v>5.9436418069950978</v>
      </c>
      <c r="G71" s="4">
        <f ca="1">'Total Duration Tables Sup #2'!G71</f>
        <v>6.164943302672012</v>
      </c>
      <c r="H71" s="4">
        <f ca="1">'Total Duration Tables Sup #2'!H71</f>
        <v>6.3669893555353356</v>
      </c>
      <c r="I71" s="1">
        <f ca="1">'Total Duration Tables Sup #2'!I71</f>
        <v>6.4921495648353309</v>
      </c>
      <c r="J71" s="1">
        <f ca="1">'Total Duration Tables Sup #2'!J71</f>
        <v>6.6016402914712708</v>
      </c>
      <c r="K71" s="1">
        <f ca="1">'Total Duration Tables Sup #2'!K71</f>
        <v>6.7015425400593136</v>
      </c>
    </row>
    <row r="72" spans="1:11" x14ac:dyDescent="0.2">
      <c r="A72" t="str">
        <f ca="1">OFFSET(Taranaki_Reference,7,2)</f>
        <v>Cyclist</v>
      </c>
      <c r="B72" s="4">
        <f ca="1">'Total Duration Tables Sup #2'!B72</f>
        <v>0.51341482110000003</v>
      </c>
      <c r="C72" s="4">
        <f ca="1">'Total Duration Tables Sup #2'!C72</f>
        <v>0.55950145794453154</v>
      </c>
      <c r="D72" s="4">
        <f ca="1">'Total Duration Tables Sup #2'!D72</f>
        <v>0.70061912094899859</v>
      </c>
      <c r="E72" s="4">
        <f ca="1">'Total Duration Tables Sup #2'!E72</f>
        <v>0.83399651119096008</v>
      </c>
      <c r="F72" s="4">
        <f ca="1">'Total Duration Tables Sup #2'!F72</f>
        <v>0.97992052359697923</v>
      </c>
      <c r="G72" s="4">
        <f ca="1">'Total Duration Tables Sup #2'!G72</f>
        <v>1.1435771161598522</v>
      </c>
      <c r="H72" s="4">
        <f ca="1">'Total Duration Tables Sup #2'!H72</f>
        <v>1.3180244247127029</v>
      </c>
      <c r="I72" s="1">
        <f ca="1">'Total Duration Tables Sup #2'!I72</f>
        <v>1.3450541147820942</v>
      </c>
      <c r="J72" s="1">
        <f ca="1">'Total Duration Tables Sup #2'!J72</f>
        <v>1.3688691398527639</v>
      </c>
      <c r="K72" s="1">
        <f ca="1">'Total Duration Tables Sup #2'!K72</f>
        <v>1.3907239368226345</v>
      </c>
    </row>
    <row r="73" spans="1:11" x14ac:dyDescent="0.2">
      <c r="A73" t="str">
        <f ca="1">OFFSET(Taranaki_Reference,14,2)</f>
        <v>Light Vehicle Driver</v>
      </c>
      <c r="B73" s="4">
        <f ca="1">'Total Duration Tables Sup #2'!B73</f>
        <v>21.205429401</v>
      </c>
      <c r="C73" s="4">
        <f ca="1">'Total Duration Tables Sup #2'!C73*(1-'Other Assumptions'!G12)</f>
        <v>23.274278905769435</v>
      </c>
      <c r="D73" s="4">
        <f ca="1">'Total Duration Tables Sup #2'!D73*(1-'Other Assumptions'!H12)</f>
        <v>24.428252129604623</v>
      </c>
      <c r="E73" s="4">
        <f ca="1">'Total Duration Tables Sup #2'!E73*(1-'Other Assumptions'!I12)</f>
        <v>22.881159873870814</v>
      </c>
      <c r="F73" s="4">
        <f ca="1">'Total Duration Tables Sup #2'!F73*(1-'Other Assumptions'!J12)</f>
        <v>21.056931896514236</v>
      </c>
      <c r="G73" s="4">
        <f ca="1">'Total Duration Tables Sup #2'!G73*(1-'Other Assumptions'!K12)</f>
        <v>18.87216227987674</v>
      </c>
      <c r="H73" s="4">
        <f ca="1">'Total Duration Tables Sup #2'!H73*(1-'Other Assumptions'!L12)</f>
        <v>16.49570376503744</v>
      </c>
      <c r="I73" s="1">
        <f ca="1">'Total Duration Tables Sup #2'!I73*(1-'Other Assumptions'!M12)</f>
        <v>14.024432831447688</v>
      </c>
      <c r="J73" s="1">
        <f ca="1">'Total Duration Tables Sup #2'!J73*(1-'Other Assumptions'!N12)</f>
        <v>11.415043653077412</v>
      </c>
      <c r="K73" s="1">
        <f ca="1">'Total Duration Tables Sup #2'!K73*(1-'Other Assumptions'!O12)</f>
        <v>8.6955784483217613</v>
      </c>
    </row>
    <row r="74" spans="1:11" x14ac:dyDescent="0.2">
      <c r="A74" t="str">
        <f ca="1">OFFSET(Taranaki_Reference,21,2)</f>
        <v>Light Vehicle Passenger</v>
      </c>
      <c r="B74" s="4">
        <f ca="1">'Total Duration Tables Sup #2'!B74</f>
        <v>13.125178352000001</v>
      </c>
      <c r="C74" s="4">
        <f ca="1">'Total Duration Tables Sup #2'!C74*(1-'Other Assumptions'!G12)</f>
        <v>13.817477175381111</v>
      </c>
      <c r="D74" s="4">
        <f ca="1">'Total Duration Tables Sup #2'!D74*(1-'Other Assumptions'!H12)</f>
        <v>14.13897853790124</v>
      </c>
      <c r="E74" s="4">
        <f ca="1">'Total Duration Tables Sup #2'!E74*(1-'Other Assumptions'!I12)</f>
        <v>12.911520122659045</v>
      </c>
      <c r="F74" s="4">
        <f ca="1">'Total Duration Tables Sup #2'!F74*(1-'Other Assumptions'!J12)</f>
        <v>11.575085615845385</v>
      </c>
      <c r="G74" s="4">
        <f ca="1">'Total Duration Tables Sup #2'!G74*(1-'Other Assumptions'!K12)</f>
        <v>10.150026394552723</v>
      </c>
      <c r="H74" s="4">
        <f ca="1">'Total Duration Tables Sup #2'!H74*(1-'Other Assumptions'!L12)</f>
        <v>8.6788468455505594</v>
      </c>
      <c r="I74" s="1">
        <f ca="1">'Total Duration Tables Sup #2'!I74*(1-'Other Assumptions'!M12)</f>
        <v>7.3830971964279293</v>
      </c>
      <c r="J74" s="1">
        <f ca="1">'Total Duration Tables Sup #2'!J74*(1-'Other Assumptions'!N12)</f>
        <v>6.0130027692740668</v>
      </c>
      <c r="K74" s="1">
        <f ca="1">'Total Duration Tables Sup #2'!K74*(1-'Other Assumptions'!O12)</f>
        <v>4.583224990277599</v>
      </c>
    </row>
    <row r="75" spans="1:11" x14ac:dyDescent="0.2">
      <c r="A75" t="str">
        <f ca="1">OFFSET(Taranaki_Reference,28,2)</f>
        <v>Taxi/Vehicle Share</v>
      </c>
      <c r="B75" s="4">
        <f ca="1">'Total Duration Tables Sup #2'!B75</f>
        <v>0.10005985589999999</v>
      </c>
      <c r="C75" s="4">
        <f ca="1">'Total Duration Tables Sup #2'!C75+((C73+C74)*'Other Assumptions'!G12/(1-'Other Assumptions'!G12))</f>
        <v>0.11413406794195506</v>
      </c>
      <c r="D75" s="4">
        <f ca="1">'Total Duration Tables Sup #2'!D75+((D73+D74)*'Other Assumptions'!H12/(1-'Other Assumptions'!H12))</f>
        <v>0.12501482753810086</v>
      </c>
      <c r="E75" s="4">
        <f ca="1">'Total Duration Tables Sup #2'!E75+((E73+E74)*'Other Assumptions'!I12/(1-'Other Assumptions'!I12))</f>
        <v>4.1110168055315777</v>
      </c>
      <c r="F75" s="4">
        <f ca="1">'Total Duration Tables Sup #2'!F75+((F73+F74)*'Other Assumptions'!J12/(1-'Other Assumptions'!J12))</f>
        <v>8.2997141724053343</v>
      </c>
      <c r="G75" s="4">
        <f ca="1">'Total Duration Tables Sup #2'!G75+((G73+G74)*'Other Assumptions'!K12/(1-'Other Assumptions'!K12))</f>
        <v>12.584847348278137</v>
      </c>
      <c r="H75" s="4">
        <f ca="1">'Total Duration Tables Sup #2'!H75+((H73+H74)*'Other Assumptions'!L12/(1-'Other Assumptions'!L12))</f>
        <v>16.934283244633349</v>
      </c>
      <c r="I75" s="1">
        <f ca="1">'Total Duration Tables Sup #2'!I75+((I73+I74)*'Other Assumptions'!M12/(1-'Other Assumptions'!M12))</f>
        <v>21.561463507780385</v>
      </c>
      <c r="J75" s="1">
        <f ca="1">'Total Duration Tables Sup #2'!J75+((J73+J74)*'Other Assumptions'!N12/(1-'Other Assumptions'!N12))</f>
        <v>26.298304919164096</v>
      </c>
      <c r="K75" s="1">
        <f ca="1">'Total Duration Tables Sup #2'!K75+((K73+K74)*'Other Assumptions'!O12/(1-'Other Assumptions'!O12))</f>
        <v>31.142175612614182</v>
      </c>
    </row>
    <row r="76" spans="1:11" x14ac:dyDescent="0.2">
      <c r="A76" t="str">
        <f ca="1">OFFSET(Taranaki_Reference,35,2)</f>
        <v>Motorcyclist</v>
      </c>
      <c r="B76" s="4">
        <f ca="1">'Total Duration Tables Sup #2'!B76</f>
        <v>0.25001806910000002</v>
      </c>
      <c r="C76" s="4">
        <f ca="1">'Total Duration Tables Sup #2'!C76</f>
        <v>0.27173671304765512</v>
      </c>
      <c r="D76" s="4">
        <f ca="1">'Total Duration Tables Sup #2'!D76</f>
        <v>0.28344306884669279</v>
      </c>
      <c r="E76" s="4">
        <f ca="1">'Total Duration Tables Sup #2'!E76</f>
        <v>0.29148412254507627</v>
      </c>
      <c r="F76" s="4">
        <f ca="1">'Total Duration Tables Sup #2'!F76</f>
        <v>0.29819513619561216</v>
      </c>
      <c r="G76" s="4">
        <f ca="1">'Total Duration Tables Sup #2'!G76</f>
        <v>0.30057953731568837</v>
      </c>
      <c r="H76" s="4">
        <f ca="1">'Total Duration Tables Sup #2'!H76</f>
        <v>0.30140507014038825</v>
      </c>
      <c r="I76" s="1">
        <f ca="1">'Total Duration Tables Sup #2'!I76</f>
        <v>0.30873248142475779</v>
      </c>
      <c r="J76" s="1">
        <f ca="1">'Total Duration Tables Sup #2'!J76</f>
        <v>0.31536934182681969</v>
      </c>
      <c r="K76" s="1">
        <f ca="1">'Total Duration Tables Sup #2'!K76</f>
        <v>0.32159682689959568</v>
      </c>
    </row>
    <row r="77" spans="1:11" x14ac:dyDescent="0.2">
      <c r="A77" t="str">
        <f ca="1">OFFSET(Taranaki_Reference,42,2)</f>
        <v>Local Train</v>
      </c>
      <c r="B77" s="4">
        <f ca="1">'Total Duration Tables Sup #2'!B77</f>
        <v>0</v>
      </c>
      <c r="C77" s="4">
        <f ca="1">'Total Duration Tables Sup #2'!C77</f>
        <v>0</v>
      </c>
      <c r="D77" s="4">
        <f ca="1">'Total Duration Tables Sup #2'!D77</f>
        <v>0</v>
      </c>
      <c r="E77" s="4">
        <f ca="1">'Total Duration Tables Sup #2'!E77</f>
        <v>0</v>
      </c>
      <c r="F77" s="4">
        <f ca="1">'Total Duration Tables Sup #2'!F77</f>
        <v>0</v>
      </c>
      <c r="G77" s="4">
        <f ca="1">'Total Duration Tables Sup #2'!G77</f>
        <v>0</v>
      </c>
      <c r="H77" s="4">
        <f ca="1">'Total Duration Tables Sup #2'!H77</f>
        <v>0</v>
      </c>
      <c r="I77" s="1">
        <f ca="1">'Total Duration Tables Sup #2'!I77</f>
        <v>0</v>
      </c>
      <c r="J77" s="1">
        <f ca="1">'Total Duration Tables Sup #2'!J77</f>
        <v>0</v>
      </c>
      <c r="K77" s="1">
        <f ca="1">'Total Duration Tables Sup #2'!K77</f>
        <v>0</v>
      </c>
    </row>
    <row r="78" spans="1:11" x14ac:dyDescent="0.2">
      <c r="A78" t="str">
        <f ca="1">OFFSET(Taranaki_Reference,49,2)</f>
        <v>Local Bus</v>
      </c>
      <c r="B78" s="4">
        <f ca="1">'Total Duration Tables Sup #2'!B78</f>
        <v>0.4632962336</v>
      </c>
      <c r="C78" s="4">
        <f ca="1">'Total Duration Tables Sup #2'!C78</f>
        <v>0.46107803892068644</v>
      </c>
      <c r="D78" s="4">
        <f ca="1">'Total Duration Tables Sup #2'!D78</f>
        <v>0.45847193570249589</v>
      </c>
      <c r="E78" s="4">
        <f ca="1">'Total Duration Tables Sup #2'!E78</f>
        <v>0.4575918333976669</v>
      </c>
      <c r="F78" s="4">
        <f ca="1">'Total Duration Tables Sup #2'!F78</f>
        <v>0.4506296820239854</v>
      </c>
      <c r="G78" s="4">
        <f ca="1">'Total Duration Tables Sup #2'!G78</f>
        <v>0.44581608239441661</v>
      </c>
      <c r="H78" s="4">
        <f ca="1">'Total Duration Tables Sup #2'!H78</f>
        <v>0.43932249335531476</v>
      </c>
      <c r="I78" s="1">
        <f ca="1">'Total Duration Tables Sup #2'!I78</f>
        <v>0.44913877425080945</v>
      </c>
      <c r="J78" s="1">
        <f ca="1">'Total Duration Tables Sup #2'!J78</f>
        <v>0.45790793099214633</v>
      </c>
      <c r="K78" s="1">
        <f ca="1">'Total Duration Tables Sup #2'!K78</f>
        <v>0.46604375138101145</v>
      </c>
    </row>
    <row r="79" spans="1:11" x14ac:dyDescent="0.2">
      <c r="A79" t="str">
        <f ca="1">OFFSET(Waikato_Reference,56,2)</f>
        <v>Local Ferry</v>
      </c>
      <c r="B79" s="4">
        <f ca="1">'Total Duration Tables Sup #2'!B79</f>
        <v>0</v>
      </c>
      <c r="C79" s="4">
        <f ca="1">'Total Duration Tables Sup #2'!C79</f>
        <v>0</v>
      </c>
      <c r="D79" s="4">
        <f ca="1">'Total Duration Tables Sup #2'!D79</f>
        <v>0</v>
      </c>
      <c r="E79" s="4">
        <f ca="1">'Total Duration Tables Sup #2'!E79</f>
        <v>0</v>
      </c>
      <c r="F79" s="4">
        <f ca="1">'Total Duration Tables Sup #2'!F79</f>
        <v>0</v>
      </c>
      <c r="G79" s="4">
        <f ca="1">'Total Duration Tables Sup #2'!G79</f>
        <v>0</v>
      </c>
      <c r="H79" s="4">
        <f ca="1">'Total Duration Tables Sup #2'!H79</f>
        <v>0</v>
      </c>
      <c r="I79" s="1">
        <f ca="1">'Total Duration Tables Sup #2'!I79</f>
        <v>0</v>
      </c>
      <c r="J79" s="1">
        <f ca="1">'Total Duration Tables Sup #2'!J79</f>
        <v>0</v>
      </c>
      <c r="K79" s="1">
        <f ca="1">'Total Duration Tables Sup #2'!K79</f>
        <v>0</v>
      </c>
    </row>
    <row r="80" spans="1:11" x14ac:dyDescent="0.2">
      <c r="A80" t="str">
        <f ca="1">OFFSET(Taranaki_Reference,56,2)</f>
        <v>Other Household Travel</v>
      </c>
      <c r="B80" s="4">
        <f ca="1">'Total Duration Tables Sup #2'!B80</f>
        <v>5.6354069499999999E-2</v>
      </c>
      <c r="C80" s="4">
        <f ca="1">'Total Duration Tables Sup #2'!C80</f>
        <v>6.1516283532961277E-2</v>
      </c>
      <c r="D80" s="4">
        <f ca="1">'Total Duration Tables Sup #2'!D80</f>
        <v>6.5264868518631558E-2</v>
      </c>
      <c r="E80" s="4">
        <f ca="1">'Total Duration Tables Sup #2'!E80</f>
        <v>6.7330183605243427E-2</v>
      </c>
      <c r="F80" s="4">
        <f ca="1">'Total Duration Tables Sup #2'!F80</f>
        <v>6.8822424883444241E-2</v>
      </c>
      <c r="G80" s="4">
        <f ca="1">'Total Duration Tables Sup #2'!G80</f>
        <v>7.0441963917721062E-2</v>
      </c>
      <c r="H80" s="4">
        <f ca="1">'Total Duration Tables Sup #2'!H80</f>
        <v>7.1562420031175675E-2</v>
      </c>
      <c r="I80" s="1">
        <f ca="1">'Total Duration Tables Sup #2'!I80</f>
        <v>7.2901022409188901E-2</v>
      </c>
      <c r="J80" s="1">
        <f ca="1">'Total Duration Tables Sup #2'!J80</f>
        <v>7.4063551793731641E-2</v>
      </c>
      <c r="K80" s="1">
        <f ca="1">'Total Duration Tables Sup #2'!K80</f>
        <v>7.5118789747505396E-2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'Total Duration Tables Sup #2'!B82</f>
        <v>8.3408449691000008</v>
      </c>
      <c r="C82" s="4">
        <f ca="1">'Total Duration Tables Sup #2'!C82</f>
        <v>8.6740539154974137</v>
      </c>
      <c r="D82" s="4">
        <f ca="1">'Total Duration Tables Sup #2'!D82</f>
        <v>9.1139951319120005</v>
      </c>
      <c r="E82" s="4">
        <f ca="1">'Total Duration Tables Sup #2'!E82</f>
        <v>9.438644979959415</v>
      </c>
      <c r="F82" s="4">
        <f ca="1">'Total Duration Tables Sup #2'!F82</f>
        <v>9.6644216582738895</v>
      </c>
      <c r="G82" s="4">
        <f ca="1">'Total Duration Tables Sup #2'!G82</f>
        <v>9.8385519729973581</v>
      </c>
      <c r="H82" s="4">
        <f ca="1">'Total Duration Tables Sup #2'!H82</f>
        <v>9.9617713298526294</v>
      </c>
      <c r="I82" s="1">
        <f ca="1">'Total Duration Tables Sup #2'!I82</f>
        <v>9.9595552109308176</v>
      </c>
      <c r="J82" s="1">
        <f ca="1">'Total Duration Tables Sup #2'!J82</f>
        <v>9.9313628425322857</v>
      </c>
      <c r="K82" s="1">
        <f ca="1">'Total Duration Tables Sup #2'!K82</f>
        <v>9.8878528707467837</v>
      </c>
    </row>
    <row r="83" spans="1:11" x14ac:dyDescent="0.2">
      <c r="A83" t="str">
        <f ca="1">OFFSET(Manawatu_Reference,7,2)</f>
        <v>Cyclist</v>
      </c>
      <c r="B83" s="4">
        <f ca="1">'Total Duration Tables Sup #2'!B83</f>
        <v>1.7566260256999999</v>
      </c>
      <c r="C83" s="4">
        <f ca="1">'Total Duration Tables Sup #2'!C83</f>
        <v>1.8767961511088349</v>
      </c>
      <c r="D83" s="4">
        <f ca="1">'Total Duration Tables Sup #2'!D83</f>
        <v>2.3024351906490388</v>
      </c>
      <c r="E83" s="4">
        <f ca="1">'Total Duration Tables Sup #2'!E83</f>
        <v>2.6936530489706105</v>
      </c>
      <c r="F83" s="4">
        <f ca="1">'Total Duration Tables Sup #2'!F83</f>
        <v>3.1077143613148897</v>
      </c>
      <c r="G83" s="4">
        <f ca="1">'Total Duration Tables Sup #2'!G83</f>
        <v>3.5595455390802009</v>
      </c>
      <c r="H83" s="4">
        <f ca="1">'Total Duration Tables Sup #2'!H83</f>
        <v>4.0221003593467524</v>
      </c>
      <c r="I83" s="1">
        <f ca="1">'Total Duration Tables Sup #2'!I83</f>
        <v>4.0245579420512376</v>
      </c>
      <c r="J83" s="1">
        <f ca="1">'Total Duration Tables Sup #2'!J83</f>
        <v>4.0164829241632418</v>
      </c>
      <c r="K83" s="1">
        <f ca="1">'Total Duration Tables Sup #2'!K83</f>
        <v>4.0021664453570676</v>
      </c>
    </row>
    <row r="84" spans="1:11" x14ac:dyDescent="0.2">
      <c r="A84" t="str">
        <f ca="1">OFFSET(Manawatu_Reference,14,2)</f>
        <v>Light Vehicle Driver</v>
      </c>
      <c r="B84" s="4">
        <f ca="1">'Total Duration Tables Sup #2'!B84</f>
        <v>42.09204356</v>
      </c>
      <c r="C84" s="4">
        <f ca="1">'Total Duration Tables Sup #2'!C84*(1-'Other Assumptions'!G13)</f>
        <v>45.293318857891322</v>
      </c>
      <c r="D84" s="4">
        <f ca="1">'Total Duration Tables Sup #2'!D84*(1-'Other Assumptions'!H13)</f>
        <v>46.544853792922289</v>
      </c>
      <c r="E84" s="4">
        <f ca="1">'Total Duration Tables Sup #2'!E84*(1-'Other Assumptions'!I13)</f>
        <v>42.822333916311614</v>
      </c>
      <c r="F84" s="4">
        <f ca="1">'Total Duration Tables Sup #2'!F84*(1-'Other Assumptions'!J13)</f>
        <v>38.671858341921414</v>
      </c>
      <c r="G84" s="4">
        <f ca="1">'Total Duration Tables Sup #2'!G84*(1-'Other Assumptions'!K13)</f>
        <v>33.994468125433045</v>
      </c>
      <c r="H84" s="4">
        <f ca="1">'Total Duration Tables Sup #2'!H84*(1-'Other Assumptions'!L13)</f>
        <v>29.110107308561421</v>
      </c>
      <c r="I84" s="1">
        <f ca="1">'Total Duration Tables Sup #2'!I84*(1-'Other Assumptions'!M13)</f>
        <v>24.266461376211044</v>
      </c>
      <c r="J84" s="1">
        <f ca="1">'Total Duration Tables Sup #2'!J84*(1-'Other Assumptions'!N13)</f>
        <v>19.36883480540931</v>
      </c>
      <c r="K84" s="1">
        <f ca="1">'Total Duration Tables Sup #2'!K84*(1-'Other Assumptions'!O13)</f>
        <v>14.470843105729626</v>
      </c>
    </row>
    <row r="85" spans="1:11" x14ac:dyDescent="0.2">
      <c r="A85" t="str">
        <f ca="1">OFFSET(Manawatu_Reference,21,2)</f>
        <v>Light Vehicle Passenger</v>
      </c>
      <c r="B85" s="4">
        <f ca="1">'Total Duration Tables Sup #2'!B85</f>
        <v>20.286542670999999</v>
      </c>
      <c r="C85" s="4">
        <f ca="1">'Total Duration Tables Sup #2'!C85*(1-'Other Assumptions'!G13)</f>
        <v>20.938065373913116</v>
      </c>
      <c r="D85" s="4">
        <f ca="1">'Total Duration Tables Sup #2'!D85*(1-'Other Assumptions'!H13)</f>
        <v>20.927124321076807</v>
      </c>
      <c r="E85" s="4">
        <f ca="1">'Total Duration Tables Sup #2'!E85*(1-'Other Assumptions'!I13)</f>
        <v>18.724872851115332</v>
      </c>
      <c r="F85" s="4">
        <f ca="1">'Total Duration Tables Sup #2'!F85*(1-'Other Assumptions'!J13)</f>
        <v>16.430711668783413</v>
      </c>
      <c r="G85" s="4">
        <f ca="1">'Total Duration Tables Sup #2'!G85*(1-'Other Assumptions'!K13)</f>
        <v>14.092083525839389</v>
      </c>
      <c r="H85" s="4">
        <f ca="1">'Total Duration Tables Sup #2'!H85*(1-'Other Assumptions'!L13)</f>
        <v>11.769192009427195</v>
      </c>
      <c r="I85" s="1">
        <f ca="1">'Total Duration Tables Sup #2'!I85*(1-'Other Assumptions'!M13)</f>
        <v>9.8169243928151939</v>
      </c>
      <c r="J85" s="1">
        <f ca="1">'Total Duration Tables Sup #2'!J85*(1-'Other Assumptions'!N13)</f>
        <v>7.8403790524685837</v>
      </c>
      <c r="K85" s="1">
        <f ca="1">'Total Duration Tables Sup #2'!K85*(1-'Other Assumptions'!O13)</f>
        <v>5.8612501920882423</v>
      </c>
    </row>
    <row r="86" spans="1:11" x14ac:dyDescent="0.2">
      <c r="A86" t="str">
        <f ca="1">OFFSET(Manawatu_Reference,28,2)</f>
        <v>Taxi/Vehicle Share</v>
      </c>
      <c r="B86" s="4">
        <f ca="1">'Total Duration Tables Sup #2'!B86</f>
        <v>0.26821620219999998</v>
      </c>
      <c r="C86" s="4">
        <f ca="1">'Total Duration Tables Sup #2'!C86+((C84+C85)*'Other Assumptions'!G13/(1-'Other Assumptions'!G13))</f>
        <v>0.29994760780927643</v>
      </c>
      <c r="D86" s="4">
        <f ca="1">'Total Duration Tables Sup #2'!D86+((D84+D85)*'Other Assumptions'!H13/(1-'Other Assumptions'!H13))</f>
        <v>0.32187050346065998</v>
      </c>
      <c r="E86" s="4">
        <f ca="1">'Total Duration Tables Sup #2'!E86+((E84+E85)*'Other Assumptions'!I13/(1-'Other Assumptions'!I13))</f>
        <v>7.1777865529575582</v>
      </c>
      <c r="F86" s="4">
        <f ca="1">'Total Duration Tables Sup #2'!F86+((F84+F85)*'Other Assumptions'!J13/(1-'Other Assumptions'!J13))</f>
        <v>14.127741131021885</v>
      </c>
      <c r="G86" s="4">
        <f ca="1">'Total Duration Tables Sup #2'!G86+((G84+G85)*'Other Assumptions'!K13/(1-'Other Assumptions'!K13))</f>
        <v>20.966429161587328</v>
      </c>
      <c r="H86" s="4">
        <f ca="1">'Total Duration Tables Sup #2'!H86+((H84+H85)*'Other Assumptions'!L13/(1-'Other Assumptions'!L13))</f>
        <v>27.614473877968521</v>
      </c>
      <c r="I86" s="1">
        <f ca="1">'Total Duration Tables Sup #2'!I86+((I84+I85)*'Other Assumptions'!M13/(1-'Other Assumptions'!M13))</f>
        <v>34.444234962386268</v>
      </c>
      <c r="J86" s="1">
        <f ca="1">'Total Duration Tables Sup #2'!J86+((J84+J85)*'Other Assumptions'!N13/(1-'Other Assumptions'!N13))</f>
        <v>41.172972003811246</v>
      </c>
      <c r="K86" s="1">
        <f ca="1">'Total Duration Tables Sup #2'!K86+((K84+K85)*'Other Assumptions'!O13/(1-'Other Assumptions'!O13))</f>
        <v>47.798455415944197</v>
      </c>
    </row>
    <row r="87" spans="1:11" x14ac:dyDescent="0.2">
      <c r="A87" t="str">
        <f ca="1">OFFSET(Manawatu_Reference,35,2)</f>
        <v>Motorcyclist</v>
      </c>
      <c r="B87" s="4">
        <f ca="1">'Total Duration Tables Sup #2'!B87</f>
        <v>0.1643149203</v>
      </c>
      <c r="C87" s="4">
        <f ca="1">'Total Duration Tables Sup #2'!C87</f>
        <v>0.17508901192177437</v>
      </c>
      <c r="D87" s="4">
        <f ca="1">'Total Duration Tables Sup #2'!D87</f>
        <v>0.17892291402254143</v>
      </c>
      <c r="E87" s="4">
        <f ca="1">'Total Duration Tables Sup #2'!E87</f>
        <v>0.18083688533899753</v>
      </c>
      <c r="F87" s="4">
        <f ca="1">'Total Duration Tables Sup #2'!F87</f>
        <v>0.18165421900019371</v>
      </c>
      <c r="G87" s="4">
        <f ca="1">'Total Duration Tables Sup #2'!G87</f>
        <v>0.17971453408774921</v>
      </c>
      <c r="H87" s="4">
        <f ca="1">'Total Duration Tables Sup #2'!H87</f>
        <v>0.17667483345363363</v>
      </c>
      <c r="I87" s="1">
        <f ca="1">'Total Duration Tables Sup #2'!I87</f>
        <v>0.17744159922238259</v>
      </c>
      <c r="J87" s="1">
        <f ca="1">'Total Duration Tables Sup #2'!J87</f>
        <v>0.17774531251378639</v>
      </c>
      <c r="K87" s="1">
        <f ca="1">'Total Duration Tables Sup #2'!K87</f>
        <v>0.17777089719754385</v>
      </c>
    </row>
    <row r="88" spans="1:11" x14ac:dyDescent="0.2">
      <c r="A88" t="str">
        <f ca="1">OFFSET(Taranaki_Reference,42,2)</f>
        <v>Local Train</v>
      </c>
      <c r="B88" s="4">
        <f ca="1">'Total Duration Tables Sup #2'!B88</f>
        <v>0</v>
      </c>
      <c r="C88" s="4">
        <f ca="1">'Total Duration Tables Sup #2'!C88</f>
        <v>0</v>
      </c>
      <c r="D88" s="4">
        <f ca="1">'Total Duration Tables Sup #2'!D88</f>
        <v>0</v>
      </c>
      <c r="E88" s="4">
        <f ca="1">'Total Duration Tables Sup #2'!E88</f>
        <v>0</v>
      </c>
      <c r="F88" s="4">
        <f ca="1">'Total Duration Tables Sup #2'!F88</f>
        <v>0</v>
      </c>
      <c r="G88" s="4">
        <f ca="1">'Total Duration Tables Sup #2'!G88</f>
        <v>0</v>
      </c>
      <c r="H88" s="4">
        <f ca="1">'Total Duration Tables Sup #2'!H88</f>
        <v>0</v>
      </c>
      <c r="I88" s="1">
        <f ca="1">'Total Duration Tables Sup #2'!I88</f>
        <v>0</v>
      </c>
      <c r="J88" s="1">
        <f ca="1">'Total Duration Tables Sup #2'!J88</f>
        <v>0</v>
      </c>
      <c r="K88" s="1">
        <f ca="1">'Total Duration Tables Sup #2'!K88</f>
        <v>0</v>
      </c>
    </row>
    <row r="89" spans="1:11" x14ac:dyDescent="0.2">
      <c r="A89" t="str">
        <f ca="1">OFFSET(Manawatu_Reference,42,2)</f>
        <v>Local Bus</v>
      </c>
      <c r="B89" s="4">
        <f ca="1">'Total Duration Tables Sup #2'!B89</f>
        <v>1.7349616699999999</v>
      </c>
      <c r="C89" s="4">
        <f ca="1">'Total Duration Tables Sup #2'!C89</f>
        <v>1.69281899105335</v>
      </c>
      <c r="D89" s="4">
        <f ca="1">'Total Duration Tables Sup #2'!D89</f>
        <v>1.6490673338223176</v>
      </c>
      <c r="E89" s="4">
        <f ca="1">'Total Duration Tables Sup #2'!E89</f>
        <v>1.6176177035558112</v>
      </c>
      <c r="F89" s="4">
        <f ca="1">'Total Duration Tables Sup #2'!F89</f>
        <v>1.5641926436753839</v>
      </c>
      <c r="G89" s="4">
        <f ca="1">'Total Duration Tables Sup #2'!G89</f>
        <v>1.5188155401302625</v>
      </c>
      <c r="H89" s="4">
        <f ca="1">'Total Duration Tables Sup #2'!H89</f>
        <v>1.4673478765957932</v>
      </c>
      <c r="I89" s="1">
        <f ca="1">'Total Duration Tables Sup #2'!I89</f>
        <v>1.4708865611337252</v>
      </c>
      <c r="J89" s="1">
        <f ca="1">'Total Duration Tables Sup #2'!J89</f>
        <v>1.470558688417432</v>
      </c>
      <c r="K89" s="1">
        <f ca="1">'Total Duration Tables Sup #2'!K89</f>
        <v>1.4679156809418321</v>
      </c>
    </row>
    <row r="90" spans="1:11" x14ac:dyDescent="0.2">
      <c r="A90" t="str">
        <f ca="1">OFFSET(Manawatu_Reference,49,2)</f>
        <v>Local Ferry</v>
      </c>
      <c r="B90" s="4">
        <f ca="1">'Total Duration Tables Sup #2'!B90</f>
        <v>1.3357738999999997E-2</v>
      </c>
      <c r="C90" s="4">
        <f ca="1">'Total Duration Tables Sup #2'!C90</f>
        <v>1.4570197550544733E-2</v>
      </c>
      <c r="D90" s="4">
        <f ca="1">'Total Duration Tables Sup #2'!D90</f>
        <v>1.5176924497518961E-2</v>
      </c>
      <c r="E90" s="4">
        <f ca="1">'Total Duration Tables Sup #2'!E90</f>
        <v>1.5439582594358573E-2</v>
      </c>
      <c r="F90" s="4">
        <f ca="1">'Total Duration Tables Sup #2'!F90</f>
        <v>1.547847512518777E-2</v>
      </c>
      <c r="G90" s="4">
        <f ca="1">'Total Duration Tables Sup #2'!G90</f>
        <v>1.5745790514896135E-2</v>
      </c>
      <c r="H90" s="4">
        <f ca="1">'Total Duration Tables Sup #2'!H90</f>
        <v>1.5863546034618398E-2</v>
      </c>
      <c r="I90" s="1">
        <f ca="1">'Total Duration Tables Sup #2'!I90</f>
        <v>1.5763753965763475E-2</v>
      </c>
      <c r="J90" s="1">
        <f ca="1">'Total Duration Tables Sup #2'!J90</f>
        <v>1.5624772086789418E-2</v>
      </c>
      <c r="K90" s="1">
        <f ca="1">'Total Duration Tables Sup #2'!K90</f>
        <v>1.5463996725348889E-2</v>
      </c>
    </row>
    <row r="91" spans="1:11" x14ac:dyDescent="0.2">
      <c r="A91" t="str">
        <f ca="1">OFFSET(Manawatu_Reference,56,2)</f>
        <v>Other Household Travel</v>
      </c>
      <c r="B91" s="4">
        <f ca="1">'Total Duration Tables Sup #2'!B91</f>
        <v>3.9735238899999997E-2</v>
      </c>
      <c r="C91" s="4">
        <f ca="1">'Total Duration Tables Sup #2'!C91</f>
        <v>4.2525125649771213E-2</v>
      </c>
      <c r="D91" s="4">
        <f ca="1">'Total Duration Tables Sup #2'!D91</f>
        <v>4.4200230090639211E-2</v>
      </c>
      <c r="E91" s="4">
        <f ca="1">'Total Duration Tables Sup #2'!E91</f>
        <v>4.4815356479435541E-2</v>
      </c>
      <c r="F91" s="4">
        <f ca="1">'Total Duration Tables Sup #2'!F91</f>
        <v>4.4980040844629775E-2</v>
      </c>
      <c r="G91" s="4">
        <f ca="1">'Total Duration Tables Sup #2'!G91</f>
        <v>4.5185613870042864E-2</v>
      </c>
      <c r="H91" s="4">
        <f ca="1">'Total Duration Tables Sup #2'!H91</f>
        <v>4.5004308927357246E-2</v>
      </c>
      <c r="I91" s="1">
        <f ca="1">'Total Duration Tables Sup #2'!I91</f>
        <v>4.495227543011588E-2</v>
      </c>
      <c r="J91" s="1">
        <f ca="1">'Total Duration Tables Sup #2'!J91</f>
        <v>4.4784544498350294E-2</v>
      </c>
      <c r="K91" s="1">
        <f ca="1">'Total Duration Tables Sup #2'!K91</f>
        <v>4.4549458859690569E-2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'Total Duration Tables Sup #2'!B93</f>
        <v>32.985647405999998</v>
      </c>
      <c r="C93" s="4">
        <f ca="1">'Total Duration Tables Sup #2'!C93+'Total Duration Tables Sup #2'!C95*'Other Assumptions'!G77*'Other Assumptions'!G84+'Total Duration Tables Sup #2'!C96*'Other Assumptions'!G77*'Other Assumptions'!G84</f>
        <v>35.182884366124448</v>
      </c>
      <c r="D93" s="4">
        <f ca="1">'Total Duration Tables Sup #2'!D93+'Total Duration Tables Sup #2'!D95*'Other Assumptions'!H77*'Other Assumptions'!H84+'Total Duration Tables Sup #2'!D96*'Other Assumptions'!H77*'Other Assumptions'!H84</f>
        <v>37.832151170368768</v>
      </c>
      <c r="E93" s="4">
        <f ca="1">'Total Duration Tables Sup #2'!E93+'Total Duration Tables Sup #2'!E95*'Other Assumptions'!I77*'Other Assumptions'!I84+'Total Duration Tables Sup #2'!E96*'Other Assumptions'!I77*'Other Assumptions'!I84</f>
        <v>39.98048703509567</v>
      </c>
      <c r="F93" s="4">
        <f ca="1">'Total Duration Tables Sup #2'!F93+'Total Duration Tables Sup #2'!F95*'Other Assumptions'!J77*'Other Assumptions'!J84+'Total Duration Tables Sup #2'!F96*'Other Assumptions'!J77*'Other Assumptions'!J84</f>
        <v>41.796433731051145</v>
      </c>
      <c r="G93" s="4">
        <f ca="1">'Total Duration Tables Sup #2'!G93+'Total Duration Tables Sup #2'!G95*'Other Assumptions'!K77*'Other Assumptions'!K84+'Total Duration Tables Sup #2'!G96*'Other Assumptions'!K77*'Other Assumptions'!K84</f>
        <v>43.432796157463542</v>
      </c>
      <c r="H93" s="4">
        <f ca="1">'Total Duration Tables Sup #2'!H93+'Total Duration Tables Sup #2'!H95*'Other Assumptions'!L77*'Other Assumptions'!L84+'Total Duration Tables Sup #2'!H96*'Other Assumptions'!L77*'Other Assumptions'!L84</f>
        <v>44.897295428493997</v>
      </c>
      <c r="I93" s="1">
        <f ca="1">'Total Duration Tables Sup #2'!I93+'Total Duration Tables Sup #2'!I95*'Other Assumptions'!M77*'Other Assumptions'!M84+'Total Duration Tables Sup #2'!I96*'Other Assumptions'!M77*'Other Assumptions'!M84</f>
        <v>45.817388152644895</v>
      </c>
      <c r="J93" s="1">
        <f ca="1">'Total Duration Tables Sup #2'!J93+'Total Duration Tables Sup #2'!J95*'Other Assumptions'!N77*'Other Assumptions'!N84+'Total Duration Tables Sup #2'!J96*'Other Assumptions'!N77*'Other Assumptions'!N84</f>
        <v>46.61758658827852</v>
      </c>
      <c r="K93" s="1">
        <f ca="1">'Total Duration Tables Sup #2'!K93+'Total Duration Tables Sup #2'!K95*'Other Assumptions'!O77*'Other Assumptions'!O84+'Total Duration Tables Sup #2'!K96*'Other Assumptions'!O77*'Other Assumptions'!O84</f>
        <v>47.340890916096356</v>
      </c>
    </row>
    <row r="94" spans="1:11" x14ac:dyDescent="0.2">
      <c r="A94" t="str">
        <f ca="1">OFFSET(Wellington_Reference,7,2)</f>
        <v>Cyclist</v>
      </c>
      <c r="B94" s="4">
        <f ca="1">'Total Duration Tables Sup #2'!B94</f>
        <v>3.6978261002999999</v>
      </c>
      <c r="C94" s="4">
        <f ca="1">'Total Duration Tables Sup #2'!C94+'Total Duration Tables Sup #2'!C95*'Other Assumptions'!G77*'Other Assumptions'!G83+'Total Duration Tables Sup #2'!C96*'Other Assumptions'!G77*'Other Assumptions'!G83</f>
        <v>4.0521624241155081</v>
      </c>
      <c r="D94" s="4">
        <f ca="1">'Total Duration Tables Sup #2'!D94+'Total Duration Tables Sup #2'!D95*'Other Assumptions'!H77*'Other Assumptions'!H83+'Total Duration Tables Sup #2'!D96*'Other Assumptions'!H77*'Other Assumptions'!H83</f>
        <v>5.0934119829939233</v>
      </c>
      <c r="E94" s="4">
        <f ca="1">'Total Duration Tables Sup #2'!E94+'Total Duration Tables Sup #2'!E95*'Other Assumptions'!I77*'Other Assumptions'!I83+'Total Duration Tables Sup #2'!E96*'Other Assumptions'!I77*'Other Assumptions'!I83</f>
        <v>6.0847862289206001</v>
      </c>
      <c r="F94" s="4">
        <f ca="1">'Total Duration Tables Sup #2'!F94+'Total Duration Tables Sup #2'!F95*'Other Assumptions'!J77*'Other Assumptions'!J83+'Total Duration Tables Sup #2'!F96*'Other Assumptions'!J77*'Other Assumptions'!J83</f>
        <v>7.1690390994194821</v>
      </c>
      <c r="G94" s="4">
        <f ca="1">'Total Duration Tables Sup #2'!G94+'Total Duration Tables Sup #2'!G95*'Other Assumptions'!K77*'Other Assumptions'!K83+'Total Duration Tables Sup #2'!G96*'Other Assumptions'!K77*'Other Assumptions'!K83</f>
        <v>8.3839363999841279</v>
      </c>
      <c r="H94" s="4">
        <f ca="1">'Total Duration Tables Sup #2'!H94+'Total Duration Tables Sup #2'!H95*'Other Assumptions'!L77*'Other Assumptions'!L83+'Total Duration Tables Sup #2'!H96*'Other Assumptions'!L77*'Other Assumptions'!L83</f>
        <v>9.674580218586927</v>
      </c>
      <c r="I94" s="1">
        <f ca="1">'Total Duration Tables Sup #2'!I94+'Total Duration Tables Sup #2'!I95*'Other Assumptions'!M77*'Other Assumptions'!M83+'Total Duration Tables Sup #2'!I96*'Other Assumptions'!M77*'Other Assumptions'!M83</f>
        <v>9.8830027946045274</v>
      </c>
      <c r="J94" s="1">
        <f ca="1">'Total Duration Tables Sup #2'!J94+'Total Duration Tables Sup #2'!J95*'Other Assumptions'!N77*'Other Assumptions'!N83+'Total Duration Tables Sup #2'!J96*'Other Assumptions'!N77*'Other Assumptions'!N83</f>
        <v>10.066258303428352</v>
      </c>
      <c r="K94" s="1">
        <f ca="1">'Total Duration Tables Sup #2'!K94+'Total Duration Tables Sup #2'!K95*'Other Assumptions'!O77*'Other Assumptions'!O83+'Total Duration Tables Sup #2'!K96*'Other Assumptions'!O77*'Other Assumptions'!O83</f>
        <v>10.233465787052502</v>
      </c>
    </row>
    <row r="95" spans="1:11" x14ac:dyDescent="0.2">
      <c r="A95" t="str">
        <f ca="1">OFFSET(Wellington_Reference,14,2)</f>
        <v>Light Vehicle Driver</v>
      </c>
      <c r="B95" s="4">
        <f ca="1">'Total Duration Tables Sup #2'!B95</f>
        <v>92.129697210000003</v>
      </c>
      <c r="C95" s="4">
        <f ca="1">'Total Duration Tables Sup #2'!C95*(1-'Other Assumptions'!G14)*(1-'Other Assumptions'!G77)</f>
        <v>101.65897947852402</v>
      </c>
      <c r="D95" s="4">
        <f ca="1">'Total Duration Tables Sup #2'!D95*(1-'Other Assumptions'!H14)*(1-'Other Assumptions'!H77)</f>
        <v>106.39864685876735</v>
      </c>
      <c r="E95" s="4">
        <f ca="1">'Total Duration Tables Sup #2'!E95*(1-'Other Assumptions'!I14)*(1-'Other Assumptions'!I77)</f>
        <v>99.522314873741038</v>
      </c>
      <c r="F95" s="4">
        <f ca="1">'Total Duration Tables Sup #2'!F95*(1-'Other Assumptions'!J14)*(1-'Other Assumptions'!J77)</f>
        <v>91.525276526237619</v>
      </c>
      <c r="G95" s="4">
        <f ca="1">'Total Duration Tables Sup #2'!G95*(1-'Other Assumptions'!K14)*(1-'Other Assumptions'!K77)</f>
        <v>81.907056128578432</v>
      </c>
      <c r="H95" s="4">
        <f ca="1">'Total Duration Tables Sup #2'!H95*(1-'Other Assumptions'!L14)*(1-'Other Assumptions'!L77)</f>
        <v>71.407597508239732</v>
      </c>
      <c r="I95" s="1">
        <f ca="1">'Total Duration Tables Sup #2'!I95*(1-'Other Assumptions'!M14)*(1-'Other Assumptions'!M77)</f>
        <v>60.674088679030149</v>
      </c>
      <c r="J95" s="1">
        <f ca="1">'Total Duration Tables Sup #2'!J95*(1-'Other Assumptions'!N14)*(1-'Other Assumptions'!N77)</f>
        <v>49.336495889654671</v>
      </c>
      <c r="K95" s="1">
        <f ca="1">'Total Duration Tables Sup #2'!K95*(1-'Other Assumptions'!O14)*(1-'Other Assumptions'!O77)</f>
        <v>37.532814149717694</v>
      </c>
    </row>
    <row r="96" spans="1:11" x14ac:dyDescent="0.2">
      <c r="A96" t="str">
        <f ca="1">OFFSET(Wellington_Reference,21,2)</f>
        <v>Light Vehicle Passenger</v>
      </c>
      <c r="B96" s="4">
        <f ca="1">'Total Duration Tables Sup #2'!B96</f>
        <v>48.966354531</v>
      </c>
      <c r="C96" s="4">
        <f ca="1">'Total Duration Tables Sup #2'!C96*(1-'Other Assumptions'!G14)*(1-'Other Assumptions'!G77+'Other Assumptions'!G77*'Other Assumptions'!G80)+'Total Duration Tables Sup #2'!C95*(1-'Other Assumptions'!G14)*'Other Assumptions'!G77*'Other Assumptions'!G80</f>
        <v>51.814476441108049</v>
      </c>
      <c r="D96" s="4">
        <f ca="1">'Total Duration Tables Sup #2'!D96*(1-'Other Assumptions'!H14)*(1-'Other Assumptions'!H77+'Other Assumptions'!H77*'Other Assumptions'!H80)+'Total Duration Tables Sup #2'!D95*(1-'Other Assumptions'!H14)*'Other Assumptions'!H77*'Other Assumptions'!H80</f>
        <v>52.465229929791775</v>
      </c>
      <c r="E96" s="4">
        <f ca="1">'Total Duration Tables Sup #2'!E96*(1-'Other Assumptions'!I14)*(1-'Other Assumptions'!I77+'Other Assumptions'!I77*'Other Assumptions'!I80)+'Total Duration Tables Sup #2'!E95*(1-'Other Assumptions'!I14)*'Other Assumptions'!I77*'Other Assumptions'!I80</f>
        <v>47.52366815680859</v>
      </c>
      <c r="F96" s="4">
        <f ca="1">'Total Duration Tables Sup #2'!F96*(1-'Other Assumptions'!J14)*(1-'Other Assumptions'!J77+'Other Assumptions'!J77*'Other Assumptions'!J80)+'Total Duration Tables Sup #2'!F95*(1-'Other Assumptions'!J14)*'Other Assumptions'!J77*'Other Assumptions'!J80</f>
        <v>42.337559248529232</v>
      </c>
      <c r="G96" s="4">
        <f ca="1">'Total Duration Tables Sup #2'!G96*(1-'Other Assumptions'!K14)*(1-'Other Assumptions'!K77+'Other Assumptions'!K77*'Other Assumptions'!K80)+'Total Duration Tables Sup #2'!G95*(1-'Other Assumptions'!K14)*'Other Assumptions'!K77*'Other Assumptions'!K80</f>
        <v>36.843083945943697</v>
      </c>
      <c r="H96" s="4">
        <f ca="1">'Total Duration Tables Sup #2'!H96*(1-'Other Assumptions'!L14)*(1-'Other Assumptions'!L77+'Other Assumptions'!L77*'Other Assumptions'!L80)+'Total Duration Tables Sup #2'!H95*(1-'Other Assumptions'!L14)*'Other Assumptions'!L77*'Other Assumptions'!L80</f>
        <v>31.205112138564466</v>
      </c>
      <c r="I96" s="1">
        <f ca="1">'Total Duration Tables Sup #2'!I96*(1-'Other Assumptions'!M14)*(1-'Other Assumptions'!M77+'Other Assumptions'!M77*'Other Assumptions'!M80)+'Total Duration Tables Sup #2'!I95*(1-'Other Assumptions'!M14)*'Other Assumptions'!M77*'Other Assumptions'!M80</f>
        <v>26.476759629487887</v>
      </c>
      <c r="J96" s="1">
        <f ca="1">'Total Duration Tables Sup #2'!J96*(1-'Other Assumptions'!N14)*(1-'Other Assumptions'!N77+'Other Assumptions'!N77*'Other Assumptions'!N80)+'Total Duration Tables Sup #2'!J95*(1-'Other Assumptions'!N14)*'Other Assumptions'!N77*'Other Assumptions'!N80</f>
        <v>21.492804038592581</v>
      </c>
      <c r="K96" s="1">
        <f ca="1">'Total Duration Tables Sup #2'!K96*(1-'Other Assumptions'!O14)*(1-'Other Assumptions'!O77+'Other Assumptions'!O77*'Other Assumptions'!O80)+'Total Duration Tables Sup #2'!K95*(1-'Other Assumptions'!O14)*'Other Assumptions'!O77*'Other Assumptions'!O80</f>
        <v>16.31943133649882</v>
      </c>
    </row>
    <row r="97" spans="1:11" x14ac:dyDescent="0.2">
      <c r="A97" t="str">
        <f ca="1">OFFSET(Wellington_Reference,28,2)</f>
        <v>Taxi/Vehicle Share</v>
      </c>
      <c r="B97" s="4">
        <f ca="1">'Total Duration Tables Sup #2'!B97</f>
        <v>0.76229285280000003</v>
      </c>
      <c r="C97" s="4">
        <f ca="1">'Total Duration Tables Sup #2'!C97+((C95+C96)*'Other Assumptions'!G14/(1-'Other Assumptions'!G14))</f>
        <v>0.87434898837796304</v>
      </c>
      <c r="D97" s="4">
        <f ca="1">'Total Duration Tables Sup #2'!D97+((D95+D96)*'Other Assumptions'!H14/(1-'Other Assumptions'!H14))</f>
        <v>0.96132943229717449</v>
      </c>
      <c r="E97" s="4">
        <f ca="1">'Total Duration Tables Sup #2'!E97+((E95+E96)*'Other Assumptions'!I14/(1-'Other Assumptions'!I14))</f>
        <v>17.372963897576344</v>
      </c>
      <c r="F97" s="4">
        <f ca="1">'Total Duration Tables Sup #2'!F97+((F95+F96)*'Other Assumptions'!J14/(1-'Other Assumptions'!J14))</f>
        <v>34.562323120013879</v>
      </c>
      <c r="G97" s="4">
        <f ca="1">'Total Duration Tables Sup #2'!G97+((G95+G96)*'Other Assumptions'!K14/(1-'Other Assumptions'!K14))</f>
        <v>52.031050954260103</v>
      </c>
      <c r="H97" s="4">
        <f ca="1">'Total Duration Tables Sup #2'!H97+((H95+H96)*'Other Assumptions'!L14/(1-'Other Assumptions'!L14))</f>
        <v>69.582793278600406</v>
      </c>
      <c r="I97" s="1">
        <f ca="1">'Total Duration Tables Sup #2'!I97+((I95+I96)*'Other Assumptions'!M14/(1-'Other Assumptions'!M14))</f>
        <v>88.347220035266474</v>
      </c>
      <c r="J97" s="1">
        <f ca="1">'Total Duration Tables Sup #2'!J97+((J95+J96)*'Other Assumptions'!N14/(1-'Other Assumptions'!N14))</f>
        <v>107.4592097601921</v>
      </c>
      <c r="K97" s="1">
        <f ca="1">'Total Duration Tables Sup #2'!K97+((K95+K96)*'Other Assumptions'!O14/(1-'Other Assumptions'!O14))</f>
        <v>126.88734852762941</v>
      </c>
    </row>
    <row r="98" spans="1:11" x14ac:dyDescent="0.2">
      <c r="A98" t="str">
        <f ca="1">OFFSET(Wellington_Reference,35,2)</f>
        <v>Motorcyclist</v>
      </c>
      <c r="B98" s="4">
        <f ca="1">'Total Duration Tables Sup #2'!B98</f>
        <v>0.71073078609999996</v>
      </c>
      <c r="C98" s="4">
        <f ca="1">'Total Duration Tables Sup #2'!C98</f>
        <v>0.77676489411244198</v>
      </c>
      <c r="D98" s="4">
        <f ca="1">'Total Duration Tables Sup #2'!D98</f>
        <v>0.81329539001394413</v>
      </c>
      <c r="E98" s="4">
        <f ca="1">'Total Duration Tables Sup #2'!E98</f>
        <v>0.8393665223973541</v>
      </c>
      <c r="F98" s="4">
        <f ca="1">'Total Duration Tables Sup #2'!F98</f>
        <v>0.86104589363910544</v>
      </c>
      <c r="G98" s="4">
        <f ca="1">'Total Duration Tables Sup #2'!G98</f>
        <v>0.8697562928436775</v>
      </c>
      <c r="H98" s="4">
        <f ca="1">'Total Duration Tables Sup #2'!H98</f>
        <v>0.873202306804853</v>
      </c>
      <c r="I98" s="1">
        <f ca="1">'Total Duration Tables Sup #2'!I98</f>
        <v>0.89533823955273806</v>
      </c>
      <c r="J98" s="1">
        <f ca="1">'Total Duration Tables Sup #2'!J98</f>
        <v>0.9153375070077997</v>
      </c>
      <c r="K98" s="1">
        <f ca="1">'Total Duration Tables Sup #2'!K98</f>
        <v>0.93400503285585024</v>
      </c>
    </row>
    <row r="99" spans="1:11" x14ac:dyDescent="0.2">
      <c r="A99" t="str">
        <f ca="1">OFFSET(Wellington_Reference,42,2)</f>
        <v>Local Train</v>
      </c>
      <c r="B99" s="4">
        <f ca="1">'Total Duration Tables Sup #2'!B99</f>
        <v>6.554720885672368</v>
      </c>
      <c r="C99" s="4">
        <f ca="1">'Total Duration Tables Sup #2'!C99+'Total Duration Tables Sup #2'!C95*'Other Assumptions'!G77*'Other Assumptions'!G82+'Total Duration Tables Sup #2'!C96*'Other Assumptions'!G77*'Other Assumptions'!G82</f>
        <v>7.147347666394003</v>
      </c>
      <c r="D99" s="4">
        <f ca="1">'Total Duration Tables Sup #2'!D99+'Total Duration Tables Sup #2'!D95*'Other Assumptions'!H77*'Other Assumptions'!H82+'Total Duration Tables Sup #2'!D96*'Other Assumptions'!H77*'Other Assumptions'!H82</f>
        <v>8.0577295993677467</v>
      </c>
      <c r="E99" s="4">
        <f ca="1">'Total Duration Tables Sup #2'!E99+'Total Duration Tables Sup #2'!E95*'Other Assumptions'!I77*'Other Assumptions'!I82+'Total Duration Tables Sup #2'!E96*'Other Assumptions'!I77*'Other Assumptions'!I82</f>
        <v>8.8151474128649614</v>
      </c>
      <c r="F99" s="4">
        <f ca="1">'Total Duration Tables Sup #2'!F99+'Total Duration Tables Sup #2'!F95*'Other Assumptions'!J77*'Other Assumptions'!J82+'Total Duration Tables Sup #2'!F96*'Other Assumptions'!J77*'Other Assumptions'!J82</f>
        <v>9.4038995195463997</v>
      </c>
      <c r="G99" s="4">
        <f ca="1">'Total Duration Tables Sup #2'!G99+'Total Duration Tables Sup #2'!G95*'Other Assumptions'!K77*'Other Assumptions'!K82+'Total Duration Tables Sup #2'!G96*'Other Assumptions'!K77*'Other Assumptions'!K82</f>
        <v>10.023222923134959</v>
      </c>
      <c r="H99" s="4">
        <f ca="1">'Total Duration Tables Sup #2'!H99+'Total Duration Tables Sup #2'!H95*'Other Assumptions'!L77*'Other Assumptions'!L82+'Total Duration Tables Sup #2'!H96*'Other Assumptions'!L77*'Other Assumptions'!L82</f>
        <v>10.636520862586156</v>
      </c>
      <c r="I99" s="1">
        <f ca="1">'Total Duration Tables Sup #2'!I99+'Total Duration Tables Sup #2'!I95*'Other Assumptions'!M77*'Other Assumptions'!M82+'Total Duration Tables Sup #2'!I96*'Other Assumptions'!M77*'Other Assumptions'!M82</f>
        <v>11.42041181872113</v>
      </c>
      <c r="J99" s="1">
        <f ca="1">'Total Duration Tables Sup #2'!J99+'Total Duration Tables Sup #2'!J95*'Other Assumptions'!N77*'Other Assumptions'!N82+'Total Duration Tables Sup #2'!J96*'Other Assumptions'!N77*'Other Assumptions'!N82</f>
        <v>12.260358093054887</v>
      </c>
      <c r="K99" s="1">
        <f ca="1">'Total Duration Tables Sup #2'!K99+'Total Duration Tables Sup #2'!K95*'Other Assumptions'!O77*'Other Assumptions'!O82+'Total Duration Tables Sup #2'!K96*'Other Assumptions'!O77*'Other Assumptions'!O82</f>
        <v>13.165277068451392</v>
      </c>
    </row>
    <row r="100" spans="1:11" x14ac:dyDescent="0.2">
      <c r="A100" t="str">
        <f ca="1">OFFSET(Wellington_Reference,49,2)</f>
        <v>Local Bus</v>
      </c>
      <c r="B100" s="4">
        <f ca="1">'Total Duration Tables Sup #2'!B100</f>
        <v>8.2404499312721509</v>
      </c>
      <c r="C100" s="4">
        <f ca="1">'Total Duration Tables Sup #2'!C100+'Total Duration Tables Sup #2'!C95*'Other Assumptions'!G77*'Other Assumptions'!G81+'Total Duration Tables Sup #2'!C96*'Other Assumptions'!G77*'Other Assumptions'!G81</f>
        <v>8.7422869707199293</v>
      </c>
      <c r="D100" s="4">
        <f ca="1">'Total Duration Tables Sup #2'!D100+'Total Duration Tables Sup #2'!D95*'Other Assumptions'!H77*'Other Assumptions'!H81+'Total Duration Tables Sup #2'!D96*'Other Assumptions'!H77*'Other Assumptions'!H81</f>
        <v>9.8871524641073947</v>
      </c>
      <c r="E100" s="4">
        <f ca="1">'Total Duration Tables Sup #2'!E100+'Total Duration Tables Sup #2'!E95*'Other Assumptions'!I77*'Other Assumptions'!I81+'Total Duration Tables Sup #2'!E96*'Other Assumptions'!I77*'Other Assumptions'!I81</f>
        <v>10.530305994499781</v>
      </c>
      <c r="F100" s="4">
        <f ca="1">'Total Duration Tables Sup #2'!F100+'Total Duration Tables Sup #2'!F95*'Other Assumptions'!J77*'Other Assumptions'!J81+'Total Duration Tables Sup #2'!F96*'Other Assumptions'!J77*'Other Assumptions'!J81</f>
        <v>10.678862673644721</v>
      </c>
      <c r="G100" s="4">
        <f ca="1">'Total Duration Tables Sup #2'!G100+'Total Duration Tables Sup #2'!G95*'Other Assumptions'!K77*'Other Assumptions'!K81+'Total Duration Tables Sup #2'!G96*'Other Assumptions'!K77*'Other Assumptions'!K81</f>
        <v>10.823977825714833</v>
      </c>
      <c r="H100" s="4">
        <f ca="1">'Total Duration Tables Sup #2'!H100+'Total Duration Tables Sup #2'!H95*'Other Assumptions'!L77*'Other Assumptions'!L81+'Total Duration Tables Sup #2'!H96*'Other Assumptions'!L77*'Other Assumptions'!L81</f>
        <v>10.953220719362616</v>
      </c>
      <c r="I100" s="1">
        <f ca="1">'Total Duration Tables Sup #2'!I100+'Total Duration Tables Sup #2'!I95*'Other Assumptions'!M77*'Other Assumptions'!M81+'Total Duration Tables Sup #2'!I96*'Other Assumptions'!M77*'Other Assumptions'!M81</f>
        <v>11.404204993864143</v>
      </c>
      <c r="J100" s="1">
        <f ca="1">'Total Duration Tables Sup #2'!J100+'Total Duration Tables Sup #2'!J95*'Other Assumptions'!N77*'Other Assumptions'!N81+'Total Duration Tables Sup #2'!J96*'Other Assumptions'!N77*'Other Assumptions'!N81</f>
        <v>11.875668243286478</v>
      </c>
      <c r="K100" s="1">
        <f ca="1">'Total Duration Tables Sup #2'!K100+'Total Duration Tables Sup #2'!K95*'Other Assumptions'!O77*'Other Assumptions'!O81+'Total Duration Tables Sup #2'!K96*'Other Assumptions'!O77*'Other Assumptions'!O81</f>
        <v>12.369625648474756</v>
      </c>
    </row>
    <row r="101" spans="1:11" x14ac:dyDescent="0.2">
      <c r="A101" t="str">
        <f ca="1">OFFSET(Wellington_Reference,56,2)</f>
        <v>Local Ferry</v>
      </c>
      <c r="B101" s="4">
        <f ca="1">'Total Duration Tables Sup #2'!B101</f>
        <v>5.6537513499999983E-2</v>
      </c>
      <c r="C101" s="4">
        <f ca="1">'Total Duration Tables Sup #2'!C101</f>
        <v>6.3251635776118642E-2</v>
      </c>
      <c r="D101" s="4">
        <f ca="1">'Total Duration Tables Sup #2'!D101</f>
        <v>6.7505902100745141E-2</v>
      </c>
      <c r="E101" s="4">
        <f ca="1">'Total Duration Tables Sup #2'!E101</f>
        <v>7.0125473090407828E-2</v>
      </c>
      <c r="F101" s="4">
        <f ca="1">'Total Duration Tables Sup #2'!F101</f>
        <v>7.1793414385709728E-2</v>
      </c>
      <c r="G101" s="4">
        <f ca="1">'Total Duration Tables Sup #2'!G101</f>
        <v>7.4568339326688632E-2</v>
      </c>
      <c r="H101" s="4">
        <f ca="1">'Total Duration Tables Sup #2'!H101</f>
        <v>7.6721322540174886E-2</v>
      </c>
      <c r="I101" s="1">
        <f ca="1">'Total Duration Tables Sup #2'!I101</f>
        <v>7.7833572044866878E-2</v>
      </c>
      <c r="J101" s="1">
        <f ca="1">'Total Duration Tables Sup #2'!J101</f>
        <v>7.8735831260817804E-2</v>
      </c>
      <c r="K101" s="1">
        <f ca="1">'Total Duration Tables Sup #2'!K101</f>
        <v>7.9503440833833955E-2</v>
      </c>
    </row>
    <row r="102" spans="1:11" x14ac:dyDescent="0.2">
      <c r="A102" t="str">
        <f ca="1">OFFSET(Wellington_Reference,63,2)</f>
        <v>Other Household Travel</v>
      </c>
      <c r="B102" s="4">
        <f ca="1">'Total Duration Tables Sup #2'!B102</f>
        <v>0.36538599710000003</v>
      </c>
      <c r="C102" s="4">
        <f ca="1">'Total Duration Tables Sup #2'!C102</f>
        <v>0.40107375761034142</v>
      </c>
      <c r="D102" s="4">
        <f ca="1">'Total Duration Tables Sup #2'!D102</f>
        <v>0.42712483290375652</v>
      </c>
      <c r="E102" s="4">
        <f ca="1">'Total Duration Tables Sup #2'!E102</f>
        <v>0.44222106333161965</v>
      </c>
      <c r="F102" s="4">
        <f ca="1">'Total Duration Tables Sup #2'!F102</f>
        <v>0.4532612584347534</v>
      </c>
      <c r="G102" s="4">
        <f ca="1">'Total Duration Tables Sup #2'!G102</f>
        <v>0.46490317155788713</v>
      </c>
      <c r="H102" s="4">
        <f ca="1">'Total Duration Tables Sup #2'!H102</f>
        <v>0.47287050367280031</v>
      </c>
      <c r="I102" s="1">
        <f ca="1">'Total Duration Tables Sup #2'!I102</f>
        <v>0.48220456155977098</v>
      </c>
      <c r="J102" s="1">
        <f ca="1">'Total Duration Tables Sup #2'!J102</f>
        <v>0.49029696769129422</v>
      </c>
      <c r="K102" s="1">
        <f ca="1">'Total Duration Tables Sup #2'!K102</f>
        <v>0.49759834706653144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'Total Duration Tables Sup #2'!B104</f>
        <v>7.2640217022</v>
      </c>
      <c r="C104" s="4">
        <f ca="1">'Total Duration Tables Sup #2'!C104</f>
        <v>7.4752009815952425</v>
      </c>
      <c r="D104" s="4">
        <f ca="1">'Total Duration Tables Sup #2'!D104</f>
        <v>7.8444230712781033</v>
      </c>
      <c r="E104" s="4">
        <f ca="1">'Total Duration Tables Sup #2'!E104</f>
        <v>8.1239080143506772</v>
      </c>
      <c r="F104" s="4">
        <f ca="1">'Total Duration Tables Sup #2'!F104</f>
        <v>8.3175876793937622</v>
      </c>
      <c r="G104" s="4">
        <f ca="1">'Total Duration Tables Sup #2'!G104</f>
        <v>8.4613589502860851</v>
      </c>
      <c r="H104" s="4">
        <f ca="1">'Total Duration Tables Sup #2'!H104</f>
        <v>8.5490180765388111</v>
      </c>
      <c r="I104" s="1">
        <f ca="1">'Total Duration Tables Sup #2'!I104</f>
        <v>8.5246467566017756</v>
      </c>
      <c r="J104" s="1">
        <f ca="1">'Total Duration Tables Sup #2'!J104</f>
        <v>8.4738278930648097</v>
      </c>
      <c r="K104" s="1">
        <f ca="1">'Total Duration Tables Sup #2'!K104</f>
        <v>8.4057454270304586</v>
      </c>
    </row>
    <row r="105" spans="1:11" x14ac:dyDescent="0.2">
      <c r="A105" t="str">
        <f ca="1">OFFSET(Nelson_Reference,7,2)</f>
        <v>Cyclist</v>
      </c>
      <c r="B105" s="4">
        <f ca="1">'Total Duration Tables Sup #2'!B105</f>
        <v>1.0417220854</v>
      </c>
      <c r="C105" s="4">
        <f ca="1">'Total Duration Tables Sup #2'!C105</f>
        <v>1.1013448757812274</v>
      </c>
      <c r="D105" s="4">
        <f ca="1">'Total Duration Tables Sup #2'!D105</f>
        <v>1.3494136698627328</v>
      </c>
      <c r="E105" s="4">
        <f ca="1">'Total Duration Tables Sup #2'!E105</f>
        <v>1.5787104276826214</v>
      </c>
      <c r="F105" s="4">
        <f ca="1">'Total Duration Tables Sup #2'!F105</f>
        <v>1.8212438041571</v>
      </c>
      <c r="G105" s="4">
        <f ca="1">'Total Duration Tables Sup #2'!G105</f>
        <v>2.0845339051421763</v>
      </c>
      <c r="H105" s="4">
        <f ca="1">'Total Duration Tables Sup #2'!H105</f>
        <v>2.3503797933441697</v>
      </c>
      <c r="I105" s="1">
        <f ca="1">'Total Duration Tables Sup #2'!I105</f>
        <v>2.3456332407487031</v>
      </c>
      <c r="J105" s="1">
        <f ca="1">'Total Duration Tables Sup #2'!J105</f>
        <v>2.3335772902456826</v>
      </c>
      <c r="K105" s="1">
        <f ca="1">'Total Duration Tables Sup #2'!K105</f>
        <v>2.3167269926349814</v>
      </c>
    </row>
    <row r="106" spans="1:11" x14ac:dyDescent="0.2">
      <c r="A106" t="str">
        <f ca="1">OFFSET(Nelson_Reference,14,2)</f>
        <v>Light Vehicle Driver</v>
      </c>
      <c r="B106" s="4">
        <f ca="1">'Total Duration Tables Sup #2'!B106</f>
        <v>23.635435057999999</v>
      </c>
      <c r="C106" s="4">
        <f ca="1">'Total Duration Tables Sup #2'!C106*(1-'Other Assumptions'!G15)</f>
        <v>25.166997550260163</v>
      </c>
      <c r="D106" s="4">
        <f ca="1">'Total Duration Tables Sup #2'!D106*(1-'Other Assumptions'!H15)</f>
        <v>25.799979164614701</v>
      </c>
      <c r="E106" s="4">
        <f ca="1">'Total Duration Tables Sup #2'!E106*(1-'Other Assumptions'!I15)</f>
        <v>23.710653352550992</v>
      </c>
      <c r="F106" s="4">
        <f ca="1">'Total Duration Tables Sup #2'!F106*(1-'Other Assumptions'!J15)</f>
        <v>21.388603907148177</v>
      </c>
      <c r="G106" s="4">
        <f ca="1">'Total Duration Tables Sup #2'!G106*(1-'Other Assumptions'!K15)</f>
        <v>18.768933084665974</v>
      </c>
      <c r="H106" s="4">
        <f ca="1">'Total Duration Tables Sup #2'!H106*(1-'Other Assumptions'!L15)</f>
        <v>16.021907572642284</v>
      </c>
      <c r="I106" s="1">
        <f ca="1">'Total Duration Tables Sup #2'!I106*(1-'Other Assumptions'!M15)</f>
        <v>13.320935209989166</v>
      </c>
      <c r="J106" s="1">
        <f ca="1">'Total Duration Tables Sup #2'!J106*(1-'Other Assumptions'!N15)</f>
        <v>10.599055327826337</v>
      </c>
      <c r="K106" s="1">
        <f ca="1">'Total Duration Tables Sup #2'!K106*(1-'Other Assumptions'!O15)</f>
        <v>7.8897273024786641</v>
      </c>
    </row>
    <row r="107" spans="1:11" x14ac:dyDescent="0.2">
      <c r="A107" t="str">
        <f ca="1">OFFSET(Nelson_Reference,21,2)</f>
        <v>Light Vehicle Passenger</v>
      </c>
      <c r="B107" s="4">
        <f ca="1">'Total Duration Tables Sup #2'!B107</f>
        <v>11.910351560000001</v>
      </c>
      <c r="C107" s="4">
        <f ca="1">'Total Duration Tables Sup #2'!C107*(1-'Other Assumptions'!G15)</f>
        <v>12.1642900199049</v>
      </c>
      <c r="D107" s="4">
        <f ca="1">'Total Duration Tables Sup #2'!D107*(1-'Other Assumptions'!H15)</f>
        <v>12.11744723479932</v>
      </c>
      <c r="E107" s="4">
        <f ca="1">'Total Duration Tables Sup #2'!E107*(1-'Other Assumptions'!I15)</f>
        <v>10.819714738542444</v>
      </c>
      <c r="F107" s="4">
        <f ca="1">'Total Duration Tables Sup #2'!F107*(1-'Other Assumptions'!J15)</f>
        <v>9.4735080607759095</v>
      </c>
      <c r="G107" s="4">
        <f ca="1">'Total Duration Tables Sup #2'!G107*(1-'Other Assumptions'!K15)</f>
        <v>8.1020453859439474</v>
      </c>
      <c r="H107" s="4">
        <f ca="1">'Total Duration Tables Sup #2'!H107*(1-'Other Assumptions'!L15)</f>
        <v>6.7374774181222143</v>
      </c>
      <c r="I107" s="1">
        <f ca="1">'Total Duration Tables Sup #2'!I107*(1-'Other Assumptions'!M15)</f>
        <v>5.6051620632646699</v>
      </c>
      <c r="J107" s="1">
        <f ca="1">'Total Duration Tables Sup #2'!J107*(1-'Other Assumptions'!N15)</f>
        <v>4.4626143130263554</v>
      </c>
      <c r="K107" s="1">
        <f ca="1">'Total Duration Tables Sup #2'!K107*(1-'Other Assumptions'!O15)</f>
        <v>3.3239247245557122</v>
      </c>
    </row>
    <row r="108" spans="1:11" x14ac:dyDescent="0.2">
      <c r="A108" t="str">
        <f ca="1">OFFSET(Nelson_Reference,28,2)</f>
        <v>Taxi/Vehicle Share</v>
      </c>
      <c r="B108" s="4">
        <f ca="1">'Total Duration Tables Sup #2'!B108</f>
        <v>8.1526233300000001E-2</v>
      </c>
      <c r="C108" s="4">
        <f ca="1">'Total Duration Tables Sup #2'!C108+((C106+C107)*'Other Assumptions'!G15/(1-'Other Assumptions'!G15))</f>
        <v>9.0217636158021919E-2</v>
      </c>
      <c r="D108" s="4">
        <f ca="1">'Total Duration Tables Sup #2'!D108+((D106+D107)*'Other Assumptions'!H15/(1-'Other Assumptions'!H15))</f>
        <v>9.6689358743590317E-2</v>
      </c>
      <c r="E108" s="4">
        <f ca="1">'Total Duration Tables Sup #2'!E108+((E106+E107)*'Other Assumptions'!I15/(1-'Other Assumptions'!I15))</f>
        <v>3.9386058206814818</v>
      </c>
      <c r="F108" s="4">
        <f ca="1">'Total Duration Tables Sup #2'!F108+((F106+F107)*'Other Assumptions'!J15/(1-'Other Assumptions'!J15))</f>
        <v>7.8212903525489903</v>
      </c>
      <c r="G108" s="4">
        <f ca="1">'Total Duration Tables Sup #2'!G108+((G106+G107)*'Other Assumptions'!K15/(1-'Other Assumptions'!K15))</f>
        <v>11.623563350019431</v>
      </c>
      <c r="H108" s="4">
        <f ca="1">'Total Duration Tables Sup #2'!H108+((H106+H107)*'Other Assumptions'!L15/(1-'Other Assumptions'!L15))</f>
        <v>15.281231836952546</v>
      </c>
      <c r="I108" s="1">
        <f ca="1">'Total Duration Tables Sup #2'!I108+((I106+I107)*'Other Assumptions'!M15/(1-'Other Assumptions'!M15))</f>
        <v>19.03389447111519</v>
      </c>
      <c r="J108" s="1">
        <f ca="1">'Total Duration Tables Sup #2'!J108+((J106+J107)*'Other Assumptions'!N15/(1-'Other Assumptions'!N15))</f>
        <v>22.699457571108326</v>
      </c>
      <c r="K108" s="1">
        <f ca="1">'Total Duration Tables Sup #2'!K108+((K106+K107)*'Other Assumptions'!O15/(1-'Other Assumptions'!O15))</f>
        <v>26.271082076641314</v>
      </c>
    </row>
    <row r="109" spans="1:11" x14ac:dyDescent="0.2">
      <c r="A109" t="str">
        <f ca="1">OFFSET(Nelson_Reference,35,2)</f>
        <v>Motorcyclist</v>
      </c>
      <c r="B109" s="4">
        <f ca="1">'Total Duration Tables Sup #2'!B109</f>
        <v>0.60769230029999999</v>
      </c>
      <c r="C109" s="4">
        <f ca="1">'Total Duration Tables Sup #2'!C109</f>
        <v>0.64076576135297714</v>
      </c>
      <c r="D109" s="4">
        <f ca="1">'Total Duration Tables Sup #2'!D109</f>
        <v>0.65397000280002138</v>
      </c>
      <c r="E109" s="4">
        <f ca="1">'Total Duration Tables Sup #2'!E109</f>
        <v>0.66097040413489727</v>
      </c>
      <c r="F109" s="4">
        <f ca="1">'Total Duration Tables Sup #2'!F109</f>
        <v>0.66390609536329803</v>
      </c>
      <c r="G109" s="4">
        <f ca="1">'Total Duration Tables Sup #2'!G109</f>
        <v>0.6563444021822582</v>
      </c>
      <c r="H109" s="4">
        <f ca="1">'Total Duration Tables Sup #2'!H109</f>
        <v>0.64386379764581214</v>
      </c>
      <c r="I109" s="1">
        <f ca="1">'Total Duration Tables Sup #2'!I109</f>
        <v>0.64495815809371237</v>
      </c>
      <c r="J109" s="1">
        <f ca="1">'Total Duration Tables Sup #2'!J109</f>
        <v>0.64403370367265755</v>
      </c>
      <c r="K109" s="1">
        <f ca="1">'Total Duration Tables Sup #2'!K109</f>
        <v>0.64176281695635995</v>
      </c>
    </row>
    <row r="110" spans="1:11" x14ac:dyDescent="0.2">
      <c r="A110" t="str">
        <f ca="1">OFFSET(Nelson_Reference,42,2)</f>
        <v>Local Train</v>
      </c>
      <c r="B110" s="4">
        <f ca="1">'Total Duration Tables Sup #2'!B110</f>
        <v>0</v>
      </c>
      <c r="C110" s="4">
        <f ca="1">'Total Duration Tables Sup #2'!C110</f>
        <v>0</v>
      </c>
      <c r="D110" s="4">
        <f ca="1">'Total Duration Tables Sup #2'!D110</f>
        <v>0</v>
      </c>
      <c r="E110" s="4">
        <f ca="1">'Total Duration Tables Sup #2'!E110</f>
        <v>0</v>
      </c>
      <c r="F110" s="4">
        <f ca="1">'Total Duration Tables Sup #2'!F110</f>
        <v>0</v>
      </c>
      <c r="G110" s="4">
        <f ca="1">'Total Duration Tables Sup #2'!G110</f>
        <v>0</v>
      </c>
      <c r="H110" s="4">
        <f ca="1">'Total Duration Tables Sup #2'!H110</f>
        <v>0</v>
      </c>
      <c r="I110" s="1">
        <f ca="1">'Total Duration Tables Sup #2'!I110</f>
        <v>0</v>
      </c>
      <c r="J110" s="1">
        <f ca="1">'Total Duration Tables Sup #2'!J110</f>
        <v>0</v>
      </c>
      <c r="K110" s="1">
        <f ca="1">'Total Duration Tables Sup #2'!K110</f>
        <v>0</v>
      </c>
    </row>
    <row r="111" spans="1:11" x14ac:dyDescent="0.2">
      <c r="A111" t="str">
        <f ca="1">OFFSET(Nelson_Reference,49,2)</f>
        <v>Local Bus</v>
      </c>
      <c r="B111" s="4">
        <f ca="1">'Total Duration Tables Sup #2'!B111</f>
        <v>0.94491203199999996</v>
      </c>
      <c r="C111" s="4">
        <f ca="1">'Total Duration Tables Sup #2'!C111</f>
        <v>0.91231683652635287</v>
      </c>
      <c r="D111" s="4">
        <f ca="1">'Total Duration Tables Sup #2'!D111</f>
        <v>0.88761578218005699</v>
      </c>
      <c r="E111" s="4">
        <f ca="1">'Total Duration Tables Sup #2'!E111</f>
        <v>0.870694193337335</v>
      </c>
      <c r="F111" s="4">
        <f ca="1">'Total Duration Tables Sup #2'!F111</f>
        <v>0.84187219768229893</v>
      </c>
      <c r="G111" s="4">
        <f ca="1">'Total Duration Tables Sup #2'!G111</f>
        <v>0.81686140637600957</v>
      </c>
      <c r="H111" s="4">
        <f ca="1">'Total Duration Tables Sup #2'!H111</f>
        <v>0.78749384046753368</v>
      </c>
      <c r="I111" s="1">
        <f ca="1">'Total Duration Tables Sup #2'!I111</f>
        <v>0.78731774329071647</v>
      </c>
      <c r="J111" s="1">
        <f ca="1">'Total Duration Tables Sup #2'!J111</f>
        <v>0.78467092735019128</v>
      </c>
      <c r="K111" s="1">
        <f ca="1">'Total Duration Tables Sup #2'!K111</f>
        <v>0.78038651800884584</v>
      </c>
    </row>
    <row r="112" spans="1:11" x14ac:dyDescent="0.2">
      <c r="A112" t="str">
        <f ca="1">OFFSET(Wellington_Reference,56,2)</f>
        <v>Local Ferry</v>
      </c>
      <c r="B112" s="4">
        <f ca="1">'Total Duration Tables Sup #2'!B112</f>
        <v>0</v>
      </c>
      <c r="C112" s="4">
        <f ca="1">'Total Duration Tables Sup #2'!C112</f>
        <v>0</v>
      </c>
      <c r="D112" s="4">
        <f ca="1">'Total Duration Tables Sup #2'!D112</f>
        <v>0</v>
      </c>
      <c r="E112" s="4">
        <f ca="1">'Total Duration Tables Sup #2'!E112</f>
        <v>0</v>
      </c>
      <c r="F112" s="4">
        <f ca="1">'Total Duration Tables Sup #2'!F112</f>
        <v>0</v>
      </c>
      <c r="G112" s="4">
        <f ca="1">'Total Duration Tables Sup #2'!G112</f>
        <v>0</v>
      </c>
      <c r="H112" s="4">
        <f ca="1">'Total Duration Tables Sup #2'!H112</f>
        <v>0</v>
      </c>
      <c r="I112" s="1">
        <f ca="1">'Total Duration Tables Sup #2'!I112</f>
        <v>0</v>
      </c>
      <c r="J112" s="1">
        <f ca="1">'Total Duration Tables Sup #2'!J112</f>
        <v>0</v>
      </c>
      <c r="K112" s="1">
        <f ca="1">'Total Duration Tables Sup #2'!K112</f>
        <v>0</v>
      </c>
    </row>
    <row r="113" spans="1:11" x14ac:dyDescent="0.2">
      <c r="A113" t="str">
        <f ca="1">OFFSET(Nelson_Reference,56,2)</f>
        <v>Other Household Travel</v>
      </c>
      <c r="B113" s="4">
        <f ca="1">'Total Duration Tables Sup #2'!B113</f>
        <v>0.51346004550000002</v>
      </c>
      <c r="C113" s="4">
        <f ca="1">'Total Duration Tables Sup #2'!C113</f>
        <v>0.54376356539214077</v>
      </c>
      <c r="D113" s="4">
        <f ca="1">'Total Duration Tables Sup #2'!D113</f>
        <v>0.5644695104734917</v>
      </c>
      <c r="E113" s="4">
        <f ca="1">'Total Duration Tables Sup #2'!E113</f>
        <v>0.57232925282398039</v>
      </c>
      <c r="F113" s="4">
        <f ca="1">'Total Duration Tables Sup #2'!F113</f>
        <v>0.57438766614126824</v>
      </c>
      <c r="G113" s="4">
        <f ca="1">'Total Duration Tables Sup #2'!G113</f>
        <v>0.57659764510357336</v>
      </c>
      <c r="H113" s="4">
        <f ca="1">'Total Duration Tables Sup #2'!H113</f>
        <v>0.57305658412153548</v>
      </c>
      <c r="I113" s="1">
        <f ca="1">'Total Duration Tables Sup #2'!I113</f>
        <v>0.57088925753377839</v>
      </c>
      <c r="J113" s="1">
        <f ca="1">'Total Duration Tables Sup #2'!J113</f>
        <v>0.56697341268261348</v>
      </c>
      <c r="K113" s="1">
        <f ca="1">'Total Duration Tables Sup #2'!K113</f>
        <v>0.5619276637717967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'Total Duration Tables Sup #2'!B115</f>
        <v>1.1518220776999999</v>
      </c>
      <c r="C115" s="4">
        <f ca="1">'Total Duration Tables Sup #2'!C115</f>
        <v>1.1133264153295506</v>
      </c>
      <c r="D115" s="4">
        <f ca="1">'Total Duration Tables Sup #2'!D115</f>
        <v>1.1340888373272298</v>
      </c>
      <c r="E115" s="4">
        <f ca="1">'Total Duration Tables Sup #2'!E115</f>
        <v>1.1419886548246752</v>
      </c>
      <c r="F115" s="4">
        <f ca="1">'Total Duration Tables Sup #2'!F115</f>
        <v>1.137348805447842</v>
      </c>
      <c r="G115" s="4">
        <f ca="1">'Total Duration Tables Sup #2'!G115</f>
        <v>1.1260625162418989</v>
      </c>
      <c r="H115" s="4">
        <f ca="1">'Total Duration Tables Sup #2'!H115</f>
        <v>1.1102114651826329</v>
      </c>
      <c r="I115" s="1">
        <f ca="1">'Total Duration Tables Sup #2'!I115</f>
        <v>1.080220648227618</v>
      </c>
      <c r="J115" s="1">
        <f ca="1">'Total Duration Tables Sup #2'!J115</f>
        <v>1.0477117835768228</v>
      </c>
      <c r="K115" s="1">
        <f ca="1">'Total Duration Tables Sup #2'!K115</f>
        <v>1.0140141218632932</v>
      </c>
    </row>
    <row r="116" spans="1:11" x14ac:dyDescent="0.2">
      <c r="A116" t="str">
        <f ca="1">OFFSET(West_Coast_Reference,7,2)</f>
        <v>Cyclist</v>
      </c>
      <c r="B116" s="4">
        <f ca="1">'Total Duration Tables Sup #2'!B116</f>
        <v>0.17528853950000001</v>
      </c>
      <c r="C116" s="4">
        <f ca="1">'Total Duration Tables Sup #2'!C116</f>
        <v>0.17406696631240035</v>
      </c>
      <c r="D116" s="4">
        <f ca="1">'Total Duration Tables Sup #2'!D116</f>
        <v>0.2070258412053661</v>
      </c>
      <c r="E116" s="4">
        <f ca="1">'Total Duration Tables Sup #2'!E116</f>
        <v>0.23550094536897606</v>
      </c>
      <c r="F116" s="4">
        <f ca="1">'Total Duration Tables Sup #2'!F116</f>
        <v>0.26427602180405385</v>
      </c>
      <c r="G116" s="4">
        <f ca="1">'Total Duration Tables Sup #2'!G116</f>
        <v>0.29439113740398837</v>
      </c>
      <c r="H116" s="4">
        <f ca="1">'Total Duration Tables Sup #2'!H116</f>
        <v>0.32390742425842933</v>
      </c>
      <c r="I116" s="1">
        <f ca="1">'Total Duration Tables Sup #2'!I116</f>
        <v>0.3154202527659844</v>
      </c>
      <c r="J116" s="1">
        <f ca="1">'Total Duration Tables Sup #2'!J116</f>
        <v>0.30618066662101512</v>
      </c>
      <c r="K116" s="1">
        <f ca="1">'Total Duration Tables Sup #2'!K116</f>
        <v>0.29657600739235052</v>
      </c>
    </row>
    <row r="117" spans="1:11" x14ac:dyDescent="0.2">
      <c r="A117" t="str">
        <f ca="1">OFFSET(West_Coast_Reference,14,2)</f>
        <v>Light Vehicle Driver</v>
      </c>
      <c r="B117" s="4">
        <f ca="1">'Total Duration Tables Sup #2'!B117</f>
        <v>5.0852916584000001</v>
      </c>
      <c r="C117" s="4">
        <f ca="1">'Total Duration Tables Sup #2'!C117*(1-'Other Assumptions'!G16)</f>
        <v>5.0859846641873627</v>
      </c>
      <c r="D117" s="4">
        <f ca="1">'Total Duration Tables Sup #2'!D117*(1-'Other Assumptions'!H16)</f>
        <v>5.067447874400596</v>
      </c>
      <c r="E117" s="4">
        <f ca="1">'Total Duration Tables Sup #2'!E117*(1-'Other Assumptions'!I16)</f>
        <v>4.5335709800853863</v>
      </c>
      <c r="F117" s="4">
        <f ca="1">'Total Duration Tables Sup #2'!F117*(1-'Other Assumptions'!J16)</f>
        <v>3.9826875314833283</v>
      </c>
      <c r="G117" s="4">
        <f ca="1">'Total Duration Tables Sup #2'!G117*(1-'Other Assumptions'!K16)</f>
        <v>3.4053491582787356</v>
      </c>
      <c r="H117" s="4">
        <f ca="1">'Total Duration Tables Sup #2'!H117*(1-'Other Assumptions'!L16)</f>
        <v>2.8399140357420189</v>
      </c>
      <c r="I117" s="1">
        <f ca="1">'Total Duration Tables Sup #2'!I117*(1-'Other Assumptions'!M16)</f>
        <v>2.3039430650746544</v>
      </c>
      <c r="J117" s="1">
        <f ca="1">'Total Duration Tables Sup #2'!J117*(1-'Other Assumptions'!N16)</f>
        <v>1.7886680278216827</v>
      </c>
      <c r="K117" s="1">
        <f ca="1">'Total Duration Tables Sup #2'!K117*(1-'Other Assumptions'!O16)</f>
        <v>1.2990612167451747</v>
      </c>
    </row>
    <row r="118" spans="1:11" x14ac:dyDescent="0.2">
      <c r="A118" t="str">
        <f ca="1">OFFSET(West_Coast_Reference,21,2)</f>
        <v>Light Vehicle Passenger</v>
      </c>
      <c r="B118" s="4">
        <f ca="1">'Total Duration Tables Sup #2'!B118</f>
        <v>3.4140139011000001</v>
      </c>
      <c r="C118" s="4">
        <f ca="1">'Total Duration Tables Sup #2'!C118*(1-'Other Assumptions'!G16)</f>
        <v>3.2750568596107792</v>
      </c>
      <c r="D118" s="4">
        <f ca="1">'Total Duration Tables Sup #2'!D118*(1-'Other Assumptions'!H16)</f>
        <v>3.1817420220853019</v>
      </c>
      <c r="E118" s="4">
        <f ca="1">'Total Duration Tables Sup #2'!E118*(1-'Other Assumptions'!I16)</f>
        <v>2.7754689313875458</v>
      </c>
      <c r="F118" s="4">
        <f ca="1">'Total Duration Tables Sup #2'!F118*(1-'Other Assumptions'!J16)</f>
        <v>2.3753740643079255</v>
      </c>
      <c r="G118" s="4">
        <f ca="1">'Total Duration Tables Sup #2'!G118*(1-'Other Assumptions'!K16)</f>
        <v>1.987231449862078</v>
      </c>
      <c r="H118" s="4">
        <f ca="1">'Total Duration Tables Sup #2'!H118*(1-'Other Assumptions'!L16)</f>
        <v>1.621190743420704</v>
      </c>
      <c r="I118" s="1">
        <f ca="1">'Total Duration Tables Sup #2'!I118*(1-'Other Assumptions'!M16)</f>
        <v>1.3160213053398495</v>
      </c>
      <c r="J118" s="1">
        <f ca="1">'Total Duration Tables Sup #2'!J118*(1-'Other Assumptions'!N16)</f>
        <v>1.0223076811558858</v>
      </c>
      <c r="K118" s="1">
        <f ca="1">'Total Duration Tables Sup #2'!K118*(1-'Other Assumptions'!O16)</f>
        <v>0.74291738930746487</v>
      </c>
    </row>
    <row r="119" spans="1:11" x14ac:dyDescent="0.2">
      <c r="A119" t="str">
        <f ca="1">OFFSET(West_Coast_Reference,28,2)</f>
        <v>Taxi/Vehicle Share</v>
      </c>
      <c r="B119" s="4">
        <f ca="1">'Total Duration Tables Sup #2'!B119</f>
        <v>6.5507808299999998E-2</v>
      </c>
      <c r="C119" s="4">
        <f ca="1">'Total Duration Tables Sup #2'!C119+((C117+C118)*'Other Assumptions'!G16/(1-'Other Assumptions'!G16))</f>
        <v>6.8089243628671609E-2</v>
      </c>
      <c r="D119" s="4">
        <f ca="1">'Total Duration Tables Sup #2'!D119+((D117+D118)*'Other Assumptions'!H16/(1-'Other Assumptions'!H16))</f>
        <v>7.0835697364667327E-2</v>
      </c>
      <c r="E119" s="4">
        <f ca="1">'Total Duration Tables Sup #2'!E119+((E117+E118)*'Other Assumptions'!I16/(1-'Other Assumptions'!I16))</f>
        <v>0.88470122832268761</v>
      </c>
      <c r="F119" s="4">
        <f ca="1">'Total Duration Tables Sup #2'!F119+((F117+F118)*'Other Assumptions'!J16/(1-'Other Assumptions'!J16))</f>
        <v>1.6628003580947215</v>
      </c>
      <c r="G119" s="4">
        <f ca="1">'Total Duration Tables Sup #2'!G119+((G117+G118)*'Other Assumptions'!K16/(1-'Other Assumptions'!K16))</f>
        <v>2.3835552846751704</v>
      </c>
      <c r="H119" s="4">
        <f ca="1">'Total Duration Tables Sup #2'!H119+((H117+H118)*'Other Assumptions'!L16/(1-'Other Assumptions'!L16))</f>
        <v>3.0453452226037525</v>
      </c>
      <c r="I119" s="1">
        <f ca="1">'Total Duration Tables Sup #2'!I119+((I117+I118)*'Other Assumptions'!M16/(1-'Other Assumptions'!M16))</f>
        <v>3.6891842725324953</v>
      </c>
      <c r="J119" s="1">
        <f ca="1">'Total Duration Tables Sup #2'!J119+((J117+J118)*'Other Assumptions'!N16/(1-'Other Assumptions'!N16))</f>
        <v>4.2834740903515476</v>
      </c>
      <c r="K119" s="1">
        <f ca="1">'Total Duration Tables Sup #2'!K119+((K117+K118)*'Other Assumptions'!O16/(1-'Other Assumptions'!O16))</f>
        <v>4.8293498773313797</v>
      </c>
    </row>
    <row r="120" spans="1:11" x14ac:dyDescent="0.2">
      <c r="A120" t="str">
        <f ca="1">OFFSET(West_Coast_Reference,35,2)</f>
        <v>Motorcyclist</v>
      </c>
      <c r="B120" s="4">
        <f ca="1">'Total Duration Tables Sup #2'!B120</f>
        <v>9.7989774000000005E-3</v>
      </c>
      <c r="C120" s="4">
        <f ca="1">'Total Duration Tables Sup #2'!C120</f>
        <v>9.7048246762987522E-3</v>
      </c>
      <c r="D120" s="4">
        <f ca="1">'Total Duration Tables Sup #2'!D120</f>
        <v>9.6146316859731275E-3</v>
      </c>
      <c r="E120" s="4">
        <f ca="1">'Total Duration Tables Sup #2'!E120</f>
        <v>9.4486021479891526E-3</v>
      </c>
      <c r="F120" s="4">
        <f ca="1">'Total Duration Tables Sup #2'!F120</f>
        <v>9.2319129506405577E-3</v>
      </c>
      <c r="G120" s="4">
        <f ca="1">'Total Duration Tables Sup #2'!G120</f>
        <v>8.8826576725352172E-3</v>
      </c>
      <c r="H120" s="4">
        <f ca="1">'Total Duration Tables Sup #2'!H120</f>
        <v>8.5030011167378291E-3</v>
      </c>
      <c r="I120" s="1">
        <f ca="1">'Total Duration Tables Sup #2'!I120</f>
        <v>8.311059278318586E-3</v>
      </c>
      <c r="J120" s="1">
        <f ca="1">'Total Duration Tables Sup #2'!J120</f>
        <v>8.0976600686236203E-3</v>
      </c>
      <c r="K120" s="1">
        <f ca="1">'Total Duration Tables Sup #2'!K120</f>
        <v>7.8728337022155176E-3</v>
      </c>
    </row>
    <row r="121" spans="1:11" x14ac:dyDescent="0.2">
      <c r="A121" t="str">
        <f ca="1">OFFSET(Nelson_Reference,42,2)</f>
        <v>Local Train</v>
      </c>
      <c r="B121" s="4">
        <f ca="1">'Total Duration Tables Sup #2'!B121</f>
        <v>0</v>
      </c>
      <c r="C121" s="4">
        <f ca="1">'Total Duration Tables Sup #2'!C121</f>
        <v>0</v>
      </c>
      <c r="D121" s="4">
        <f ca="1">'Total Duration Tables Sup #2'!D121</f>
        <v>0</v>
      </c>
      <c r="E121" s="4">
        <f ca="1">'Total Duration Tables Sup #2'!E121</f>
        <v>0</v>
      </c>
      <c r="F121" s="4">
        <f ca="1">'Total Duration Tables Sup #2'!F121</f>
        <v>0</v>
      </c>
      <c r="G121" s="4">
        <f ca="1">'Total Duration Tables Sup #2'!G121</f>
        <v>0</v>
      </c>
      <c r="H121" s="4">
        <f ca="1">'Total Duration Tables Sup #2'!H121</f>
        <v>0</v>
      </c>
      <c r="I121" s="1">
        <f ca="1">'Total Duration Tables Sup #2'!I121</f>
        <v>0</v>
      </c>
      <c r="J121" s="1">
        <f ca="1">'Total Duration Tables Sup #2'!J121</f>
        <v>0</v>
      </c>
      <c r="K121" s="1">
        <f ca="1">'Total Duration Tables Sup #2'!K121</f>
        <v>0</v>
      </c>
    </row>
    <row r="122" spans="1:11" x14ac:dyDescent="0.2">
      <c r="A122" t="str">
        <f ca="1">OFFSET(West_Coast_Reference,42,2)</f>
        <v>Local Bus</v>
      </c>
      <c r="B122" s="4">
        <f ca="1">'Total Duration Tables Sup #2'!B122</f>
        <v>0.18249519829999999</v>
      </c>
      <c r="C122" s="4">
        <f ca="1">'Total Duration Tables Sup #2'!C122</f>
        <v>0.16549966792884804</v>
      </c>
      <c r="D122" s="4">
        <f ca="1">'Total Duration Tables Sup #2'!D122</f>
        <v>0.15630140442334667</v>
      </c>
      <c r="E122" s="4">
        <f ca="1">'Total Duration Tables Sup #2'!E122</f>
        <v>0.14907823336573597</v>
      </c>
      <c r="F122" s="4">
        <f ca="1">'Total Duration Tables Sup #2'!F122</f>
        <v>0.14021492787392995</v>
      </c>
      <c r="G122" s="4">
        <f ca="1">'Total Duration Tables Sup #2'!G122</f>
        <v>0.13241054039892755</v>
      </c>
      <c r="H122" s="4">
        <f ca="1">'Total Duration Tables Sup #2'!H122</f>
        <v>0.12456282107340612</v>
      </c>
      <c r="I122" s="1">
        <f ca="1">'Total Duration Tables Sup #2'!I122</f>
        <v>0.12151724617806406</v>
      </c>
      <c r="J122" s="1">
        <f ca="1">'Total Duration Tables Sup #2'!J122</f>
        <v>0.11816845263411052</v>
      </c>
      <c r="K122" s="1">
        <f ca="1">'Total Duration Tables Sup #2'!K122</f>
        <v>0.11466459079993734</v>
      </c>
    </row>
    <row r="123" spans="1:11" x14ac:dyDescent="0.2">
      <c r="A123" t="str">
        <f ca="1">OFFSET(Wellington_Reference,56,2)</f>
        <v>Local Ferry</v>
      </c>
      <c r="B123" s="4">
        <f ca="1">'Total Duration Tables Sup #2'!B123</f>
        <v>0</v>
      </c>
      <c r="C123" s="4">
        <f ca="1">'Total Duration Tables Sup #2'!C123</f>
        <v>0</v>
      </c>
      <c r="D123" s="4">
        <f ca="1">'Total Duration Tables Sup #2'!D123</f>
        <v>0</v>
      </c>
      <c r="E123" s="4">
        <f ca="1">'Total Duration Tables Sup #2'!E123</f>
        <v>0</v>
      </c>
      <c r="F123" s="4">
        <f ca="1">'Total Duration Tables Sup #2'!F123</f>
        <v>0</v>
      </c>
      <c r="G123" s="4">
        <f ca="1">'Total Duration Tables Sup #2'!G123</f>
        <v>0</v>
      </c>
      <c r="H123" s="4">
        <f ca="1">'Total Duration Tables Sup #2'!H123</f>
        <v>0</v>
      </c>
      <c r="I123" s="1">
        <f ca="1">'Total Duration Tables Sup #2'!I123</f>
        <v>0</v>
      </c>
      <c r="J123" s="1">
        <f ca="1">'Total Duration Tables Sup #2'!J123</f>
        <v>0</v>
      </c>
      <c r="K123" s="1">
        <f ca="1">'Total Duration Tables Sup #2'!K123</f>
        <v>0</v>
      </c>
    </row>
    <row r="124" spans="1:11" x14ac:dyDescent="0.2">
      <c r="A124" t="str">
        <f ca="1">OFFSET(West_Coast_Reference,49,2)</f>
        <v>Other Household Travel</v>
      </c>
      <c r="B124" s="4">
        <f ca="1">'Total Duration Tables Sup #2'!B124</f>
        <v>3.6766106000000001E-3</v>
      </c>
      <c r="C124" s="4">
        <f ca="1">'Total Duration Tables Sup #2'!C124</f>
        <v>3.6571473480275477E-3</v>
      </c>
      <c r="D124" s="4">
        <f ca="1">'Total Duration Tables Sup #2'!D124</f>
        <v>3.6851847943078745E-3</v>
      </c>
      <c r="E124" s="4">
        <f ca="1">'Total Duration Tables Sup #2'!E124</f>
        <v>3.6330840945466036E-3</v>
      </c>
      <c r="F124" s="4">
        <f ca="1">'Total Duration Tables Sup #2'!F124</f>
        <v>3.5467788353164857E-3</v>
      </c>
      <c r="G124" s="4">
        <f ca="1">'Total Duration Tables Sup #2'!G124</f>
        <v>3.4651972547261795E-3</v>
      </c>
      <c r="H124" s="4">
        <f ca="1">'Total Duration Tables Sup #2'!H124</f>
        <v>3.360622213307398E-3</v>
      </c>
      <c r="I124" s="1">
        <f ca="1">'Total Duration Tables Sup #2'!I124</f>
        <v>3.2667858666914264E-3</v>
      </c>
      <c r="J124" s="1">
        <f ca="1">'Total Duration Tables Sup #2'!J124</f>
        <v>3.1656113732573066E-3</v>
      </c>
      <c r="K124" s="1">
        <f ca="1">'Total Duration Tables Sup #2'!K124</f>
        <v>3.0611238261723465E-3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'Total Duration Tables Sup #2'!B126</f>
        <v>27.07651954</v>
      </c>
      <c r="C126" s="4">
        <f ca="1">'Total Duration Tables Sup #2'!C126+'Total Duration Tables Sup #2'!C128*'Other Assumptions'!G88*'Other Assumptions'!G95+'Total Duration Tables Sup #2'!C129*'Other Assumptions'!G88*'Other Assumptions'!G95</f>
        <v>29.832592452397847</v>
      </c>
      <c r="D126" s="4">
        <f ca="1">'Total Duration Tables Sup #2'!D126+'Total Duration Tables Sup #2'!D128*'Other Assumptions'!H88*'Other Assumptions'!H95+'Total Duration Tables Sup #2'!D129*'Other Assumptions'!H88*'Other Assumptions'!H95</f>
        <v>32.721450062911558</v>
      </c>
      <c r="E126" s="4">
        <f ca="1">'Total Duration Tables Sup #2'!E126+'Total Duration Tables Sup #2'!E128*'Other Assumptions'!I88*'Other Assumptions'!I95+'Total Duration Tables Sup #2'!E129*'Other Assumptions'!I88*'Other Assumptions'!I95</f>
        <v>35.032197737681884</v>
      </c>
      <c r="F126" s="4">
        <f ca="1">'Total Duration Tables Sup #2'!F126+'Total Duration Tables Sup #2'!F128*'Other Assumptions'!J88*'Other Assumptions'!J95+'Total Duration Tables Sup #2'!F129*'Other Assumptions'!J88*'Other Assumptions'!J95</f>
        <v>37.064428035596457</v>
      </c>
      <c r="G126" s="4">
        <f ca="1">'Total Duration Tables Sup #2'!G126+'Total Duration Tables Sup #2'!G128*'Other Assumptions'!K88*'Other Assumptions'!K95+'Total Duration Tables Sup #2'!G129*'Other Assumptions'!K88*'Other Assumptions'!K95</f>
        <v>38.979109756640426</v>
      </c>
      <c r="H126" s="4">
        <f ca="1">'Total Duration Tables Sup #2'!H126+'Total Duration Tables Sup #2'!H128*'Other Assumptions'!L88*'Other Assumptions'!L95+'Total Duration Tables Sup #2'!H129*'Other Assumptions'!L88*'Other Assumptions'!L95</f>
        <v>40.773476991209947</v>
      </c>
      <c r="I126" s="1">
        <f ca="1">'Total Duration Tables Sup #2'!I126+'Total Duration Tables Sup #2'!I128*'Other Assumptions'!M88*'Other Assumptions'!M95+'Total Duration Tables Sup #2'!I129*'Other Assumptions'!M88*'Other Assumptions'!M95</f>
        <v>42.094355435328751</v>
      </c>
      <c r="J126" s="1">
        <f ca="1">'Total Duration Tables Sup #2'!J126+'Total Duration Tables Sup #2'!J128*'Other Assumptions'!N88*'Other Assumptions'!N95+'Total Duration Tables Sup #2'!J129*'Other Assumptions'!N88*'Other Assumptions'!N95</f>
        <v>43.323992903964381</v>
      </c>
      <c r="K126" s="1">
        <f ca="1">'Total Duration Tables Sup #2'!K126+'Total Duration Tables Sup #2'!K128*'Other Assumptions'!O88*'Other Assumptions'!O95+'Total Duration Tables Sup #2'!K129*'Other Assumptions'!O88*'Other Assumptions'!O95</f>
        <v>44.498056097172132</v>
      </c>
    </row>
    <row r="127" spans="1:11" x14ac:dyDescent="0.2">
      <c r="A127" t="str">
        <f ca="1">OFFSET(Canterbury_Reference,7,2)</f>
        <v>Cyclist</v>
      </c>
      <c r="B127" s="4">
        <f ca="1">'Total Duration Tables Sup #2'!B127</f>
        <v>7.2445897615000003</v>
      </c>
      <c r="C127" s="4">
        <f ca="1">'Total Duration Tables Sup #2'!C127+'Total Duration Tables Sup #2'!C128*'Other Assumptions'!G88*'Other Assumptions'!G94+'Total Duration Tables Sup #2'!C129*'Other Assumptions'!G88*'Other Assumptions'!G94</f>
        <v>8.20044985602037</v>
      </c>
      <c r="D127" s="4">
        <f ca="1">'Total Duration Tables Sup #2'!D127+'Total Duration Tables Sup #2'!D128*'Other Assumptions'!H88*'Other Assumptions'!H94+'Total Duration Tables Sup #2'!D129*'Other Assumptions'!H88*'Other Assumptions'!H94</f>
        <v>10.501778614741024</v>
      </c>
      <c r="E127" s="4">
        <f ca="1">'Total Duration Tables Sup #2'!E127+'Total Duration Tables Sup #2'!E128*'Other Assumptions'!I88*'Other Assumptions'!I94+'Total Duration Tables Sup #2'!E129*'Other Assumptions'!I88*'Other Assumptions'!I94</f>
        <v>12.701385112020823</v>
      </c>
      <c r="F127" s="4">
        <f ca="1">'Total Duration Tables Sup #2'!F127+'Total Duration Tables Sup #2'!F128*'Other Assumptions'!J88*'Other Assumptions'!J94+'Total Duration Tables Sup #2'!F129*'Other Assumptions'!J88*'Other Assumptions'!J94</f>
        <v>15.141685545198342</v>
      </c>
      <c r="G127" s="4">
        <f ca="1">'Total Duration Tables Sup #2'!G127+'Total Duration Tables Sup #2'!G128*'Other Assumptions'!K88*'Other Assumptions'!K94+'Total Duration Tables Sup #2'!G129*'Other Assumptions'!K88*'Other Assumptions'!K94</f>
        <v>17.916244503165665</v>
      </c>
      <c r="H127" s="4">
        <f ca="1">'Total Duration Tables Sup #2'!H127+'Total Duration Tables Sup #2'!H128*'Other Assumptions'!L88*'Other Assumptions'!L94+'Total Duration Tables Sup #2'!H129*'Other Assumptions'!L88*'Other Assumptions'!L94</f>
        <v>20.914417710078673</v>
      </c>
      <c r="I127" s="1">
        <f ca="1">'Total Duration Tables Sup #2'!I127+'Total Duration Tables Sup #2'!I128*'Other Assumptions'!M88*'Other Assumptions'!M94+'Total Duration Tables Sup #2'!I129*'Other Assumptions'!M88*'Other Assumptions'!M94</f>
        <v>21.609951889408087</v>
      </c>
      <c r="J127" s="1">
        <f ca="1">'Total Duration Tables Sup #2'!J127+'Total Duration Tables Sup #2'!J128*'Other Assumptions'!N88*'Other Assumptions'!N94+'Total Duration Tables Sup #2'!J129*'Other Assumptions'!N88*'Other Assumptions'!N94</f>
        <v>22.259594424038614</v>
      </c>
      <c r="K127" s="1">
        <f ca="1">'Total Duration Tables Sup #2'!K127+'Total Duration Tables Sup #2'!K128*'Other Assumptions'!O88*'Other Assumptions'!O94+'Total Duration Tables Sup #2'!K129*'Other Assumptions'!O88*'Other Assumptions'!O94</f>
        <v>22.881573449243056</v>
      </c>
    </row>
    <row r="128" spans="1:11" x14ac:dyDescent="0.2">
      <c r="A128" t="str">
        <f ca="1">OFFSET(Canterbury_Reference,14,2)</f>
        <v>Light Vehicle Driver</v>
      </c>
      <c r="B128" s="4">
        <f ca="1">'Total Duration Tables Sup #2'!B128</f>
        <v>111.06814274</v>
      </c>
      <c r="C128" s="4">
        <f ca="1">'Total Duration Tables Sup #2'!C128*(1-'Other Assumptions'!G17)*(1-'Other Assumptions'!G88)</f>
        <v>126.62216403427196</v>
      </c>
      <c r="D128" s="4">
        <f ca="1">'Total Duration Tables Sup #2'!D128*(1-'Other Assumptions'!H17)*(1-'Other Assumptions'!H88)</f>
        <v>135.61551805763241</v>
      </c>
      <c r="E128" s="4">
        <f ca="1">'Total Duration Tables Sup #2'!E128*(1-'Other Assumptions'!I17)*(1-'Other Assumptions'!I88)</f>
        <v>128.78837621358497</v>
      </c>
      <c r="F128" s="4">
        <f ca="1">'Total Duration Tables Sup #2'!F128*(1-'Other Assumptions'!J17)*(1-'Other Assumptions'!J88)</f>
        <v>119.99675104562594</v>
      </c>
      <c r="G128" s="4">
        <f ca="1">'Total Duration Tables Sup #2'!G128*(1-'Other Assumptions'!K17)*(1-'Other Assumptions'!K88)</f>
        <v>108.79718322909628</v>
      </c>
      <c r="H128" s="4">
        <f ca="1">'Total Duration Tables Sup #2'!H128*(1-'Other Assumptions'!L17)*(1-'Other Assumptions'!L88)</f>
        <v>96.092477470860388</v>
      </c>
      <c r="I128" s="1">
        <f ca="1">'Total Duration Tables Sup #2'!I128*(1-'Other Assumptions'!M17)*(1-'Other Assumptions'!M88)</f>
        <v>82.716955096947871</v>
      </c>
      <c r="J128" s="1">
        <f ca="1">'Total Duration Tables Sup #2'!J128*(1-'Other Assumptions'!N17)*(1-'Other Assumptions'!N88)</f>
        <v>68.143910583024066</v>
      </c>
      <c r="K128" s="1">
        <f ca="1">'Total Duration Tables Sup #2'!K128*(1-'Other Assumptions'!O17)*(1-'Other Assumptions'!O88)</f>
        <v>52.521433398670133</v>
      </c>
    </row>
    <row r="129" spans="1:11" x14ac:dyDescent="0.2">
      <c r="A129" t="str">
        <f ca="1">OFFSET(Canterbury_Reference,21,2)</f>
        <v>Light Vehicle Passenger</v>
      </c>
      <c r="B129" s="4">
        <f ca="1">'Total Duration Tables Sup #2'!B129</f>
        <v>53.544276449999998</v>
      </c>
      <c r="C129" s="4">
        <f ca="1">'Total Duration Tables Sup #2'!C129*(1-'Other Assumptions'!G17)*(1-'Other Assumptions'!G88+'Other Assumptions'!G88*'Other Assumptions'!G91)+'Total Duration Tables Sup #2'!C128*(1-'Other Assumptions'!G17)*'Other Assumptions'!G88*'Other Assumptions'!G91</f>
        <v>58.550101894095832</v>
      </c>
      <c r="D129" s="4">
        <f ca="1">'Total Duration Tables Sup #2'!D129*(1-'Other Assumptions'!H17)*(1-'Other Assumptions'!H88+'Other Assumptions'!H88*'Other Assumptions'!H91)+'Total Duration Tables Sup #2'!D128*(1-'Other Assumptions'!H17)*'Other Assumptions'!H88*'Other Assumptions'!H91</f>
        <v>60.871597109239381</v>
      </c>
      <c r="E129" s="4">
        <f ca="1">'Total Duration Tables Sup #2'!E129*(1-'Other Assumptions'!I17)*(1-'Other Assumptions'!I88+'Other Assumptions'!I88*'Other Assumptions'!I91)+'Total Duration Tables Sup #2'!E128*(1-'Other Assumptions'!I17)*'Other Assumptions'!I88*'Other Assumptions'!I91</f>
        <v>56.103448881359228</v>
      </c>
      <c r="F129" s="4">
        <f ca="1">'Total Duration Tables Sup #2'!F129*(1-'Other Assumptions'!J17)*(1-'Other Assumptions'!J88+'Other Assumptions'!J88*'Other Assumptions'!J91)+'Total Duration Tables Sup #2'!F128*(1-'Other Assumptions'!J17)*'Other Assumptions'!J88*'Other Assumptions'!J91</f>
        <v>50.676892044865468</v>
      </c>
      <c r="G129" s="4">
        <f ca="1">'Total Duration Tables Sup #2'!G129*(1-'Other Assumptions'!K17)*(1-'Other Assumptions'!K88+'Other Assumptions'!K88*'Other Assumptions'!K91)+'Total Duration Tables Sup #2'!G128*(1-'Other Assumptions'!K17)*'Other Assumptions'!K88*'Other Assumptions'!K91</f>
        <v>44.716407933472709</v>
      </c>
      <c r="H129" s="4">
        <f ca="1">'Total Duration Tables Sup #2'!H129*(1-'Other Assumptions'!L17)*(1-'Other Assumptions'!L88+'Other Assumptions'!L88*'Other Assumptions'!L91)+'Total Duration Tables Sup #2'!H128*(1-'Other Assumptions'!L17)*'Other Assumptions'!L88*'Other Assumptions'!L91</f>
        <v>38.410808552036073</v>
      </c>
      <c r="I129" s="1">
        <f ca="1">'Total Duration Tables Sup #2'!I129*(1-'Other Assumptions'!M17)*(1-'Other Assumptions'!M88+'Other Assumptions'!M88*'Other Assumptions'!M91)+'Total Duration Tables Sup #2'!I128*(1-'Other Assumptions'!M17)*'Other Assumptions'!M88*'Other Assumptions'!M91</f>
        <v>33.084884897900743</v>
      </c>
      <c r="J129" s="1">
        <f ca="1">'Total Duration Tables Sup #2'!J129*(1-'Other Assumptions'!N17)*(1-'Other Assumptions'!N88+'Other Assumptions'!N88*'Other Assumptions'!N91)+'Total Duration Tables Sup #2'!J128*(1-'Other Assumptions'!N17)*'Other Assumptions'!N88*'Other Assumptions'!N91</f>
        <v>27.272914563838732</v>
      </c>
      <c r="K129" s="1">
        <f ca="1">'Total Duration Tables Sup #2'!K129*(1-'Other Assumptions'!O17)*(1-'Other Assumptions'!O88+'Other Assumptions'!O88*'Other Assumptions'!O91)+'Total Duration Tables Sup #2'!K128*(1-'Other Assumptions'!O17)*'Other Assumptions'!O88*'Other Assumptions'!O91</f>
        <v>21.033363755530974</v>
      </c>
    </row>
    <row r="130" spans="1:11" x14ac:dyDescent="0.2">
      <c r="A130" t="str">
        <f ca="1">OFFSET(Canterbury_Reference,28,2)</f>
        <v>Taxi/Vehicle Share</v>
      </c>
      <c r="B130" s="4">
        <f ca="1">'Total Duration Tables Sup #2'!B130</f>
        <v>0.86554787379999998</v>
      </c>
      <c r="C130" s="4">
        <f ca="1">'Total Duration Tables Sup #2'!C130+((C128+C129)*'Other Assumptions'!G17/(1-'Other Assumptions'!G17))</f>
        <v>1.0255045130832454</v>
      </c>
      <c r="D130" s="4">
        <f ca="1">'Total Duration Tables Sup #2'!D130+((D128+D129)*'Other Assumptions'!H17/(1-'Other Assumptions'!H17))</f>
        <v>1.1487571402289298</v>
      </c>
      <c r="E130" s="4">
        <f ca="1">'Total Duration Tables Sup #2'!E130+((E128+E129)*'Other Assumptions'!I17/(1-'Other Assumptions'!I17))</f>
        <v>21.795083065070095</v>
      </c>
      <c r="F130" s="4">
        <f ca="1">'Total Duration Tables Sup #2'!F130+((F128+F129)*'Other Assumptions'!J17/(1-'Other Assumptions'!J17))</f>
        <v>44.010770954604688</v>
      </c>
      <c r="G130" s="4">
        <f ca="1">'Total Duration Tables Sup #2'!G130+((G128+G129)*'Other Assumptions'!K17/(1-'Other Assumptions'!K17))</f>
        <v>67.201133744885695</v>
      </c>
      <c r="H130" s="4">
        <f ca="1">'Total Duration Tables Sup #2'!H130+((H128+H129)*'Other Assumptions'!L17/(1-'Other Assumptions'!L17))</f>
        <v>91.140160291664529</v>
      </c>
      <c r="I130" s="1">
        <f ca="1">'Total Duration Tables Sup #2'!I130+((I128+I129)*'Other Assumptions'!M17/(1-'Other Assumptions'!M17))</f>
        <v>117.31795782269506</v>
      </c>
      <c r="J130" s="1">
        <f ca="1">'Total Duration Tables Sup #2'!J130+((J128+J129)*'Other Assumptions'!N17/(1-'Other Assumptions'!N17))</f>
        <v>144.68270978119355</v>
      </c>
      <c r="K130" s="1">
        <f ca="1">'Total Duration Tables Sup #2'!K130+((K128+K129)*'Other Assumptions'!O17/(1-'Other Assumptions'!O17))</f>
        <v>173.22452657343831</v>
      </c>
    </row>
    <row r="131" spans="1:11" x14ac:dyDescent="0.2">
      <c r="A131" t="str">
        <f ca="1">OFFSET(Canterbury_Reference,35,2)</f>
        <v>Motorcyclist</v>
      </c>
      <c r="B131" s="4">
        <f ca="1">'Total Duration Tables Sup #2'!B131</f>
        <v>0.39288238580000001</v>
      </c>
      <c r="C131" s="4">
        <f ca="1">'Total Duration Tables Sup #2'!C131</f>
        <v>0.44353769796487935</v>
      </c>
      <c r="D131" s="4">
        <f ca="1">'Total Duration Tables Sup #2'!D131</f>
        <v>0.47314306625115965</v>
      </c>
      <c r="E131" s="4">
        <f ca="1">'Total Duration Tables Sup #2'!E131</f>
        <v>0.49436477578946048</v>
      </c>
      <c r="F131" s="4">
        <f ca="1">'Total Duration Tables Sup #2'!F131</f>
        <v>0.51313269824013485</v>
      </c>
      <c r="G131" s="4">
        <f ca="1">'Total Duration Tables Sup #2'!G131</f>
        <v>0.52442900251527891</v>
      </c>
      <c r="H131" s="4">
        <f ca="1">'Total Duration Tables Sup #2'!H131</f>
        <v>0.53262143253417404</v>
      </c>
      <c r="I131" s="1">
        <f ca="1">'Total Duration Tables Sup #2'!I131</f>
        <v>0.55238532409378394</v>
      </c>
      <c r="J131" s="1">
        <f ca="1">'Total Duration Tables Sup #2'!J131</f>
        <v>0.57111103483171843</v>
      </c>
      <c r="K131" s="1">
        <f ca="1">'Total Duration Tables Sup #2'!K131</f>
        <v>0.58925391434889429</v>
      </c>
    </row>
    <row r="132" spans="1:11" x14ac:dyDescent="0.2">
      <c r="A132" t="str">
        <f ca="1">OFFSET(Canterbury_Reference,42,2)</f>
        <v>Local Train</v>
      </c>
      <c r="B132" s="4">
        <f ca="1">'Total Duration Tables Sup #2'!B132</f>
        <v>7.3004144E-3</v>
      </c>
      <c r="C132" s="4">
        <f ca="1">'Total Duration Tables Sup #2'!C132+'Total Duration Tables Sup #2'!C128*'Other Assumptions'!G88*'Other Assumptions'!G93+'Total Duration Tables Sup #2'!C129*'Other Assumptions'!G88*'Other Assumptions'!G93</f>
        <v>7.714898098765275E-3</v>
      </c>
      <c r="D132" s="4">
        <f ca="1">'Total Duration Tables Sup #2'!D132+'Total Duration Tables Sup #2'!D128*'Other Assumptions'!H88*'Other Assumptions'!H93+'Total Duration Tables Sup #2'!D129*'Other Assumptions'!H88*'Other Assumptions'!H93</f>
        <v>6.6980993714314567E-3</v>
      </c>
      <c r="E132" s="4">
        <f ca="1">'Total Duration Tables Sup #2'!E132+'Total Duration Tables Sup #2'!E128*'Other Assumptions'!I88*'Other Assumptions'!I93+'Total Duration Tables Sup #2'!E129*'Other Assumptions'!I88*'Other Assumptions'!I93</f>
        <v>6.2704912010499757E-3</v>
      </c>
      <c r="F132" s="4">
        <f ca="1">'Total Duration Tables Sup #2'!F132+'Total Duration Tables Sup #2'!F128*'Other Assumptions'!J88*'Other Assumptions'!J93+'Total Duration Tables Sup #2'!F129*'Other Assumptions'!J88*'Other Assumptions'!J93</f>
        <v>5.9874154298431952E-3</v>
      </c>
      <c r="G132" s="4">
        <f ca="1">'Total Duration Tables Sup #2'!G132+'Total Duration Tables Sup #2'!G128*'Other Assumptions'!K88*'Other Assumptions'!K93+'Total Duration Tables Sup #2'!G129*'Other Assumptions'!K88*'Other Assumptions'!K93</f>
        <v>5.0785029739060846E-3</v>
      </c>
      <c r="H132" s="4">
        <f ca="1">'Total Duration Tables Sup #2'!H132+'Total Duration Tables Sup #2'!H128*'Other Assumptions'!L88*'Other Assumptions'!L93+'Total Duration Tables Sup #2'!H129*'Other Assumptions'!L88*'Other Assumptions'!L93</f>
        <v>4.2254446379992186E-3</v>
      </c>
      <c r="I132" s="1">
        <f ca="1">'Total Duration Tables Sup #2'!I132+'Total Duration Tables Sup #2'!I128*'Other Assumptions'!M88*'Other Assumptions'!M93+'Total Duration Tables Sup #2'!I129*'Other Assumptions'!M88*'Other Assumptions'!M93</f>
        <v>4.2117194797663066E-3</v>
      </c>
      <c r="J132" s="1">
        <f ca="1">'Total Duration Tables Sup #2'!J132+'Total Duration Tables Sup #2'!J128*'Other Assumptions'!N88*'Other Assumptions'!N93+'Total Duration Tables Sup #2'!J129*'Other Assumptions'!N88*'Other Assumptions'!N93</f>
        <v>4.1983164718549732E-3</v>
      </c>
      <c r="K132" s="1">
        <f ca="1">'Total Duration Tables Sup #2'!K132+'Total Duration Tables Sup #2'!K128*'Other Assumptions'!O88*'Other Assumptions'!O93+'Total Duration Tables Sup #2'!K129*'Other Assumptions'!O88*'Other Assumptions'!O93</f>
        <v>4.1852165034848504E-3</v>
      </c>
    </row>
    <row r="133" spans="1:11" x14ac:dyDescent="0.2">
      <c r="A133" t="str">
        <f ca="1">OFFSET(Canterbury_Reference,49,2)</f>
        <v>Local Bus</v>
      </c>
      <c r="B133" s="4">
        <f ca="1">'Total Duration Tables Sup #2'!B133</f>
        <v>7.9805750329</v>
      </c>
      <c r="C133" s="4">
        <f ca="1">'Total Duration Tables Sup #2'!C133+'Total Duration Tables Sup #2'!C128*'Other Assumptions'!G88*'Other Assumptions'!G92+'Total Duration Tables Sup #2'!C129*'Other Assumptions'!G88*'Other Assumptions'!G92</f>
        <v>8.1563774540999994</v>
      </c>
      <c r="D133" s="4">
        <f ca="1">'Total Duration Tables Sup #2'!D133+'Total Duration Tables Sup #2'!D128*'Other Assumptions'!H88*'Other Assumptions'!H92+'Total Duration Tables Sup #2'!D129*'Other Assumptions'!H88*'Other Assumptions'!H92</f>
        <v>8.1004967627000006</v>
      </c>
      <c r="E133" s="4">
        <f ca="1">'Total Duration Tables Sup #2'!E133+'Total Duration Tables Sup #2'!E128*'Other Assumptions'!I88*'Other Assumptions'!I92+'Total Duration Tables Sup #2'!E129*'Other Assumptions'!I88*'Other Assumptions'!I92</f>
        <v>8.0592093902999995</v>
      </c>
      <c r="F133" s="4">
        <f ca="1">'Total Duration Tables Sup #2'!F133+'Total Duration Tables Sup #2'!F128*'Other Assumptions'!J88*'Other Assumptions'!J92+'Total Duration Tables Sup #2'!F129*'Other Assumptions'!J88*'Other Assumptions'!J92</f>
        <v>7.8463710917</v>
      </c>
      <c r="G133" s="4">
        <f ca="1">'Total Duration Tables Sup #2'!G133+'Total Duration Tables Sup #2'!G128*'Other Assumptions'!K88*'Other Assumptions'!K92+'Total Duration Tables Sup #2'!G129*'Other Assumptions'!K88*'Other Assumptions'!K92</f>
        <v>7.6404426641000001</v>
      </c>
      <c r="H133" s="4">
        <f ca="1">'Total Duration Tables Sup #2'!H133+'Total Duration Tables Sup #2'!H128*'Other Assumptions'!L88*'Other Assumptions'!L92+'Total Duration Tables Sup #2'!H129*'Other Assumptions'!L88*'Other Assumptions'!L92</f>
        <v>7.4053767446999998</v>
      </c>
      <c r="I133" s="1">
        <f ca="1">'Total Duration Tables Sup #2'!I133+'Total Duration Tables Sup #2'!I128*'Other Assumptions'!M88*'Other Assumptions'!M92+'Total Duration Tables Sup #2'!I129*'Other Assumptions'!M88*'Other Assumptions'!M92</f>
        <v>7.4053767446999998</v>
      </c>
      <c r="J133" s="1">
        <f ca="1">'Total Duration Tables Sup #2'!J133+'Total Duration Tables Sup #2'!J128*'Other Assumptions'!N88*'Other Assumptions'!N92+'Total Duration Tables Sup #2'!J129*'Other Assumptions'!N88*'Other Assumptions'!N92</f>
        <v>7.4053767446999998</v>
      </c>
      <c r="K133" s="1">
        <f ca="1">'Total Duration Tables Sup #2'!K133+'Total Duration Tables Sup #2'!K128*'Other Assumptions'!O88*'Other Assumptions'!O92+'Total Duration Tables Sup #2'!K129*'Other Assumptions'!O88*'Other Assumptions'!O92</f>
        <v>7.4053767446999998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'Total Duration Tables Sup #2'!C134</f>
        <v>0</v>
      </c>
      <c r="D134" s="4">
        <f ca="1">'Total Duration Tables Sup #2'!D134</f>
        <v>0</v>
      </c>
      <c r="E134" s="4">
        <f ca="1">'Total Duration Tables Sup #2'!E134</f>
        <v>0</v>
      </c>
      <c r="F134" s="4">
        <f ca="1">'Total Duration Tables Sup #2'!F134</f>
        <v>0</v>
      </c>
      <c r="G134" s="4">
        <f ca="1">'Total Duration Tables Sup #2'!G134</f>
        <v>0</v>
      </c>
      <c r="H134" s="4">
        <f ca="1">'Total Duration Tables Sup #2'!H134</f>
        <v>0</v>
      </c>
      <c r="I134" s="1">
        <f ca="1">'Total Duration Tables Sup #2'!I134</f>
        <v>0</v>
      </c>
      <c r="J134" s="1">
        <f ca="1">'Total Duration Tables Sup #2'!J134</f>
        <v>0</v>
      </c>
      <c r="K134" s="1">
        <f ca="1">'Total Duration Tables Sup #2'!K134</f>
        <v>0</v>
      </c>
    </row>
    <row r="135" spans="1:11" x14ac:dyDescent="0.2">
      <c r="A135" t="str">
        <f ca="1">OFFSET(Canterbury_Reference,56,2)</f>
        <v>Other Household Travel</v>
      </c>
      <c r="B135" s="4">
        <f ca="1">'Total Duration Tables Sup #2'!B135</f>
        <v>0.91635513570000005</v>
      </c>
      <c r="C135" s="4">
        <f ca="1">'Total Duration Tables Sup #2'!C135</f>
        <v>1.0390098948848445</v>
      </c>
      <c r="D135" s="4">
        <f ca="1">'Total Duration Tables Sup #2'!D135</f>
        <v>1.1273362685590933</v>
      </c>
      <c r="E135" s="4">
        <f ca="1">'Total Duration Tables Sup #2'!E135</f>
        <v>1.1816525265575935</v>
      </c>
      <c r="F135" s="4">
        <f ca="1">'Total Duration Tables Sup #2'!F135</f>
        <v>1.2254807064842081</v>
      </c>
      <c r="G135" s="4">
        <f ca="1">'Total Duration Tables Sup #2'!G135</f>
        <v>1.2717628039957214</v>
      </c>
      <c r="H135" s="4">
        <f ca="1">'Total Duration Tables Sup #2'!H135</f>
        <v>1.3085805977754117</v>
      </c>
      <c r="I135" s="1">
        <f ca="1">'Total Duration Tables Sup #2'!I135</f>
        <v>1.3497110410138857</v>
      </c>
      <c r="J135" s="1">
        <f ca="1">'Total Duration Tables Sup #2'!J135</f>
        <v>1.3878834224688625</v>
      </c>
      <c r="K135" s="1">
        <f ca="1">'Total Duration Tables Sup #2'!K135</f>
        <v>1.4242514712797265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'Total Duration Tables Sup #2'!B137</f>
        <v>11.651603939999999</v>
      </c>
      <c r="C137" s="4">
        <f ca="1">'Total Duration Tables Sup #2'!C137</f>
        <v>12.808963526259159</v>
      </c>
      <c r="D137" s="4">
        <f ca="1">'Total Duration Tables Sup #2'!D137</f>
        <v>14.01166575102997</v>
      </c>
      <c r="E137" s="4">
        <f ca="1">'Total Duration Tables Sup #2'!E137</f>
        <v>14.92707084468692</v>
      </c>
      <c r="F137" s="4">
        <f ca="1">'Total Duration Tables Sup #2'!F137</f>
        <v>15.719575725962978</v>
      </c>
      <c r="G137" s="4">
        <f ca="1">'Total Duration Tables Sup #2'!G137</f>
        <v>16.448545062404747</v>
      </c>
      <c r="H137" s="4">
        <f ca="1">'Total Duration Tables Sup #2'!H137</f>
        <v>17.124845096123877</v>
      </c>
      <c r="I137" s="1">
        <f ca="1">'Total Duration Tables Sup #2'!I137</f>
        <v>17.595599823449618</v>
      </c>
      <c r="J137" s="1">
        <f ca="1">'Total Duration Tables Sup #2'!J137</f>
        <v>18.022753719859129</v>
      </c>
      <c r="K137" s="1">
        <f ca="1">'Total Duration Tables Sup #2'!K137</f>
        <v>18.421728830700026</v>
      </c>
    </row>
    <row r="138" spans="1:11" x14ac:dyDescent="0.2">
      <c r="A138" t="str">
        <f ca="1">OFFSET(Otago_Reference,7,2)</f>
        <v>Cyclist</v>
      </c>
      <c r="B138" s="4">
        <f ca="1">'Total Duration Tables Sup #2'!B138</f>
        <v>1.6089304994</v>
      </c>
      <c r="C138" s="4">
        <f ca="1">'Total Duration Tables Sup #2'!C138</f>
        <v>1.817152110038375</v>
      </c>
      <c r="D138" s="4">
        <f ca="1">'Total Duration Tables Sup #2'!D138</f>
        <v>2.320869374219273</v>
      </c>
      <c r="E138" s="4">
        <f ca="1">'Total Duration Tables Sup #2'!E138</f>
        <v>2.7931155733788016</v>
      </c>
      <c r="F138" s="4">
        <f ca="1">'Total Duration Tables Sup #2'!F138</f>
        <v>3.314273557320405</v>
      </c>
      <c r="G138" s="4">
        <f ca="1">'Total Duration Tables Sup #2'!G138</f>
        <v>3.9018733185513801</v>
      </c>
      <c r="H138" s="4">
        <f ca="1">'Total Duration Tables Sup #2'!H138</f>
        <v>4.5334130779195076</v>
      </c>
      <c r="I138" s="1">
        <f ca="1">'Total Duration Tables Sup #2'!I138</f>
        <v>4.6619179326359381</v>
      </c>
      <c r="J138" s="1">
        <f ca="1">'Total Duration Tables Sup #2'!J138</f>
        <v>4.7790385172986998</v>
      </c>
      <c r="K138" s="1">
        <f ca="1">'Total Duration Tables Sup #2'!K138</f>
        <v>4.8888402121637231</v>
      </c>
    </row>
    <row r="139" spans="1:11" x14ac:dyDescent="0.2">
      <c r="A139" t="str">
        <f ca="1">OFFSET(Otago_Reference,14,2)</f>
        <v>Light Vehicle Driver</v>
      </c>
      <c r="B139" s="4">
        <f ca="1">'Total Duration Tables Sup #2'!B139</f>
        <v>32.522387277</v>
      </c>
      <c r="C139" s="4">
        <f ca="1">'Total Duration Tables Sup #2'!C139*(1-'Other Assumptions'!G18)</f>
        <v>36.994124829237762</v>
      </c>
      <c r="D139" s="4">
        <f ca="1">'Total Duration Tables Sup #2'!D139*(1-'Other Assumptions'!H18)</f>
        <v>39.503169401889899</v>
      </c>
      <c r="E139" s="4">
        <f ca="1">'Total Duration Tables Sup #2'!E139*(1-'Other Assumptions'!I18)</f>
        <v>37.318510718760933</v>
      </c>
      <c r="F139" s="4">
        <f ca="1">'Total Duration Tables Sup #2'!F139*(1-'Other Assumptions'!J18)</f>
        <v>34.601567367122065</v>
      </c>
      <c r="G139" s="4">
        <f ca="1">'Total Duration Tables Sup #2'!G139*(1-'Other Assumptions'!K18)</f>
        <v>31.209938934103103</v>
      </c>
      <c r="H139" s="4">
        <f ca="1">'Total Duration Tables Sup #2'!H139*(1-'Other Assumptions'!L18)</f>
        <v>27.433867071452443</v>
      </c>
      <c r="I139" s="1">
        <f ca="1">'Total Duration Tables Sup #2'!I139*(1-'Other Assumptions'!M18)</f>
        <v>23.503100903368288</v>
      </c>
      <c r="J139" s="1">
        <f ca="1">'Total Duration Tables Sup #2'!J139*(1-'Other Assumptions'!N18)</f>
        <v>19.269560142052065</v>
      </c>
      <c r="K139" s="1">
        <f ca="1">'Total Duration Tables Sup #2'!K139*(1-'Other Assumptions'!O18)</f>
        <v>14.780177229023135</v>
      </c>
    </row>
    <row r="140" spans="1:11" x14ac:dyDescent="0.2">
      <c r="A140" t="str">
        <f ca="1">OFFSET(Otago_Reference,21,2)</f>
        <v>Light Vehicle Passenger</v>
      </c>
      <c r="B140" s="4">
        <f ca="1">'Total Duration Tables Sup #2'!B140</f>
        <v>19.901766343999999</v>
      </c>
      <c r="C140" s="4">
        <f ca="1">'Total Duration Tables Sup #2'!C140*(1-'Other Assumptions'!G18)</f>
        <v>21.713825472407937</v>
      </c>
      <c r="D140" s="4">
        <f ca="1">'Total Duration Tables Sup #2'!D140*(1-'Other Assumptions'!H18)</f>
        <v>22.561039998648422</v>
      </c>
      <c r="E140" s="4">
        <f ca="1">'Total Duration Tables Sup #2'!E140*(1-'Other Assumptions'!I18)</f>
        <v>20.735266825148162</v>
      </c>
      <c r="F140" s="4">
        <f ca="1">'Total Duration Tables Sup #2'!F140*(1-'Other Assumptions'!J18)</f>
        <v>18.68586912458133</v>
      </c>
      <c r="G140" s="4">
        <f ca="1">'Total Duration Tables Sup #2'!G140*(1-'Other Assumptions'!K18)</f>
        <v>16.448849982192169</v>
      </c>
      <c r="H140" s="4">
        <f ca="1">'Total Duration Tables Sup #2'!H140*(1-'Other Assumptions'!L18)</f>
        <v>14.105091723970418</v>
      </c>
      <c r="I140" s="1">
        <f ca="1">'Total Duration Tables Sup #2'!I140*(1-'Other Assumptions'!M18)</f>
        <v>12.091581011014085</v>
      </c>
      <c r="J140" s="1">
        <f ca="1">'Total Duration Tables Sup #2'!J140*(1-'Other Assumptions'!N18)</f>
        <v>9.9196684790814036</v>
      </c>
      <c r="K140" s="1">
        <f ca="1">'Total Duration Tables Sup #2'!K140*(1-'Other Assumptions'!O18)</f>
        <v>7.6132606516569394</v>
      </c>
    </row>
    <row r="141" spans="1:11" x14ac:dyDescent="0.2">
      <c r="A141" t="str">
        <f ca="1">OFFSET(Otago_Reference,28,2)</f>
        <v>Taxi/Vehicle Share</v>
      </c>
      <c r="B141" s="4">
        <f ca="1">'Total Duration Tables Sup #2'!B141</f>
        <v>0.23496676969999999</v>
      </c>
      <c r="C141" s="4">
        <f ca="1">'Total Duration Tables Sup #2'!C141+((C139+C140)*'Other Assumptions'!G18/(1-'Other Assumptions'!G18))</f>
        <v>0.2777685342718807</v>
      </c>
      <c r="D141" s="4">
        <f ca="1">'Total Duration Tables Sup #2'!D141+((D139+D140)*'Other Assumptions'!H18/(1-'Other Assumptions'!H18))</f>
        <v>0.31031868660861078</v>
      </c>
      <c r="E141" s="4">
        <f ca="1">'Total Duration Tables Sup #2'!E141+((E139+E140)*'Other Assumptions'!I18/(1-'Other Assumptions'!I18))</f>
        <v>6.7868358735054173</v>
      </c>
      <c r="F141" s="4">
        <f ca="1">'Total Duration Tables Sup #2'!F141+((F139+F140)*'Other Assumptions'!J18/(1-'Other Assumptions'!J18))</f>
        <v>13.68100844933466</v>
      </c>
      <c r="G141" s="4">
        <f ca="1">'Total Duration Tables Sup #2'!G141+((G139+G140)*'Other Assumptions'!K18/(1-'Other Assumptions'!K18))</f>
        <v>20.800437991821106</v>
      </c>
      <c r="H141" s="4">
        <f ca="1">'Total Duration Tables Sup #2'!H141+((H139+H140)*'Other Assumptions'!L18/(1-'Other Assumptions'!L18))</f>
        <v>28.082467605534664</v>
      </c>
      <c r="I141" s="1">
        <f ca="1">'Total Duration Tables Sup #2'!I141+((I139+I140)*'Other Assumptions'!M18/(1-'Other Assumptions'!M18))</f>
        <v>35.994475336585914</v>
      </c>
      <c r="J141" s="1">
        <f ca="1">'Total Duration Tables Sup #2'!J141+((J139+J140)*'Other Assumptions'!N18/(1-'Other Assumptions'!N18))</f>
        <v>44.192571895423143</v>
      </c>
      <c r="K141" s="1">
        <f ca="1">'Total Duration Tables Sup #2'!K141+((K139+K140)*'Other Assumptions'!O18/(1-'Other Assumptions'!O18))</f>
        <v>52.668345447980315</v>
      </c>
    </row>
    <row r="142" spans="1:11" x14ac:dyDescent="0.2">
      <c r="A142" t="str">
        <f ca="1">OFFSET(Otago_Reference,35,2)</f>
        <v>Motorcyclist</v>
      </c>
      <c r="B142" s="4">
        <f ca="1">'Total Duration Tables Sup #2'!B142</f>
        <v>0.42545310469999997</v>
      </c>
      <c r="C142" s="4">
        <f ca="1">'Total Duration Tables Sup #2'!C142</f>
        <v>0.47923639840144022</v>
      </c>
      <c r="D142" s="4">
        <f ca="1">'Total Duration Tables Sup #2'!D142</f>
        <v>0.50985416466896105</v>
      </c>
      <c r="E142" s="4">
        <f ca="1">'Total Duration Tables Sup #2'!E142</f>
        <v>0.53009168665318751</v>
      </c>
      <c r="F142" s="4">
        <f ca="1">'Total Duration Tables Sup #2'!F142</f>
        <v>0.54765804442237676</v>
      </c>
      <c r="G142" s="4">
        <f ca="1">'Total Duration Tables Sup #2'!G142</f>
        <v>0.55690169300550763</v>
      </c>
      <c r="H142" s="4">
        <f ca="1">'Total Duration Tables Sup #2'!H142</f>
        <v>0.56294219998955164</v>
      </c>
      <c r="I142" s="1">
        <f ca="1">'Total Duration Tables Sup #2'!I142</f>
        <v>0.58105682650805779</v>
      </c>
      <c r="J142" s="1">
        <f ca="1">'Total Duration Tables Sup #2'!J142</f>
        <v>0.59787375212413574</v>
      </c>
      <c r="K142" s="1">
        <f ca="1">'Total Duration Tables Sup #2'!K142</f>
        <v>0.61388650428178915</v>
      </c>
    </row>
    <row r="143" spans="1:11" x14ac:dyDescent="0.2">
      <c r="A143" t="str">
        <f ca="1">OFFSET(Canterbury_Reference,42,2)</f>
        <v>Local Train</v>
      </c>
      <c r="B143" s="4">
        <f ca="1">'Total Duration Tables Sup #2'!B143</f>
        <v>0</v>
      </c>
      <c r="C143" s="4">
        <f ca="1">'Total Duration Tables Sup #2'!C143</f>
        <v>0</v>
      </c>
      <c r="D143" s="4">
        <f ca="1">'Total Duration Tables Sup #2'!D143</f>
        <v>0</v>
      </c>
      <c r="E143" s="4">
        <f ca="1">'Total Duration Tables Sup #2'!E143</f>
        <v>0</v>
      </c>
      <c r="F143" s="4">
        <f ca="1">'Total Duration Tables Sup #2'!F143</f>
        <v>0</v>
      </c>
      <c r="G143" s="4">
        <f ca="1">'Total Duration Tables Sup #2'!G143</f>
        <v>0</v>
      </c>
      <c r="H143" s="4">
        <f ca="1">'Total Duration Tables Sup #2'!H143</f>
        <v>0</v>
      </c>
      <c r="I143" s="1">
        <f ca="1">'Total Duration Tables Sup #2'!I143</f>
        <v>0</v>
      </c>
      <c r="J143" s="1">
        <f ca="1">'Total Duration Tables Sup #2'!J143</f>
        <v>0</v>
      </c>
      <c r="K143" s="1">
        <f ca="1">'Total Duration Tables Sup #2'!K143</f>
        <v>0</v>
      </c>
    </row>
    <row r="144" spans="1:11" x14ac:dyDescent="0.2">
      <c r="A144" t="str">
        <f ca="1">OFFSET(Otago_Reference,42,2)</f>
        <v>Local Bus</v>
      </c>
      <c r="B144" s="4">
        <f ca="1">'Total Duration Tables Sup #2'!B144</f>
        <v>1.347401772</v>
      </c>
      <c r="C144" s="4">
        <f ca="1">'Total Duration Tables Sup #2'!C144</f>
        <v>1.3897412850385815</v>
      </c>
      <c r="D144" s="4">
        <f ca="1">'Total Duration Tables Sup #2'!D144</f>
        <v>1.4094540772395394</v>
      </c>
      <c r="E144" s="4">
        <f ca="1">'Total Duration Tables Sup #2'!E144</f>
        <v>1.4222383965555325</v>
      </c>
      <c r="F144" s="4">
        <f ca="1">'Total Duration Tables Sup #2'!F144</f>
        <v>1.4144472457961108</v>
      </c>
      <c r="G144" s="4">
        <f ca="1">'Total Duration Tables Sup #2'!G144</f>
        <v>1.4116690783373473</v>
      </c>
      <c r="H144" s="4">
        <f ca="1">'Total Duration Tables Sup #2'!H144</f>
        <v>1.4023445670562786</v>
      </c>
      <c r="I144" s="1">
        <f ca="1">'Total Duration Tables Sup #2'!I144</f>
        <v>1.4446907024785824</v>
      </c>
      <c r="J144" s="1">
        <f ca="1">'Total Duration Tables Sup #2'!J144</f>
        <v>1.4836321144481073</v>
      </c>
      <c r="K144" s="1">
        <f ca="1">'Total Duration Tables Sup #2'!K144</f>
        <v>1.5204112150440594</v>
      </c>
    </row>
    <row r="145" spans="1:11" x14ac:dyDescent="0.2">
      <c r="A145" t="str">
        <f ca="1">OFFSET(Wellington_Reference,56,2)</f>
        <v>Local Ferry</v>
      </c>
      <c r="B145" s="4">
        <f ca="1">'Total Duration Tables Sup #2'!B145</f>
        <v>0</v>
      </c>
      <c r="C145" s="4">
        <f ca="1">'Total Duration Tables Sup #2'!C145</f>
        <v>0</v>
      </c>
      <c r="D145" s="4">
        <f ca="1">'Total Duration Tables Sup #2'!D145</f>
        <v>0</v>
      </c>
      <c r="E145" s="4">
        <f ca="1">'Total Duration Tables Sup #2'!E145</f>
        <v>0</v>
      </c>
      <c r="F145" s="4">
        <f ca="1">'Total Duration Tables Sup #2'!F145</f>
        <v>0</v>
      </c>
      <c r="G145" s="4">
        <f ca="1">'Total Duration Tables Sup #2'!G145</f>
        <v>0</v>
      </c>
      <c r="H145" s="4">
        <f ca="1">'Total Duration Tables Sup #2'!H145</f>
        <v>0</v>
      </c>
      <c r="I145" s="1">
        <f ca="1">'Total Duration Tables Sup #2'!I145</f>
        <v>0</v>
      </c>
      <c r="J145" s="1">
        <f ca="1">'Total Duration Tables Sup #2'!J145</f>
        <v>0</v>
      </c>
      <c r="K145" s="1">
        <f ca="1">'Total Duration Tables Sup #2'!K145</f>
        <v>0</v>
      </c>
    </row>
    <row r="146" spans="1:11" x14ac:dyDescent="0.2">
      <c r="A146" t="str">
        <f ca="1">OFFSET(Otago_Reference,49,2)</f>
        <v>Other Household Travel</v>
      </c>
      <c r="B146" s="4">
        <f ca="1">'Total Duration Tables Sup #2'!B146</f>
        <v>0.25154479130000001</v>
      </c>
      <c r="C146" s="4">
        <f ca="1">'Total Duration Tables Sup #2'!C146</f>
        <v>0.28457799353510643</v>
      </c>
      <c r="D146" s="4">
        <f ca="1">'Total Duration Tables Sup #2'!D146</f>
        <v>0.30794229511260718</v>
      </c>
      <c r="E146" s="4">
        <f ca="1">'Total Duration Tables Sup #2'!E146</f>
        <v>0.32118528056987666</v>
      </c>
      <c r="F146" s="4">
        <f ca="1">'Total Duration Tables Sup #2'!F146</f>
        <v>0.33154969403282986</v>
      </c>
      <c r="G146" s="4">
        <f ca="1">'Total Duration Tables Sup #2'!G146</f>
        <v>0.342342113343584</v>
      </c>
      <c r="H146" s="4">
        <f ca="1">'Total Duration Tables Sup #2'!H146</f>
        <v>0.35059685527453049</v>
      </c>
      <c r="I146" s="1">
        <f ca="1">'Total Duration Tables Sup #2'!I146</f>
        <v>0.35989817851149591</v>
      </c>
      <c r="J146" s="1">
        <f ca="1">'Total Duration Tables Sup #2'!J146</f>
        <v>0.3683021856454593</v>
      </c>
      <c r="K146" s="1">
        <f ca="1">'Total Duration Tables Sup #2'!K146</f>
        <v>0.37612712847452795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'Total Duration Tables Sup #2'!B148</f>
        <v>2.2528617661000001</v>
      </c>
      <c r="C148" s="4">
        <f ca="1">'Total Duration Tables Sup #2'!C148</f>
        <v>2.2847709980696647</v>
      </c>
      <c r="D148" s="4">
        <f ca="1">'Total Duration Tables Sup #2'!D148</f>
        <v>2.3484950275559555</v>
      </c>
      <c r="E148" s="4">
        <f ca="1">'Total Duration Tables Sup #2'!E148</f>
        <v>2.3913827958976501</v>
      </c>
      <c r="F148" s="4">
        <f ca="1">'Total Duration Tables Sup #2'!F148</f>
        <v>2.4115308728212965</v>
      </c>
      <c r="G148" s="4">
        <f ca="1">'Total Duration Tables Sup #2'!G148</f>
        <v>2.4188560152738225</v>
      </c>
      <c r="H148" s="4">
        <f ca="1">'Total Duration Tables Sup #2'!H148</f>
        <v>2.4149677131272318</v>
      </c>
      <c r="I148" s="1">
        <f ca="1">'Total Duration Tables Sup #2'!I148</f>
        <v>2.3794479054512157</v>
      </c>
      <c r="J148" s="1">
        <f ca="1">'Total Duration Tables Sup #2'!J148</f>
        <v>2.3370266271641142</v>
      </c>
      <c r="K148" s="1">
        <f ca="1">'Total Duration Tables Sup #2'!K148</f>
        <v>2.2904664837561146</v>
      </c>
    </row>
    <row r="149" spans="1:11" x14ac:dyDescent="0.2">
      <c r="A149" t="str">
        <f ca="1">OFFSET(Southland_Reference,7,2)</f>
        <v>Cyclist</v>
      </c>
      <c r="B149" s="4">
        <f ca="1">'Total Duration Tables Sup #2'!B149</f>
        <v>0.50294231479999996</v>
      </c>
      <c r="C149" s="4">
        <f ca="1">'Total Duration Tables Sup #2'!C149</f>
        <v>0.52402503081759244</v>
      </c>
      <c r="D149" s="4">
        <f ca="1">'Total Duration Tables Sup #2'!D149</f>
        <v>0.62890150657824173</v>
      </c>
      <c r="E149" s="4">
        <f ca="1">'Total Duration Tables Sup #2'!E149</f>
        <v>0.72342826639169211</v>
      </c>
      <c r="F149" s="4">
        <f ca="1">'Total Duration Tables Sup #2'!F149</f>
        <v>0.82200113833215882</v>
      </c>
      <c r="G149" s="4">
        <f ca="1">'Total Duration Tables Sup #2'!G149</f>
        <v>0.92765770172280981</v>
      </c>
      <c r="H149" s="4">
        <f ca="1">'Total Duration Tables Sup #2'!H149</f>
        <v>1.0335750837578213</v>
      </c>
      <c r="I149" s="1">
        <f ca="1">'Total Duration Tables Sup #2'!I149</f>
        <v>1.0192220480192971</v>
      </c>
      <c r="J149" s="1">
        <f ca="1">'Total Duration Tables Sup #2'!J149</f>
        <v>1.0018786094865699</v>
      </c>
      <c r="K149" s="1">
        <f ca="1">'Total Duration Tables Sup #2'!K149</f>
        <v>0.98272376809494022</v>
      </c>
    </row>
    <row r="150" spans="1:11" x14ac:dyDescent="0.2">
      <c r="A150" t="str">
        <f ca="1">OFFSET(Southland_Reference,14,2)</f>
        <v>Light Vehicle Driver</v>
      </c>
      <c r="B150" s="4">
        <f ca="1">'Total Duration Tables Sup #2'!B150</f>
        <v>14.603785903</v>
      </c>
      <c r="C150" s="4">
        <f ca="1">'Total Duration Tables Sup #2'!C150*(1-'Other Assumptions'!G19)</f>
        <v>15.324829646386993</v>
      </c>
      <c r="D150" s="4">
        <f ca="1">'Total Duration Tables Sup #2'!D150*(1-'Other Assumptions'!H19)</f>
        <v>15.418101691310923</v>
      </c>
      <c r="E150" s="4">
        <f ca="1">'Total Duration Tables Sup #2'!E150*(1-'Other Assumptions'!I19)</f>
        <v>13.957593574759006</v>
      </c>
      <c r="F150" s="4">
        <f ca="1">'Total Duration Tables Sup #2'!F150*(1-'Other Assumptions'!J19)</f>
        <v>12.422942686280875</v>
      </c>
      <c r="G150" s="4">
        <f ca="1">'Total Duration Tables Sup #2'!G150*(1-'Other Assumptions'!K19)</f>
        <v>10.76753512727667</v>
      </c>
      <c r="H150" s="4">
        <f ca="1">'Total Duration Tables Sup #2'!H150*(1-'Other Assumptions'!L19)</f>
        <v>9.0984220226545602</v>
      </c>
      <c r="I150" s="1">
        <f ca="1">'Total Duration Tables Sup #2'!I150*(1-'Other Assumptions'!M19)</f>
        <v>7.4746348892614121</v>
      </c>
      <c r="J150" s="1">
        <f ca="1">'Total Duration Tables Sup #2'!J150*(1-'Other Assumptions'!N19)</f>
        <v>5.8763188251206087</v>
      </c>
      <c r="K150" s="1">
        <f ca="1">'Total Duration Tables Sup #2'!K150*(1-'Other Assumptions'!O19)</f>
        <v>4.3217794172123734</v>
      </c>
    </row>
    <row r="151" spans="1:11" x14ac:dyDescent="0.2">
      <c r="A151" t="str">
        <f ca="1">OFFSET(Southland_Reference,21,2)</f>
        <v>Light Vehicle Passenger</v>
      </c>
      <c r="B151" s="4">
        <f ca="1">'Total Duration Tables Sup #2'!B151</f>
        <v>7.5859087797999996</v>
      </c>
      <c r="C151" s="4">
        <f ca="1">'Total Duration Tables Sup #2'!C151*(1-'Other Assumptions'!G19)</f>
        <v>7.635407026299923</v>
      </c>
      <c r="D151" s="4">
        <f ca="1">'Total Duration Tables Sup #2'!D151*(1-'Other Assumptions'!H19)</f>
        <v>7.4823145108124081</v>
      </c>
      <c r="E151" s="4">
        <f ca="1">'Total Duration Tables Sup #2'!E151*(1-'Other Assumptions'!I19)</f>
        <v>6.5975598251974503</v>
      </c>
      <c r="F151" s="4">
        <f ca="1">'Total Duration Tables Sup #2'!F151*(1-'Other Assumptions'!J19)</f>
        <v>5.7148132783472896</v>
      </c>
      <c r="G151" s="4">
        <f ca="1">'Total Duration Tables Sup #2'!G151*(1-'Other Assumptions'!K19)</f>
        <v>4.8410798464035452</v>
      </c>
      <c r="H151" s="4">
        <f ca="1">'Total Duration Tables Sup #2'!H151*(1-'Other Assumptions'!L19)</f>
        <v>3.9969295678663963</v>
      </c>
      <c r="I151" s="1">
        <f ca="1">'Total Duration Tables Sup #2'!I151*(1-'Other Assumptions'!M19)</f>
        <v>3.2855871455204619</v>
      </c>
      <c r="J151" s="1">
        <f ca="1">'Total Duration Tables Sup #2'!J151*(1-'Other Assumptions'!N19)</f>
        <v>2.5845764939498759</v>
      </c>
      <c r="K151" s="1">
        <f ca="1">'Total Duration Tables Sup #2'!K151*(1-'Other Assumptions'!O19)</f>
        <v>1.9019801933212084</v>
      </c>
    </row>
    <row r="152" spans="1:11" x14ac:dyDescent="0.2">
      <c r="A152" t="str">
        <f ca="1">OFFSET(Southland_Reference,28,2)</f>
        <v>Taxi/Vehicle Share</v>
      </c>
      <c r="B152" s="4">
        <f ca="1">'Total Duration Tables Sup #2'!B152</f>
        <v>6.6688903300000005E-2</v>
      </c>
      <c r="C152" s="4">
        <f ca="1">'Total Duration Tables Sup #2'!C152+((C150+C151)*'Other Assumptions'!G19/(1-'Other Assumptions'!G19))</f>
        <v>7.2729404878772844E-2</v>
      </c>
      <c r="D152" s="4">
        <f ca="1">'Total Duration Tables Sup #2'!D152+((D150+D151)*'Other Assumptions'!H19/(1-'Other Assumptions'!H19))</f>
        <v>7.6349483460433687E-2</v>
      </c>
      <c r="E152" s="4">
        <f ca="1">'Total Duration Tables Sup #2'!E152+((E150+E151)*'Other Assumptions'!I19/(1-'Other Assumptions'!I19))</f>
        <v>2.363019258154941</v>
      </c>
      <c r="F152" s="4">
        <f ca="1">'Total Duration Tables Sup #2'!F152+((F150+F151)*'Other Assumptions'!J19/(1-'Other Assumptions'!J19))</f>
        <v>4.6153160520900265</v>
      </c>
      <c r="G152" s="4">
        <f ca="1">'Total Duration Tables Sup #2'!G152+((G150+G151)*'Other Assumptions'!K19/(1-'Other Assumptions'!K19))</f>
        <v>6.7704079296466579</v>
      </c>
      <c r="H152" s="4">
        <f ca="1">'Total Duration Tables Sup #2'!H152+((H150+H151)*'Other Assumptions'!L19/(1-'Other Assumptions'!L19))</f>
        <v>8.8109312210210522</v>
      </c>
      <c r="I152" s="1">
        <f ca="1">'Total Duration Tables Sup #2'!I152+((I150+I151)*'Other Assumptions'!M19/(1-'Other Assumptions'!M19))</f>
        <v>10.839582840338293</v>
      </c>
      <c r="J152" s="1">
        <f ca="1">'Total Duration Tables Sup #2'!J152+((J150+J151)*'Other Assumptions'!N19/(1-'Other Assumptions'!N19))</f>
        <v>12.76914237454859</v>
      </c>
      <c r="K152" s="1">
        <f ca="1">'Total Duration Tables Sup #2'!K152+((K150+K151)*'Other Assumptions'!O19/(1-'Other Assumptions'!O19))</f>
        <v>14.598211583910562</v>
      </c>
    </row>
    <row r="153" spans="1:11" x14ac:dyDescent="0.2">
      <c r="A153" t="str">
        <f ca="1">OFFSET(Southland_Reference,35,2)</f>
        <v>Motorcyclist</v>
      </c>
      <c r="B153" s="4">
        <f ca="1">'Total Duration Tables Sup #2'!B153</f>
        <v>0.2609239458</v>
      </c>
      <c r="C153" s="4">
        <f ca="1">'Total Duration Tables Sup #2'!C153</f>
        <v>0.27113893974360209</v>
      </c>
      <c r="D153" s="4">
        <f ca="1">'Total Duration Tables Sup #2'!D153</f>
        <v>0.27105614465308764</v>
      </c>
      <c r="E153" s="4">
        <f ca="1">'Total Duration Tables Sup #2'!E153</f>
        <v>0.26936360095318312</v>
      </c>
      <c r="F153" s="4">
        <f ca="1">'Total Duration Tables Sup #2'!F153</f>
        <v>0.26648629987020411</v>
      </c>
      <c r="G153" s="4">
        <f ca="1">'Total Duration Tables Sup #2'!G153</f>
        <v>0.25976131607308689</v>
      </c>
      <c r="H153" s="4">
        <f ca="1">'Total Duration Tables Sup #2'!H153</f>
        <v>0.25180357545095905</v>
      </c>
      <c r="I153" s="1">
        <f ca="1">'Total Duration Tables Sup #2'!I153</f>
        <v>0.24923219478660147</v>
      </c>
      <c r="J153" s="1">
        <f ca="1">'Total Duration Tables Sup #2'!J153</f>
        <v>0.24590389585213623</v>
      </c>
      <c r="K153" s="1">
        <f ca="1">'Total Duration Tables Sup #2'!K153</f>
        <v>0.24210014599428056</v>
      </c>
    </row>
    <row r="154" spans="1:11" x14ac:dyDescent="0.2">
      <c r="A154" t="str">
        <f ca="1">OFFSET(Canterbury_Reference,42,2)</f>
        <v>Local Train</v>
      </c>
      <c r="B154" s="4">
        <f ca="1">'Total Duration Tables Sup #2'!B154</f>
        <v>0</v>
      </c>
      <c r="C154" s="4">
        <f ca="1">'Total Duration Tables Sup #2'!C154</f>
        <v>0</v>
      </c>
      <c r="D154" s="4">
        <f ca="1">'Total Duration Tables Sup #2'!D154</f>
        <v>0</v>
      </c>
      <c r="E154" s="4">
        <f ca="1">'Total Duration Tables Sup #2'!E154</f>
        <v>0</v>
      </c>
      <c r="F154" s="4">
        <f ca="1">'Total Duration Tables Sup #2'!F154</f>
        <v>0</v>
      </c>
      <c r="G154" s="4">
        <f ca="1">'Total Duration Tables Sup #2'!G154</f>
        <v>0</v>
      </c>
      <c r="H154" s="4">
        <f ca="1">'Total Duration Tables Sup #2'!H154</f>
        <v>0</v>
      </c>
      <c r="I154" s="1">
        <f ca="1">'Total Duration Tables Sup #2'!I154</f>
        <v>0</v>
      </c>
      <c r="J154" s="1">
        <f ca="1">'Total Duration Tables Sup #2'!J154</f>
        <v>0</v>
      </c>
      <c r="K154" s="1">
        <f ca="1">'Total Duration Tables Sup #2'!K154</f>
        <v>0</v>
      </c>
    </row>
    <row r="155" spans="1:11" x14ac:dyDescent="0.2">
      <c r="A155" t="str">
        <f ca="1">OFFSET(Southland_Reference,42,2)</f>
        <v>Local Bus</v>
      </c>
      <c r="B155" s="4">
        <f ca="1">'Total Duration Tables Sup #2'!B155</f>
        <v>1.2152660816</v>
      </c>
      <c r="C155" s="4">
        <f ca="1">'Total Duration Tables Sup #2'!C155</f>
        <v>1.1563467376310166</v>
      </c>
      <c r="D155" s="4">
        <f ca="1">'Total Duration Tables Sup #2'!D155</f>
        <v>1.1019864092289271</v>
      </c>
      <c r="E155" s="4">
        <f ca="1">'Total Duration Tables Sup #2'!E155</f>
        <v>1.0628508826149781</v>
      </c>
      <c r="F155" s="4">
        <f ca="1">'Total Duration Tables Sup #2'!F155</f>
        <v>1.0121950104708668</v>
      </c>
      <c r="G155" s="4">
        <f ca="1">'Total Duration Tables Sup #2'!G155</f>
        <v>0.96836896422940111</v>
      </c>
      <c r="H155" s="4">
        <f ca="1">'Total Duration Tables Sup #2'!H155</f>
        <v>0.92249675081977678</v>
      </c>
      <c r="I155" s="1">
        <f ca="1">'Total Duration Tables Sup #2'!I155</f>
        <v>0.91132321655213233</v>
      </c>
      <c r="J155" s="1">
        <f ca="1">'Total Duration Tables Sup #2'!J155</f>
        <v>0.89741674677972838</v>
      </c>
      <c r="K155" s="1">
        <f ca="1">'Total Duration Tables Sup #2'!K155</f>
        <v>0.8818202185961409</v>
      </c>
    </row>
    <row r="156" spans="1:11" x14ac:dyDescent="0.2">
      <c r="A156" t="str">
        <f ca="1">OFFSET(Wellington_Reference,56,2)</f>
        <v>Local Ferry</v>
      </c>
      <c r="B156" s="4">
        <f ca="1">'Total Duration Tables Sup #2'!B156</f>
        <v>0</v>
      </c>
      <c r="C156" s="4">
        <f ca="1">'Total Duration Tables Sup #2'!C156</f>
        <v>0</v>
      </c>
      <c r="D156" s="4">
        <f ca="1">'Total Duration Tables Sup #2'!D156</f>
        <v>0</v>
      </c>
      <c r="E156" s="4">
        <f ca="1">'Total Duration Tables Sup #2'!E156</f>
        <v>0</v>
      </c>
      <c r="F156" s="4">
        <f ca="1">'Total Duration Tables Sup #2'!F156</f>
        <v>0</v>
      </c>
      <c r="G156" s="4">
        <f ca="1">'Total Duration Tables Sup #2'!G156</f>
        <v>0</v>
      </c>
      <c r="H156" s="4">
        <f ca="1">'Total Duration Tables Sup #2'!H156</f>
        <v>0</v>
      </c>
      <c r="I156" s="1">
        <f ca="1">'Total Duration Tables Sup #2'!I156</f>
        <v>0</v>
      </c>
      <c r="J156" s="1">
        <f ca="1">'Total Duration Tables Sup #2'!J156</f>
        <v>0</v>
      </c>
      <c r="K156" s="1">
        <f ca="1">'Total Duration Tables Sup #2'!K156</f>
        <v>0</v>
      </c>
    </row>
    <row r="157" spans="1:11" x14ac:dyDescent="0.2">
      <c r="A157" t="str">
        <f ca="1">OFFSET(Southland_Reference,49,2)</f>
        <v>Other Household Travel</v>
      </c>
      <c r="B157" s="4">
        <f ca="1">'Total Duration Tables Sup #2'!B157</f>
        <v>8.5162673699999997E-2</v>
      </c>
      <c r="C157" s="4">
        <f ca="1">'Total Duration Tables Sup #2'!C157</f>
        <v>8.8882268299424916E-2</v>
      </c>
      <c r="D157" s="4">
        <f ca="1">'Total Duration Tables Sup #2'!D157</f>
        <v>9.0376256145769537E-2</v>
      </c>
      <c r="E157" s="4">
        <f ca="1">'Total Duration Tables Sup #2'!E157</f>
        <v>9.0098024468429794E-2</v>
      </c>
      <c r="F157" s="4">
        <f ca="1">'Total Duration Tables Sup #2'!F157</f>
        <v>8.9060630528422946E-2</v>
      </c>
      <c r="G157" s="4">
        <f ca="1">'Total Duration Tables Sup #2'!G157</f>
        <v>8.8151150272978665E-2</v>
      </c>
      <c r="H157" s="4">
        <f ca="1">'Total Duration Tables Sup #2'!H157</f>
        <v>8.6572073885108916E-2</v>
      </c>
      <c r="I157" s="1">
        <f ca="1">'Total Duration Tables Sup #2'!I157</f>
        <v>8.5219091776985958E-2</v>
      </c>
      <c r="J157" s="1">
        <f ca="1">'Total Duration Tables Sup #2'!J157</f>
        <v>8.3624192404630579E-2</v>
      </c>
      <c r="K157" s="1">
        <f ca="1">'Total Duration Tables Sup #2'!K157</f>
        <v>8.1886694876324814E-2</v>
      </c>
    </row>
    <row r="158" spans="1:11" x14ac:dyDescent="0.2">
      <c r="A158" t="s">
        <v>103</v>
      </c>
      <c r="B158" s="1">
        <f ca="1">SUM(B159:B168)</f>
        <v>1563.2845741693284</v>
      </c>
      <c r="C158" s="1">
        <f t="shared" ref="C158:H158" ca="1" si="0">SUM(C159:C168)</f>
        <v>1711.012307345421</v>
      </c>
      <c r="D158" s="1">
        <f t="shared" ca="1" si="0"/>
        <v>1810.0530912383376</v>
      </c>
      <c r="E158" s="1">
        <f t="shared" ca="1" si="0"/>
        <v>1889.0450914964035</v>
      </c>
      <c r="F158" s="1">
        <f t="shared" ca="1" si="0"/>
        <v>1954.0868211813458</v>
      </c>
      <c r="G158" s="1">
        <f t="shared" ca="1" si="0"/>
        <v>2003.7936728566096</v>
      </c>
      <c r="H158" s="1">
        <f t="shared" ca="1" si="0"/>
        <v>2044.1833523657317</v>
      </c>
      <c r="I158" s="1">
        <f t="shared" ref="I158:K158" ca="1" si="1">SUM(I159:I168)</f>
        <v>2092.543123619414</v>
      </c>
      <c r="J158" s="1">
        <f t="shared" ca="1" si="1"/>
        <v>2135.9488063073391</v>
      </c>
      <c r="K158" s="1">
        <f t="shared" ca="1" si="1"/>
        <v>2176.3253150482583</v>
      </c>
    </row>
    <row r="159" spans="1:11" x14ac:dyDescent="0.2">
      <c r="A159" t="str">
        <f t="shared" ref="A159:A165" ca="1" si="2">A5</f>
        <v>Pedestrian</v>
      </c>
      <c r="B159" s="4">
        <f t="shared" ref="B159:H168" ca="1" si="3">B5+B16+B27+B38+B49+B60+B71+B82+B93+B104+B115+B126+B137+B148</f>
        <v>205.0143830817</v>
      </c>
      <c r="C159" s="4">
        <f t="shared" ca="1" si="3"/>
        <v>220.72860065667732</v>
      </c>
      <c r="D159" s="4">
        <f t="shared" ca="1" si="3"/>
        <v>238.39758033268254</v>
      </c>
      <c r="E159" s="4">
        <f t="shared" ca="1" si="3"/>
        <v>252.37986918136929</v>
      </c>
      <c r="F159" s="4">
        <f t="shared" ca="1" si="3"/>
        <v>264.37528793208577</v>
      </c>
      <c r="G159" s="4">
        <f t="shared" ca="1" si="3"/>
        <v>275.29058605575096</v>
      </c>
      <c r="H159" s="4">
        <f t="shared" ca="1" si="3"/>
        <v>285.18729967225283</v>
      </c>
      <c r="I159" s="1">
        <f t="shared" ref="I159:K159" ca="1" si="4">I5+I16+I27+I38+I49+I60+I71+I82+I93+I104+I115+I126+I137+I148</f>
        <v>291.67390069633569</v>
      </c>
      <c r="J159" s="1">
        <f t="shared" ca="1" si="4"/>
        <v>297.43986465342829</v>
      </c>
      <c r="K159" s="1">
        <f t="shared" ca="1" si="4"/>
        <v>302.74198011004466</v>
      </c>
    </row>
    <row r="160" spans="1:11" x14ac:dyDescent="0.2">
      <c r="A160" t="str">
        <f t="shared" ca="1" si="2"/>
        <v>Cyclist</v>
      </c>
      <c r="B160" s="4">
        <f t="shared" ca="1" si="3"/>
        <v>24.928098629399997</v>
      </c>
      <c r="C160" s="4">
        <f t="shared" ca="1" si="3"/>
        <v>27.576707303203126</v>
      </c>
      <c r="D160" s="4">
        <f t="shared" ca="1" si="3"/>
        <v>34.804820858824428</v>
      </c>
      <c r="E160" s="4">
        <f t="shared" ca="1" si="3"/>
        <v>41.64772324558627</v>
      </c>
      <c r="F160" s="4">
        <f t="shared" ca="1" si="3"/>
        <v>49.147270104040309</v>
      </c>
      <c r="G160" s="4">
        <f t="shared" ca="1" si="3"/>
        <v>57.569739737755555</v>
      </c>
      <c r="H160" s="4">
        <f t="shared" ca="1" si="3"/>
        <v>66.546160340264336</v>
      </c>
      <c r="I160" s="1">
        <f t="shared" ref="I160:K160" ca="1" si="5">I6+I17+I28+I39+I50+I61+I72+I83+I94+I105+I116+I127+I138+I149</f>
        <v>68.102368564346534</v>
      </c>
      <c r="J160" s="1">
        <f t="shared" ca="1" si="5"/>
        <v>69.495652461719686</v>
      </c>
      <c r="K160" s="1">
        <f t="shared" ca="1" si="5"/>
        <v>70.787810914928755</v>
      </c>
    </row>
    <row r="161" spans="1:11" x14ac:dyDescent="0.2">
      <c r="A161" t="str">
        <f t="shared" ca="1" si="2"/>
        <v>Light Vehicle Driver</v>
      </c>
      <c r="B161" s="4">
        <f t="shared" ca="1" si="3"/>
        <v>820.39837236829999</v>
      </c>
      <c r="C161" s="4">
        <f t="shared" ca="1" si="3"/>
        <v>912.20519040963325</v>
      </c>
      <c r="D161" s="4">
        <f t="shared" ca="1" si="3"/>
        <v>958.41396763184923</v>
      </c>
      <c r="E161" s="4">
        <f t="shared" ca="1" si="3"/>
        <v>897.06759022612812</v>
      </c>
      <c r="F161" s="4">
        <f t="shared" ca="1" si="3"/>
        <v>826.76554227499264</v>
      </c>
      <c r="G161" s="4">
        <f t="shared" ca="1" si="3"/>
        <v>741.54613475172448</v>
      </c>
      <c r="H161" s="4">
        <f t="shared" ca="1" si="3"/>
        <v>648.08230200421099</v>
      </c>
      <c r="I161" s="1">
        <f t="shared" ref="I161:K161" ca="1" si="6">I7+I18+I29+I40+I51+I62+I73+I84+I95+I106+I117+I128+I139+I150</f>
        <v>551.33785970030681</v>
      </c>
      <c r="J161" s="1">
        <f t="shared" ca="1" si="6"/>
        <v>448.89985232552715</v>
      </c>
      <c r="K161" s="1">
        <f t="shared" ca="1" si="6"/>
        <v>341.92043156512824</v>
      </c>
    </row>
    <row r="162" spans="1:11" x14ac:dyDescent="0.2">
      <c r="A162" t="str">
        <f t="shared" ca="1" si="2"/>
        <v>Light Vehicle Passenger</v>
      </c>
      <c r="B162" s="4">
        <f t="shared" ca="1" si="3"/>
        <v>430.09037615619997</v>
      </c>
      <c r="C162" s="4">
        <f t="shared" ca="1" si="3"/>
        <v>457.55232959999893</v>
      </c>
      <c r="D162" s="4">
        <f t="shared" ca="1" si="3"/>
        <v>464.3286768702751</v>
      </c>
      <c r="E162" s="4">
        <f t="shared" ca="1" si="3"/>
        <v>419.81371067876148</v>
      </c>
      <c r="F162" s="4">
        <f t="shared" ca="1" si="3"/>
        <v>374.48712472801117</v>
      </c>
      <c r="G162" s="4">
        <f t="shared" ca="1" si="3"/>
        <v>326.39098817662506</v>
      </c>
      <c r="H162" s="4">
        <f t="shared" ca="1" si="3"/>
        <v>276.98435216079531</v>
      </c>
      <c r="I162" s="1">
        <f t="shared" ref="I162:K162" ca="1" si="7">I8+I19+I30+I41+I52+I63+I74+I85+I96+I107+I118+I129+I140+I151</f>
        <v>234.85767481203547</v>
      </c>
      <c r="J162" s="1">
        <f t="shared" ca="1" si="7"/>
        <v>190.5358934363725</v>
      </c>
      <c r="K162" s="1">
        <f t="shared" ca="1" si="7"/>
        <v>144.5445696813359</v>
      </c>
    </row>
    <row r="163" spans="1:11" x14ac:dyDescent="0.2">
      <c r="A163" t="str">
        <f t="shared" ca="1" si="2"/>
        <v>Taxi/Vehicle Share</v>
      </c>
      <c r="B163" s="4">
        <f t="shared" ca="1" si="3"/>
        <v>4.6704390591000005</v>
      </c>
      <c r="C163" s="4">
        <f t="shared" ca="1" si="3"/>
        <v>5.4220971504306918</v>
      </c>
      <c r="D163" s="4">
        <f t="shared" ca="1" si="3"/>
        <v>6.0052614633787185</v>
      </c>
      <c r="E163" s="4">
        <f t="shared" ca="1" si="3"/>
        <v>152.81061106917502</v>
      </c>
      <c r="F163" s="4">
        <f t="shared" ca="1" si="3"/>
        <v>307.22307140822068</v>
      </c>
      <c r="G163" s="4">
        <f t="shared" ca="1" si="3"/>
        <v>464.89004724713095</v>
      </c>
      <c r="H163" s="4">
        <f t="shared" ca="1" si="3"/>
        <v>624.17578667418957</v>
      </c>
      <c r="I163" s="1">
        <f t="shared" ref="I163:K163" ca="1" si="8">I9+I20+I31+I42+I53+I64+I75+I86+I97+I108+I119+I130+I141+I152</f>
        <v>793.83478298897535</v>
      </c>
      <c r="J163" s="1">
        <f t="shared" ca="1" si="8"/>
        <v>966.94915598453827</v>
      </c>
      <c r="K163" s="1">
        <f t="shared" ca="1" si="8"/>
        <v>1143.0254855685034</v>
      </c>
    </row>
    <row r="164" spans="1:11" x14ac:dyDescent="0.2">
      <c r="A164" t="str">
        <f t="shared" ca="1" si="2"/>
        <v>Motorcyclist</v>
      </c>
      <c r="B164" s="4">
        <f t="shared" ca="1" si="3"/>
        <v>6.0136150244</v>
      </c>
      <c r="C164" s="4">
        <f t="shared" ca="1" si="3"/>
        <v>6.5874249910860367</v>
      </c>
      <c r="D164" s="4">
        <f t="shared" ca="1" si="3"/>
        <v>6.8915657922199092</v>
      </c>
      <c r="E164" s="4">
        <f t="shared" ca="1" si="3"/>
        <v>7.0982480356962911</v>
      </c>
      <c r="F164" s="4">
        <f t="shared" ca="1" si="3"/>
        <v>7.267233534640769</v>
      </c>
      <c r="G164" s="4">
        <f t="shared" ca="1" si="3"/>
        <v>7.3259828040811819</v>
      </c>
      <c r="H164" s="4">
        <f t="shared" ca="1" si="3"/>
        <v>7.3402863633290778</v>
      </c>
      <c r="I164" s="1">
        <f t="shared" ref="I164:K164" ca="1" si="9">I10+I21+I32+I43+I54+I65+I76+I87+I98+I109+I120+I131+I142+I153</f>
        <v>7.5119418570092931</v>
      </c>
      <c r="J164" s="1">
        <f t="shared" ca="1" si="9"/>
        <v>7.6656261979215419</v>
      </c>
      <c r="K164" s="1">
        <f t="shared" ca="1" si="9"/>
        <v>7.8081560302191981</v>
      </c>
    </row>
    <row r="165" spans="1:11" x14ac:dyDescent="0.2">
      <c r="A165" t="str">
        <f t="shared" ca="1" si="2"/>
        <v>Local Train</v>
      </c>
      <c r="B165" s="4">
        <f t="shared" ca="1" si="3"/>
        <v>11.945939429511251</v>
      </c>
      <c r="C165" s="4">
        <f t="shared" ca="1" si="3"/>
        <v>17.89664446637796</v>
      </c>
      <c r="D165" s="4">
        <f t="shared" ca="1" si="3"/>
        <v>29.188237626124881</v>
      </c>
      <c r="E165" s="4">
        <f t="shared" ca="1" si="3"/>
        <v>39.394128321175117</v>
      </c>
      <c r="F165" s="4">
        <f t="shared" ca="1" si="3"/>
        <v>43.77269825335884</v>
      </c>
      <c r="G165" s="4">
        <f t="shared" ca="1" si="3"/>
        <v>47.87669156721568</v>
      </c>
      <c r="H165" s="4">
        <f t="shared" ca="1" si="3"/>
        <v>51.672491764599471</v>
      </c>
      <c r="I165" s="1">
        <f t="shared" ref="I165:K165" ca="1" si="10">I11+I22+I33+I44+I55+I66+I77+I88+I99+I110+I121+I132+I143+I154</f>
        <v>56.666528235944469</v>
      </c>
      <c r="J165" s="1">
        <f t="shared" ca="1" si="10"/>
        <v>61.935376535196411</v>
      </c>
      <c r="K165" s="1">
        <f t="shared" ca="1" si="10"/>
        <v>67.714622720099896</v>
      </c>
    </row>
    <row r="166" spans="1:11" x14ac:dyDescent="0.2">
      <c r="A166" t="s">
        <v>20</v>
      </c>
      <c r="B166" s="4">
        <f t="shared" ca="1" si="3"/>
        <v>52.97039647611355</v>
      </c>
      <c r="C166" s="4">
        <f t="shared" ca="1" si="3"/>
        <v>54.941833439520671</v>
      </c>
      <c r="D166" s="4">
        <f t="shared" ca="1" si="3"/>
        <v>63.321527982473945</v>
      </c>
      <c r="E166" s="4">
        <f t="shared" ca="1" si="3"/>
        <v>69.773138048048096</v>
      </c>
      <c r="F166" s="4">
        <f t="shared" ca="1" si="3"/>
        <v>71.719405252347542</v>
      </c>
      <c r="G166" s="4">
        <f t="shared" ca="1" si="3"/>
        <v>73.261389666137703</v>
      </c>
      <c r="H166" s="4">
        <f t="shared" ca="1" si="3"/>
        <v>74.31431824893717</v>
      </c>
      <c r="I166" s="1">
        <f t="shared" ref="I166:K166" ca="1" si="11">I12+I23+I34+I45+I56+I67+I78+I89+I100+I111+I122+I133+I144+I155</f>
        <v>78.44612493114505</v>
      </c>
      <c r="J166" s="1">
        <f t="shared" ca="1" si="11"/>
        <v>82.708028648379724</v>
      </c>
      <c r="K166" s="1">
        <f t="shared" ca="1" si="11"/>
        <v>87.270487932116751</v>
      </c>
    </row>
    <row r="167" spans="1:11" x14ac:dyDescent="0.2">
      <c r="A167" t="str">
        <f ca="1">A13</f>
        <v>Local Ferry</v>
      </c>
      <c r="B167" s="4">
        <f t="shared" ca="1" si="3"/>
        <v>1.5789294523033413</v>
      </c>
      <c r="C167" s="4">
        <f t="shared" ca="1" si="3"/>
        <v>1.7997432058261384</v>
      </c>
      <c r="D167" s="4">
        <f t="shared" ca="1" si="3"/>
        <v>1.9465728941214497</v>
      </c>
      <c r="E167" s="4">
        <f t="shared" ca="1" si="3"/>
        <v>2.0407558394824954</v>
      </c>
      <c r="F167" s="4">
        <f t="shared" ca="1" si="3"/>
        <v>2.1085104433828379</v>
      </c>
      <c r="G167" s="4">
        <f t="shared" ca="1" si="3"/>
        <v>2.2097066613458707</v>
      </c>
      <c r="H167" s="4">
        <f t="shared" ca="1" si="3"/>
        <v>2.2939158495107903</v>
      </c>
      <c r="I167" s="1">
        <f t="shared" ref="I167:K167" ca="1" si="12">I13+I24+I35+I46+I57+I68+I79+I90+I101+I112+I123+I134+I145+I156</f>
        <v>2.3480906687052645</v>
      </c>
      <c r="J167" s="1">
        <f t="shared" ca="1" si="12"/>
        <v>2.3966668292923994</v>
      </c>
      <c r="K167" s="1">
        <f t="shared" ca="1" si="12"/>
        <v>2.4417717901873899</v>
      </c>
    </row>
    <row r="168" spans="1:11" x14ac:dyDescent="0.2">
      <c r="A168" t="str">
        <f ca="1">A14</f>
        <v>Other Household Travel</v>
      </c>
      <c r="B168" s="4">
        <f t="shared" ca="1" si="3"/>
        <v>5.6740244923000009</v>
      </c>
      <c r="C168" s="4">
        <f t="shared" ca="1" si="3"/>
        <v>6.3017361226667576</v>
      </c>
      <c r="D168" s="4">
        <f t="shared" ca="1" si="3"/>
        <v>6.7548797863875647</v>
      </c>
      <c r="E168" s="4">
        <f t="shared" ca="1" si="3"/>
        <v>7.0193168509815189</v>
      </c>
      <c r="F168" s="4">
        <f t="shared" ca="1" si="3"/>
        <v>7.2206772502652496</v>
      </c>
      <c r="G168" s="4">
        <f t="shared" ca="1" si="3"/>
        <v>7.4324061888424771</v>
      </c>
      <c r="H168" s="4">
        <f t="shared" ca="1" si="3"/>
        <v>7.5864392876422704</v>
      </c>
      <c r="I168" s="1">
        <f t="shared" ref="I168:K168" ca="1" si="13">I14+I25+I36+I47+I58+I69+I80+I91+I102+I113+I124+I135+I146+I157</f>
        <v>7.7638511646095099</v>
      </c>
      <c r="J168" s="1">
        <f t="shared" ca="1" si="13"/>
        <v>7.9226892349628439</v>
      </c>
      <c r="K168" s="1">
        <f t="shared" ca="1" si="13"/>
        <v>8.0699987356937672</v>
      </c>
    </row>
    <row r="169" spans="1:11" x14ac:dyDescent="0.2">
      <c r="A169" t="s">
        <v>108</v>
      </c>
      <c r="I169" s="1"/>
      <c r="J169" s="1"/>
      <c r="K169" s="1"/>
    </row>
    <row r="170" spans="1:11" x14ac:dyDescent="0.2">
      <c r="A170" t="s">
        <v>103</v>
      </c>
      <c r="B170" s="1">
        <f ca="1">SUM(B171:B177)</f>
        <v>1563.2845741693282</v>
      </c>
      <c r="C170" s="1">
        <f t="shared" ref="C170:H170" ca="1" si="14">SUM(C171:C177)</f>
        <v>1711.0123073454208</v>
      </c>
      <c r="D170" s="1">
        <f t="shared" ca="1" si="14"/>
        <v>1810.0530912383379</v>
      </c>
      <c r="E170" s="1">
        <f t="shared" ca="1" si="14"/>
        <v>1889.0450914964033</v>
      </c>
      <c r="F170" s="1">
        <f t="shared" ca="1" si="14"/>
        <v>1954.0868211813456</v>
      </c>
      <c r="G170" s="1">
        <f t="shared" ca="1" si="14"/>
        <v>2003.7936728566101</v>
      </c>
      <c r="H170" s="1">
        <f t="shared" ca="1" si="14"/>
        <v>2044.1833523657319</v>
      </c>
      <c r="I170" s="1">
        <f t="shared" ref="I170:K170" ca="1" si="15">SUM(I171:I177)</f>
        <v>2092.5431236194136</v>
      </c>
      <c r="J170" s="1">
        <f t="shared" ca="1" si="15"/>
        <v>2135.9488063073386</v>
      </c>
      <c r="K170" s="1">
        <f t="shared" ca="1" si="15"/>
        <v>2176.3253150482583</v>
      </c>
    </row>
    <row r="171" spans="1:11" x14ac:dyDescent="0.2">
      <c r="A171" t="s">
        <v>62</v>
      </c>
      <c r="B171" s="1">
        <f ca="1">B159</f>
        <v>205.0143830817</v>
      </c>
      <c r="C171" s="1">
        <f t="shared" ref="C171:H172" ca="1" si="16">C159</f>
        <v>220.72860065667732</v>
      </c>
      <c r="D171" s="1">
        <f t="shared" ca="1" si="16"/>
        <v>238.39758033268254</v>
      </c>
      <c r="E171" s="1">
        <f t="shared" ca="1" si="16"/>
        <v>252.37986918136929</v>
      </c>
      <c r="F171" s="1">
        <f t="shared" ca="1" si="16"/>
        <v>264.37528793208577</v>
      </c>
      <c r="G171" s="1">
        <f t="shared" ca="1" si="16"/>
        <v>275.29058605575096</v>
      </c>
      <c r="H171" s="1">
        <f t="shared" ca="1" si="16"/>
        <v>285.18729967225283</v>
      </c>
      <c r="I171" s="1">
        <f t="shared" ref="I171:K171" ca="1" si="17">I159</f>
        <v>291.67390069633569</v>
      </c>
      <c r="J171" s="1">
        <f t="shared" ca="1" si="17"/>
        <v>297.43986465342829</v>
      </c>
      <c r="K171" s="1">
        <f t="shared" ca="1" si="17"/>
        <v>302.74198011004466</v>
      </c>
    </row>
    <row r="172" spans="1:11" x14ac:dyDescent="0.2">
      <c r="A172" t="s">
        <v>63</v>
      </c>
      <c r="B172" s="1">
        <f ca="1">B160</f>
        <v>24.928098629399997</v>
      </c>
      <c r="C172" s="1">
        <f t="shared" ca="1" si="16"/>
        <v>27.576707303203126</v>
      </c>
      <c r="D172" s="1">
        <f t="shared" ca="1" si="16"/>
        <v>34.804820858824428</v>
      </c>
      <c r="E172" s="1">
        <f t="shared" ca="1" si="16"/>
        <v>41.64772324558627</v>
      </c>
      <c r="F172" s="1">
        <f t="shared" ca="1" si="16"/>
        <v>49.147270104040309</v>
      </c>
      <c r="G172" s="1">
        <f t="shared" ca="1" si="16"/>
        <v>57.569739737755555</v>
      </c>
      <c r="H172" s="1">
        <f t="shared" ca="1" si="16"/>
        <v>66.546160340264336</v>
      </c>
      <c r="I172" s="1">
        <f t="shared" ref="I172:K172" ca="1" si="18">I160</f>
        <v>68.102368564346534</v>
      </c>
      <c r="J172" s="1">
        <f t="shared" ca="1" si="18"/>
        <v>69.495652461719686</v>
      </c>
      <c r="K172" s="1">
        <f t="shared" ca="1" si="18"/>
        <v>70.787810914928755</v>
      </c>
    </row>
    <row r="173" spans="1:11" x14ac:dyDescent="0.2">
      <c r="A173" t="s">
        <v>104</v>
      </c>
      <c r="B173" s="1">
        <f ca="1">B165</f>
        <v>11.945939429511251</v>
      </c>
      <c r="C173" s="1">
        <f t="shared" ref="C173:H174" ca="1" si="19">C165</f>
        <v>17.89664446637796</v>
      </c>
      <c r="D173" s="1">
        <f t="shared" ca="1" si="19"/>
        <v>29.188237626124881</v>
      </c>
      <c r="E173" s="1">
        <f t="shared" ca="1" si="19"/>
        <v>39.394128321175117</v>
      </c>
      <c r="F173" s="1">
        <f t="shared" ca="1" si="19"/>
        <v>43.77269825335884</v>
      </c>
      <c r="G173" s="1">
        <f t="shared" ca="1" si="19"/>
        <v>47.87669156721568</v>
      </c>
      <c r="H173" s="1">
        <f t="shared" ca="1" si="19"/>
        <v>51.672491764599471</v>
      </c>
      <c r="I173" s="1">
        <f t="shared" ref="I173:K173" ca="1" si="20">I165</f>
        <v>56.666528235944469</v>
      </c>
      <c r="J173" s="1">
        <f t="shared" ca="1" si="20"/>
        <v>61.935376535196411</v>
      </c>
      <c r="K173" s="1">
        <f t="shared" ca="1" si="20"/>
        <v>67.714622720099896</v>
      </c>
    </row>
    <row r="174" spans="1:11" x14ac:dyDescent="0.2">
      <c r="A174" t="s">
        <v>20</v>
      </c>
      <c r="B174" s="1">
        <f ca="1">B166</f>
        <v>52.97039647611355</v>
      </c>
      <c r="C174" s="1">
        <f t="shared" ca="1" si="19"/>
        <v>54.941833439520671</v>
      </c>
      <c r="D174" s="1">
        <f t="shared" ca="1" si="19"/>
        <v>63.321527982473945</v>
      </c>
      <c r="E174" s="1">
        <f t="shared" ca="1" si="19"/>
        <v>69.773138048048096</v>
      </c>
      <c r="F174" s="1">
        <f t="shared" ca="1" si="19"/>
        <v>71.719405252347542</v>
      </c>
      <c r="G174" s="1">
        <f t="shared" ca="1" si="19"/>
        <v>73.261389666137703</v>
      </c>
      <c r="H174" s="1">
        <f t="shared" ca="1" si="19"/>
        <v>74.31431824893717</v>
      </c>
      <c r="I174" s="1">
        <f t="shared" ref="I174:K174" ca="1" si="21">I166</f>
        <v>78.44612493114505</v>
      </c>
      <c r="J174" s="1">
        <f t="shared" ca="1" si="21"/>
        <v>82.708028648379724</v>
      </c>
      <c r="K174" s="1">
        <f t="shared" ca="1" si="21"/>
        <v>87.270487932116751</v>
      </c>
    </row>
    <row r="175" spans="1:11" x14ac:dyDescent="0.2">
      <c r="A175" t="s">
        <v>105</v>
      </c>
      <c r="B175" s="1">
        <f ca="1">'Total Duration Tables Sup #2'!B9+'Total Duration Tables Sup #2'!B20+'Total Duration Tables Sup #2'!B31+'Total Duration Tables Sup #2'!B42+'Total Duration Tables Sup #2'!B53+'Total Duration Tables Sup #2'!B64+'Total Duration Tables Sup #2'!B75+'Total Duration Tables Sup #2'!B86+'Total Duration Tables Sup #2'!B97+'Total Duration Tables Sup #2'!B108+'Total Duration Tables Sup #2'!B119+'Total Duration Tables Sup #2'!B130+'Total Duration Tables Sup #2'!B141+'Total Duration Tables Sup #2'!B152+B164+B167+B168</f>
        <v>17.937008028103342</v>
      </c>
      <c r="C175" s="1">
        <f ca="1">'Total Duration Tables Sup #2'!C9+'Total Duration Tables Sup #2'!C20+'Total Duration Tables Sup #2'!C31+'Total Duration Tables Sup #2'!C42+'Total Duration Tables Sup #2'!C53+'Total Duration Tables Sup #2'!C64+'Total Duration Tables Sup #2'!C75+'Total Duration Tables Sup #2'!C86+'Total Duration Tables Sup #2'!C97+'Total Duration Tables Sup #2'!C108+'Total Duration Tables Sup #2'!C119+'Total Duration Tables Sup #2'!C130+'Total Duration Tables Sup #2'!C141+'Total Duration Tables Sup #2'!C152+C164+C167+C168</f>
        <v>20.111001470009626</v>
      </c>
      <c r="D175" s="1">
        <f ca="1">'Total Duration Tables Sup #2'!D9+'Total Duration Tables Sup #2'!D20+'Total Duration Tables Sup #2'!D31+'Total Duration Tables Sup #2'!D42+'Total Duration Tables Sup #2'!D53+'Total Duration Tables Sup #2'!D64+'Total Duration Tables Sup #2'!D75+'Total Duration Tables Sup #2'!D86+'Total Duration Tables Sup #2'!D97+'Total Duration Tables Sup #2'!D108+'Total Duration Tables Sup #2'!D119+'Total Duration Tables Sup #2'!D130+'Total Duration Tables Sup #2'!D141+'Total Duration Tables Sup #2'!D152+D164+D167+D168</f>
        <v>21.598279936107641</v>
      </c>
      <c r="E175" s="1">
        <f ca="1">'Total Duration Tables Sup #2'!E9+'Total Duration Tables Sup #2'!E20+'Total Duration Tables Sup #2'!E31+'Total Duration Tables Sup #2'!E42+'Total Duration Tables Sup #2'!E53+'Total Duration Tables Sup #2'!E64+'Total Duration Tables Sup #2'!E75+'Total Duration Tables Sup #2'!E86+'Total Duration Tables Sup #2'!E97+'Total Duration Tables Sup #2'!E108+'Total Duration Tables Sup #2'!E119+'Total Duration Tables Sup #2'!E130+'Total Duration Tables Sup #2'!E141+'Total Duration Tables Sup #2'!E152+E164+E167+E168</f>
        <v>22.648787250347631</v>
      </c>
      <c r="F175" s="1">
        <f ca="1">'Total Duration Tables Sup #2'!F9+'Total Duration Tables Sup #2'!F20+'Total Duration Tables Sup #2'!F31+'Total Duration Tables Sup #2'!F42+'Total Duration Tables Sup #2'!F53+'Total Duration Tables Sup #2'!F64+'Total Duration Tables Sup #2'!F75+'Total Duration Tables Sup #2'!F86+'Total Duration Tables Sup #2'!F97+'Total Duration Tables Sup #2'!F108+'Total Duration Tables Sup #2'!F119+'Total Duration Tables Sup #2'!F130+'Total Duration Tables Sup #2'!F141+'Total Duration Tables Sup #2'!F152+F164+F167+F168</f>
        <v>23.506325885758557</v>
      </c>
      <c r="G175" s="1">
        <f ca="1">'Total Duration Tables Sup #2'!G9+'Total Duration Tables Sup #2'!G20+'Total Duration Tables Sup #2'!G31+'Total Duration Tables Sup #2'!G42+'Total Duration Tables Sup #2'!G53+'Total Duration Tables Sup #2'!G64+'Total Duration Tables Sup #2'!G75+'Total Duration Tables Sup #2'!G86+'Total Duration Tables Sup #2'!G97+'Total Duration Tables Sup #2'!G108+'Total Duration Tables Sup #2'!G119+'Total Duration Tables Sup #2'!G130+'Total Duration Tables Sup #2'!G141+'Total Duration Tables Sup #2'!G152+G164+G167+G168</f>
        <v>24.170804503536381</v>
      </c>
      <c r="H175" s="1">
        <f ca="1">'Total Duration Tables Sup #2'!H9+'Total Duration Tables Sup #2'!H20+'Total Duration Tables Sup #2'!H31+'Total Duration Tables Sup #2'!H42+'Total Duration Tables Sup #2'!H53+'Total Duration Tables Sup #2'!H64+'Total Duration Tables Sup #2'!H75+'Total Duration Tables Sup #2'!H86+'Total Duration Tables Sup #2'!H97+'Total Duration Tables Sup #2'!H108+'Total Duration Tables Sup #2'!H119+'Total Duration Tables Sup #2'!H130+'Total Duration Tables Sup #2'!H141+'Total Duration Tables Sup #2'!H152+H164+H167+H168</f>
        <v>24.685325398000671</v>
      </c>
      <c r="I175" s="1">
        <f ca="1">'Total Duration Tables Sup #2'!I9+'Total Duration Tables Sup #2'!I20+'Total Duration Tables Sup #2'!I31+'Total Duration Tables Sup #2'!I42+'Total Duration Tables Sup #2'!I53+'Total Duration Tables Sup #2'!I64+'Total Duration Tables Sup #2'!I75+'Total Duration Tables Sup #2'!I86+'Total Duration Tables Sup #2'!I97+'Total Duration Tables Sup #2'!I108+'Total Duration Tables Sup #2'!I119+'Total Duration Tables Sup #2'!I130+'Total Duration Tables Sup #2'!I141+'Total Duration Tables Sup #2'!I152+I164+I167+I168</f>
        <v>25.263132166957217</v>
      </c>
      <c r="J175" s="1">
        <f ca="1">'Total Duration Tables Sup #2'!J9+'Total Duration Tables Sup #2'!J20+'Total Duration Tables Sup #2'!J31+'Total Duration Tables Sup #2'!J42+'Total Duration Tables Sup #2'!J53+'Total Duration Tables Sup #2'!J64+'Total Duration Tables Sup #2'!J75+'Total Duration Tables Sup #2'!J86+'Total Duration Tables Sup #2'!J97+'Total Duration Tables Sup #2'!J108+'Total Duration Tables Sup #2'!J119+'Total Duration Tables Sup #2'!J130+'Total Duration Tables Sup #2'!J141+'Total Duration Tables Sup #2'!J152+J164+J167+J168</f>
        <v>25.780519603865621</v>
      </c>
      <c r="K175" s="1">
        <f ca="1">'Total Duration Tables Sup #2'!K9+'Total Duration Tables Sup #2'!K20+'Total Duration Tables Sup #2'!K31+'Total Duration Tables Sup #2'!K42+'Total Duration Tables Sup #2'!K53+'Total Duration Tables Sup #2'!K64+'Total Duration Tables Sup #2'!K75+'Total Duration Tables Sup #2'!K86+'Total Duration Tables Sup #2'!K97+'Total Duration Tables Sup #2'!K108+'Total Duration Tables Sup #2'!K119+'Total Duration Tables Sup #2'!K130+'Total Duration Tables Sup #2'!K141+'Total Duration Tables Sup #2'!K152+K164+K167+K168</f>
        <v>26.260409216187611</v>
      </c>
    </row>
    <row r="176" spans="1:11" x14ac:dyDescent="0.2">
      <c r="A176" t="s">
        <v>106</v>
      </c>
      <c r="B176" s="1">
        <f ca="1">B7+B18+B29+B40+B51+B62+B73+B84+B95+B106+B117+B128+B139+B150</f>
        <v>820.39837236829999</v>
      </c>
      <c r="C176" s="1">
        <f ca="1">C7/(1-'Other Assumptions'!G$6)+C18/(1-'Other Assumptions'!G$7)+C29/(1-'Other Assumptions'!G$8)+C40/(1-'Other Assumptions'!G$9)+C51/(1-'Other Assumptions'!G$10)+C62/(1-'Other Assumptions'!G$11)+C73/(1-'Other Assumptions'!G$12)+C84/(1-'Other Assumptions'!G$13)+C95/(1-'Other Assumptions'!G$14)+C106/(1-'Other Assumptions'!G$15)+C117/(1-'Other Assumptions'!G$16)+C128/(1-'Other Assumptions'!G$17)+C139/(1-'Other Assumptions'!G$18)+C150/(1-'Other Assumptions'!G$19)</f>
        <v>912.20519040963325</v>
      </c>
      <c r="D176" s="1">
        <f ca="1">D7/(1-'Other Assumptions'!H$6)+D18/(1-'Other Assumptions'!H$7)+D29/(1-'Other Assumptions'!H$8)+D40/(1-'Other Assumptions'!H$9)+D51/(1-'Other Assumptions'!H$10)+D62/(1-'Other Assumptions'!H$11)+D73/(1-'Other Assumptions'!H$12)+D84/(1-'Other Assumptions'!H$13)+D95/(1-'Other Assumptions'!H$14)+D106/(1-'Other Assumptions'!H$15)+D117/(1-'Other Assumptions'!H$16)+D128/(1-'Other Assumptions'!H$17)+D139/(1-'Other Assumptions'!H$18)+D150/(1-'Other Assumptions'!H$19)</f>
        <v>958.41396763184923</v>
      </c>
      <c r="E176" s="1">
        <f ca="1">E7/(1-'Other Assumptions'!I$6)+E18/(1-'Other Assumptions'!I$7)+E29/(1-'Other Assumptions'!I$8)+E40/(1-'Other Assumptions'!I$9)+E51/(1-'Other Assumptions'!I$10)+E62/(1-'Other Assumptions'!I$11)+E73/(1-'Other Assumptions'!I$12)+E84/(1-'Other Assumptions'!I$13)+E95/(1-'Other Assumptions'!I$14)+E106/(1-'Other Assumptions'!I$15)+E117/(1-'Other Assumptions'!I$16)+E128/(1-'Other Assumptions'!I$17)+E139/(1-'Other Assumptions'!I$18)+E150/(1-'Other Assumptions'!I$19)</f>
        <v>996.74176691791968</v>
      </c>
      <c r="F176" s="1">
        <f ca="1">F7/(1-'Other Assumptions'!J$6)+F18/(1-'Other Assumptions'!J$7)+F29/(1-'Other Assumptions'!J$8)+F40/(1-'Other Assumptions'!J$9)+F51/(1-'Other Assumptions'!J$10)+F62/(1-'Other Assumptions'!J$11)+F73/(1-'Other Assumptions'!J$12)+F84/(1-'Other Assumptions'!J$13)+F95/(1-'Other Assumptions'!J$14)+F106/(1-'Other Assumptions'!J$15)+F117/(1-'Other Assumptions'!J$16)+F128/(1-'Other Assumptions'!J$17)+F139/(1-'Other Assumptions'!J$18)+F150/(1-'Other Assumptions'!J$19)</f>
        <v>1033.4569278437407</v>
      </c>
      <c r="G176" s="1">
        <f ca="1">G7/(1-'Other Assumptions'!K$6)+G18/(1-'Other Assumptions'!K$7)+G29/(1-'Other Assumptions'!K$8)+G40/(1-'Other Assumptions'!K$9)+G51/(1-'Other Assumptions'!K$10)+G62/(1-'Other Assumptions'!K$11)+G73/(1-'Other Assumptions'!K$12)+G84/(1-'Other Assumptions'!K$13)+G95/(1-'Other Assumptions'!K$14)+G106/(1-'Other Assumptions'!K$15)+G117/(1-'Other Assumptions'!K$16)+G128/(1-'Other Assumptions'!K$17)+G139/(1-'Other Assumptions'!K$18)+G150/(1-'Other Assumptions'!K$19)</f>
        <v>1059.3516210738924</v>
      </c>
      <c r="H176" s="1">
        <f ca="1">H7/(1-'Other Assumptions'!L$6)+H18/(1-'Other Assumptions'!L$7)+H29/(1-'Other Assumptions'!L$8)+H40/(1-'Other Assumptions'!L$9)+H51/(1-'Other Assumptions'!L$10)+H62/(1-'Other Assumptions'!L$11)+H73/(1-'Other Assumptions'!L$12)+H84/(1-'Other Assumptions'!L$13)+H95/(1-'Other Assumptions'!L$14)+H106/(1-'Other Assumptions'!L$15)+H117/(1-'Other Assumptions'!L$16)+H128/(1-'Other Assumptions'!L$17)+H139/(1-'Other Assumptions'!L$18)+H150/(1-'Other Assumptions'!L$19)</f>
        <v>1080.1371700070183</v>
      </c>
      <c r="I176" s="1">
        <f ca="1">I7/(1-'Other Assumptions'!M$6)+I18/(1-'Other Assumptions'!M$7)+I29/(1-'Other Assumptions'!M$8)+I40/(1-'Other Assumptions'!M$9)+I51/(1-'Other Assumptions'!M$10)+I62/(1-'Other Assumptions'!M$11)+I73/(1-'Other Assumptions'!M$12)+I84/(1-'Other Assumptions'!M$13)+I95/(1-'Other Assumptions'!M$14)+I106/(1-'Other Assumptions'!M$15)+I117/(1-'Other Assumptions'!M$16)+I128/(1-'Other Assumptions'!M$17)+I139/(1-'Other Assumptions'!M$18)+I150/(1-'Other Assumptions'!M$19)</f>
        <v>1102.6757194006136</v>
      </c>
      <c r="J176" s="1">
        <f ca="1">J7/(1-'Other Assumptions'!N$6)+J18/(1-'Other Assumptions'!N$7)+J29/(1-'Other Assumptions'!N$8)+J40/(1-'Other Assumptions'!N$9)+J51/(1-'Other Assumptions'!N$10)+J62/(1-'Other Assumptions'!N$11)+J73/(1-'Other Assumptions'!N$12)+J84/(1-'Other Assumptions'!N$13)+J95/(1-'Other Assumptions'!N$14)+J106/(1-'Other Assumptions'!N$15)+J117/(1-'Other Assumptions'!N$16)+J128/(1-'Other Assumptions'!N$17)+J139/(1-'Other Assumptions'!N$18)+J150/(1-'Other Assumptions'!N$19)</f>
        <v>1122.2496308138177</v>
      </c>
      <c r="K176" s="1">
        <f ca="1">K7/(1-'Other Assumptions'!O$6)+K18/(1-'Other Assumptions'!O$7)+K29/(1-'Other Assumptions'!O$8)+K40/(1-'Other Assumptions'!O$9)+K51/(1-'Other Assumptions'!O$10)+K62/(1-'Other Assumptions'!O$11)+K73/(1-'Other Assumptions'!O$12)+K84/(1-'Other Assumptions'!O$13)+K95/(1-'Other Assumptions'!O$14)+K106/(1-'Other Assumptions'!O$15)+K117/(1-'Other Assumptions'!O$16)+K128/(1-'Other Assumptions'!O$17)+K139/(1-'Other Assumptions'!O$18)+K150/(1-'Other Assumptions'!O$19)</f>
        <v>1139.7347718837609</v>
      </c>
    </row>
    <row r="177" spans="1:11" x14ac:dyDescent="0.2">
      <c r="A177" t="s">
        <v>107</v>
      </c>
      <c r="B177" s="1">
        <f ca="1">B8+B19+B30+B41+B52+B63+B74+B85+B96+B107+B118+B129+B140+B151</f>
        <v>430.09037615619997</v>
      </c>
      <c r="C177" s="1">
        <f ca="1">C8/(1-'Other Assumptions'!G$6)+C19/(1-'Other Assumptions'!G$7)+C30/(1-'Other Assumptions'!G$8)+C41/(1-'Other Assumptions'!G$9)+C52/(1-'Other Assumptions'!G$10)+C63/(1-'Other Assumptions'!G$11)+C74/(1-'Other Assumptions'!G$12)+C85/(1-'Other Assumptions'!G$13)+C96/(1-'Other Assumptions'!G$14)+C107/(1-'Other Assumptions'!G$15)+C118/(1-'Other Assumptions'!G$16)+C129/(1-'Other Assumptions'!G$17)+C140/(1-'Other Assumptions'!G$18)+C151/(1-'Other Assumptions'!G$19)</f>
        <v>457.55232959999893</v>
      </c>
      <c r="D177" s="1">
        <f ca="1">D8/(1-'Other Assumptions'!H$6)+D19/(1-'Other Assumptions'!H$7)+D30/(1-'Other Assumptions'!H$8)+D41/(1-'Other Assumptions'!H$9)+D52/(1-'Other Assumptions'!H$10)+D63/(1-'Other Assumptions'!H$11)+D74/(1-'Other Assumptions'!H$12)+D85/(1-'Other Assumptions'!H$13)+D96/(1-'Other Assumptions'!H$14)+D107/(1-'Other Assumptions'!H$15)+D118/(1-'Other Assumptions'!H$16)+D129/(1-'Other Assumptions'!H$17)+D140/(1-'Other Assumptions'!H$18)+D151/(1-'Other Assumptions'!H$19)</f>
        <v>464.3286768702751</v>
      </c>
      <c r="E177" s="1">
        <f ca="1">E8/(1-'Other Assumptions'!I$6)+E19/(1-'Other Assumptions'!I$7)+E30/(1-'Other Assumptions'!I$8)+E41/(1-'Other Assumptions'!I$9)+E52/(1-'Other Assumptions'!I$10)+E63/(1-'Other Assumptions'!I$11)+E74/(1-'Other Assumptions'!I$12)+E85/(1-'Other Assumptions'!I$13)+E96/(1-'Other Assumptions'!I$14)+E107/(1-'Other Assumptions'!I$15)+E118/(1-'Other Assumptions'!I$16)+E129/(1-'Other Assumptions'!I$17)+E140/(1-'Other Assumptions'!I$18)+E151/(1-'Other Assumptions'!I$19)</f>
        <v>466.45967853195719</v>
      </c>
      <c r="F177" s="1">
        <f ca="1">F8/(1-'Other Assumptions'!J$6)+F19/(1-'Other Assumptions'!J$7)+F30/(1-'Other Assumptions'!J$8)+F41/(1-'Other Assumptions'!J$9)+F52/(1-'Other Assumptions'!J$10)+F63/(1-'Other Assumptions'!J$11)+F74/(1-'Other Assumptions'!J$12)+F85/(1-'Other Assumptions'!J$13)+F96/(1-'Other Assumptions'!J$14)+F107/(1-'Other Assumptions'!J$15)+F118/(1-'Other Assumptions'!J$16)+F129/(1-'Other Assumptions'!J$17)+F140/(1-'Other Assumptions'!J$18)+F151/(1-'Other Assumptions'!J$19)</f>
        <v>468.10890591001385</v>
      </c>
      <c r="G177" s="1">
        <f ca="1">G8/(1-'Other Assumptions'!K$6)+G19/(1-'Other Assumptions'!K$7)+G30/(1-'Other Assumptions'!K$8)+G41/(1-'Other Assumptions'!K$9)+G52/(1-'Other Assumptions'!K$10)+G63/(1-'Other Assumptions'!K$11)+G74/(1-'Other Assumptions'!K$12)+G85/(1-'Other Assumptions'!K$13)+G96/(1-'Other Assumptions'!K$14)+G107/(1-'Other Assumptions'!K$15)+G118/(1-'Other Assumptions'!K$16)+G129/(1-'Other Assumptions'!K$17)+G140/(1-'Other Assumptions'!K$18)+G151/(1-'Other Assumptions'!K$19)</f>
        <v>466.27284025232154</v>
      </c>
      <c r="H177" s="1">
        <f ca="1">H8/(1-'Other Assumptions'!L$6)+H19/(1-'Other Assumptions'!L$7)+H30/(1-'Other Assumptions'!L$8)+H41/(1-'Other Assumptions'!L$9)+H52/(1-'Other Assumptions'!L$10)+H63/(1-'Other Assumptions'!L$11)+H74/(1-'Other Assumptions'!L$12)+H85/(1-'Other Assumptions'!L$13)+H96/(1-'Other Assumptions'!L$14)+H107/(1-'Other Assumptions'!L$15)+H118/(1-'Other Assumptions'!L$16)+H129/(1-'Other Assumptions'!L$17)+H140/(1-'Other Assumptions'!L$18)+H151/(1-'Other Assumptions'!L$19)</f>
        <v>461.64058693465893</v>
      </c>
      <c r="I177" s="1">
        <f ca="1">I8/(1-'Other Assumptions'!M$6)+I19/(1-'Other Assumptions'!M$7)+I30/(1-'Other Assumptions'!M$8)+I41/(1-'Other Assumptions'!M$9)+I52/(1-'Other Assumptions'!M$10)+I63/(1-'Other Assumptions'!M$11)+I74/(1-'Other Assumptions'!M$12)+I85/(1-'Other Assumptions'!M$13)+I96/(1-'Other Assumptions'!M$14)+I107/(1-'Other Assumptions'!M$15)+I118/(1-'Other Assumptions'!M$16)+I129/(1-'Other Assumptions'!M$17)+I140/(1-'Other Assumptions'!M$18)+I151/(1-'Other Assumptions'!M$19)</f>
        <v>469.71534962407094</v>
      </c>
      <c r="J177" s="1">
        <f ca="1">J8/(1-'Other Assumptions'!N$6)+J19/(1-'Other Assumptions'!N$7)+J30/(1-'Other Assumptions'!N$8)+J41/(1-'Other Assumptions'!N$9)+J52/(1-'Other Assumptions'!N$10)+J63/(1-'Other Assumptions'!N$11)+J74/(1-'Other Assumptions'!N$12)+J85/(1-'Other Assumptions'!N$13)+J96/(1-'Other Assumptions'!N$14)+J107/(1-'Other Assumptions'!N$15)+J118/(1-'Other Assumptions'!N$16)+J129/(1-'Other Assumptions'!N$17)+J140/(1-'Other Assumptions'!N$18)+J151/(1-'Other Assumptions'!N$19)</f>
        <v>476.33973359093142</v>
      </c>
      <c r="K177" s="1">
        <f ca="1">K8/(1-'Other Assumptions'!O$6)+K19/(1-'Other Assumptions'!O$7)+K30/(1-'Other Assumptions'!O$8)+K41/(1-'Other Assumptions'!O$9)+K52/(1-'Other Assumptions'!O$10)+K63/(1-'Other Assumptions'!O$11)+K74/(1-'Other Assumptions'!O$12)+K85/(1-'Other Assumptions'!O$13)+K96/(1-'Other Assumptions'!O$14)+K107/(1-'Other Assumptions'!O$15)+K118/(1-'Other Assumptions'!O$16)+K129/(1-'Other Assumptions'!O$17)+K140/(1-'Other Assumptions'!O$18)+K151/(1-'Other Assumptions'!O$19)</f>
        <v>481.81523227111961</v>
      </c>
    </row>
  </sheetData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K202"/>
  <sheetViews>
    <sheetView topLeftCell="A52" workbookViewId="0">
      <selection activeCell="B99" sqref="B99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17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B159*'Total Trip Tables Sup #1'!B5</f>
        <v>23.706864376999999</v>
      </c>
      <c r="C5" s="4">
        <f ca="1">C159*'Total Trip Tables Sup #1'!C5*(1+'Active Mode Assumptions'!C7)</f>
        <v>25.28007157418369</v>
      </c>
      <c r="D5" s="4">
        <f ca="1">D159*'Total Trip Tables Sup #1'!D5*(1+'Active Mode Assumptions'!D7)</f>
        <v>27.159507870317302</v>
      </c>
      <c r="E5" s="4">
        <f ca="1">E159*'Total Trip Tables Sup #1'!E5*(1+'Active Mode Assumptions'!E7)</f>
        <v>28.626659482793105</v>
      </c>
      <c r="F5" s="4">
        <f ca="1">F159*'Total Trip Tables Sup #1'!F5*(1+'Active Mode Assumptions'!F7)</f>
        <v>29.787691068408215</v>
      </c>
      <c r="G5" s="4">
        <f ca="1">G159*'Total Trip Tables Sup #1'!G5*(1+'Active Mode Assumptions'!G7)</f>
        <v>30.768158420126909</v>
      </c>
      <c r="H5" s="4">
        <f ca="1">H159*'Total Trip Tables Sup #1'!H5*(1+'Active Mode Assumptions'!H7)</f>
        <v>31.575799847981834</v>
      </c>
      <c r="I5" s="1">
        <f ca="1">I159*'Total Trip Tables Sup #1'!I5*(1+'Active Mode Assumptions'!I7)</f>
        <v>31.981246335656497</v>
      </c>
      <c r="J5" s="1">
        <f ca="1">J159*'Total Trip Tables Sup #1'!J5*(1+'Active Mode Assumptions'!J7)</f>
        <v>32.302334072291913</v>
      </c>
      <c r="K5" s="1">
        <f ca="1">K159*'Total Trip Tables Sup #1'!K5*(1+'Active Mode Assumptions'!K7)</f>
        <v>32.570412449233842</v>
      </c>
    </row>
    <row r="6" spans="1:11" x14ac:dyDescent="0.2">
      <c r="A6" t="str">
        <f ca="1">OFFSET(Northland_Reference,7,2)</f>
        <v>Cyclist</v>
      </c>
      <c r="B6" s="4">
        <f ca="1">B160*'Total Trip Tables Sup #1'!B6</f>
        <v>0.66592947719999995</v>
      </c>
      <c r="C6" s="4">
        <f ca="1">C160*'Total Trip Tables Sup #1'!C6*(1+'Active Mode Assumptions'!C16)</f>
        <v>0.71010479276696237</v>
      </c>
      <c r="D6" s="4">
        <f ca="1">D160*'Total Trip Tables Sup #1'!D6*(1+'Active Mode Assumptions'!D16)</f>
        <v>0.87475075874841102</v>
      </c>
      <c r="E6" s="4">
        <f ca="1">E160*'Total Trip Tables Sup #1'!E6*(1+'Active Mode Assumptions'!E16)</f>
        <v>1.0270210501590318</v>
      </c>
      <c r="F6" s="4">
        <f ca="1">F160*'Total Trip Tables Sup #1'!F6*(1+'Active Mode Assumptions'!F16)</f>
        <v>1.1775122294303728</v>
      </c>
      <c r="G6" s="4">
        <f ca="1">G160*'Total Trip Tables Sup #1'!G6*(1+'Active Mode Assumptions'!G16)</f>
        <v>1.3254053138440185</v>
      </c>
      <c r="H6" s="4">
        <f ca="1">H160*'Total Trip Tables Sup #1'!H6*(1+'Active Mode Assumptions'!H16)</f>
        <v>1.4696313111315831</v>
      </c>
      <c r="I6" s="1">
        <f ca="1">I160*'Total Trip Tables Sup #1'!I6*(1+'Active Mode Assumptions'!I16)</f>
        <v>1.4905465366555382</v>
      </c>
      <c r="J6" s="1">
        <f ca="1">J160*'Total Trip Tables Sup #1'!J6*(1+'Active Mode Assumptions'!J16)</f>
        <v>1.5075810357298969</v>
      </c>
      <c r="K6" s="1">
        <f ca="1">K160*'Total Trip Tables Sup #1'!K6*(1+'Active Mode Assumptions'!K16)</f>
        <v>1.5221851871990155</v>
      </c>
    </row>
    <row r="7" spans="1:11" x14ac:dyDescent="0.2">
      <c r="A7" t="str">
        <f ca="1">OFFSET(Northland_Reference,14,2)</f>
        <v>Light Vehicle Driver</v>
      </c>
      <c r="B7" s="4">
        <f ca="1">B161*'Total Trip Tables Sup #1'!B7</f>
        <v>86.333691700000003</v>
      </c>
      <c r="C7" s="4">
        <f ca="1">C161*'Total Trip Tables Sup #1'!C7-(C5*'Active Mode Assumptions'!C7*'Active Mode Assumptions'!C14/(1+'Active Mode Assumptions'!C7))-(C6*'Active Mode Assumptions'!C16*'Active Mode Assumptions'!C23/(1+'Active Mode Assumptions'!C16))</f>
        <v>94.467058616822868</v>
      </c>
      <c r="D7" s="4">
        <f ca="1">D161*'Total Trip Tables Sup #1'!D7-(D5*'Active Mode Assumptions'!D7*'Active Mode Assumptions'!D14/(1+'Active Mode Assumptions'!D7))-(D6*'Active Mode Assumptions'!D16*'Active Mode Assumptions'!D23/(1+'Active Mode Assumptions'!D16))</f>
        <v>98.909612107016329</v>
      </c>
      <c r="E7" s="4">
        <f ca="1">E161*'Total Trip Tables Sup #1'!E7-(E5*'Active Mode Assumptions'!E7*'Active Mode Assumptions'!E14/(1+'Active Mode Assumptions'!E7))-(E6*'Active Mode Assumptions'!E16*'Active Mode Assumptions'!E23/(1+'Active Mode Assumptions'!E16))</f>
        <v>102.75630333208605</v>
      </c>
      <c r="F7" s="4">
        <f ca="1">F161*'Total Trip Tables Sup #1'!F7-(F5*'Active Mode Assumptions'!F7*'Active Mode Assumptions'!F14/(1+'Active Mode Assumptions'!F7))-(F6*'Active Mode Assumptions'!F16*'Active Mode Assumptions'!F23/(1+'Active Mode Assumptions'!F16))</f>
        <v>105.88941082480422</v>
      </c>
      <c r="G7" s="4">
        <f ca="1">G161*'Total Trip Tables Sup #1'!G7-(G5*'Active Mode Assumptions'!G7*'Active Mode Assumptions'!G14/(1+'Active Mode Assumptions'!G7))-(G6*'Active Mode Assumptions'!G16*'Active Mode Assumptions'!G23/(1+'Active Mode Assumptions'!G16))</f>
        <v>107.73980799354139</v>
      </c>
      <c r="H7" s="4">
        <f ca="1">H161*'Total Trip Tables Sup #1'!H7-(H5*'Active Mode Assumptions'!H7*'Active Mode Assumptions'!H14/(1+'Active Mode Assumptions'!H7))-(H6*'Active Mode Assumptions'!H16*'Active Mode Assumptions'!H23/(1+'Active Mode Assumptions'!H16))</f>
        <v>108.9360840741701</v>
      </c>
      <c r="I7" s="1">
        <f ca="1">I161*'Total Trip Tables Sup #1'!I7-(I5*'Active Mode Assumptions'!I7*'Active Mode Assumptions'!I14/(1+'Active Mode Assumptions'!I7))-(I6*'Active Mode Assumptions'!I16*'Active Mode Assumptions'!I23/(1+'Active Mode Assumptions'!I16))</f>
        <v>110.45082467911155</v>
      </c>
      <c r="J7" s="1">
        <f ca="1">J161*'Total Trip Tables Sup #1'!J7-(J5*'Active Mode Assumptions'!J7*'Active Mode Assumptions'!J14/(1+'Active Mode Assumptions'!J7))-(J6*'Active Mode Assumptions'!J16*'Active Mode Assumptions'!J23/(1+'Active Mode Assumptions'!J16))</f>
        <v>111.67504608968977</v>
      </c>
      <c r="K7" s="1">
        <f ca="1">K161*'Total Trip Tables Sup #1'!K7-(K5*'Active Mode Assumptions'!K7*'Active Mode Assumptions'!K14/(1+'Active Mode Assumptions'!K7))-(K6*'Active Mode Assumptions'!K16*'Active Mode Assumptions'!K23/(1+'Active Mode Assumptions'!K16))</f>
        <v>112.71632692273285</v>
      </c>
    </row>
    <row r="8" spans="1:11" x14ac:dyDescent="0.2">
      <c r="A8" t="str">
        <f ca="1">OFFSET(Northland_Reference,21,2)</f>
        <v>Light Vehicle Passenger</v>
      </c>
      <c r="B8" s="4">
        <f ca="1">B162*'Total Trip Tables Sup #1'!B8</f>
        <v>50.299563868000014</v>
      </c>
      <c r="C8" s="4">
        <f ca="1">C162*'Total Trip Tables Sup #1'!C8-(C5*'Active Mode Assumptions'!C7*'Active Mode Assumptions'!C15/(1+'Active Mode Assumptions'!C7))-(C6*'Active Mode Assumptions'!C16*'Active Mode Assumptions'!C24/(1+'Active Mode Assumptions'!C16))</f>
        <v>52.523312322395199</v>
      </c>
      <c r="D8" s="4">
        <f ca="1">D162*'Total Trip Tables Sup #1'!D8-(D5*'Active Mode Assumptions'!D7*'Active Mode Assumptions'!D15/(1+'Active Mode Assumptions'!D7))-(D6*'Active Mode Assumptions'!D16*'Active Mode Assumptions'!D24/(1+'Active Mode Assumptions'!D16))</f>
        <v>53.358457726966968</v>
      </c>
      <c r="E8" s="4">
        <f ca="1">E162*'Total Trip Tables Sup #1'!E8-(E5*'Active Mode Assumptions'!E7*'Active Mode Assumptions'!E15/(1+'Active Mode Assumptions'!E7))-(E6*'Active Mode Assumptions'!E16*'Active Mode Assumptions'!E24/(1+'Active Mode Assumptions'!E16))</f>
        <v>53.72803953203627</v>
      </c>
      <c r="F8" s="4">
        <f ca="1">F162*'Total Trip Tables Sup #1'!F8-(F5*'Active Mode Assumptions'!F7*'Active Mode Assumptions'!F15/(1+'Active Mode Assumptions'!F7))-(F6*'Active Mode Assumptions'!F16*'Active Mode Assumptions'!F24/(1+'Active Mode Assumptions'!F16))</f>
        <v>53.815084040765505</v>
      </c>
      <c r="G8" s="4">
        <f ca="1">G162*'Total Trip Tables Sup #1'!G8-(G5*'Active Mode Assumptions'!G7*'Active Mode Assumptions'!G15/(1+'Active Mode Assumptions'!G7))-(G6*'Active Mode Assumptions'!G16*'Active Mode Assumptions'!G24/(1+'Active Mode Assumptions'!G16))</f>
        <v>53.504600128919172</v>
      </c>
      <c r="H8" s="4">
        <f ca="1">H162*'Total Trip Tables Sup #1'!H8-(H5*'Active Mode Assumptions'!H7*'Active Mode Assumptions'!H15/(1+'Active Mode Assumptions'!H7))-(H6*'Active Mode Assumptions'!H16*'Active Mode Assumptions'!H24/(1+'Active Mode Assumptions'!H16))</f>
        <v>52.851400233484874</v>
      </c>
      <c r="I8" s="1">
        <f ca="1">I162*'Total Trip Tables Sup #1'!I8-(I5*'Active Mode Assumptions'!I7*'Active Mode Assumptions'!I15/(1+'Active Mode Assumptions'!I7))-(I6*'Active Mode Assumptions'!I16*'Active Mode Assumptions'!I24/(1+'Active Mode Assumptions'!I16))</f>
        <v>53.594176114776758</v>
      </c>
      <c r="J8" s="1">
        <f ca="1">J162*'Total Trip Tables Sup #1'!J8-(J5*'Active Mode Assumptions'!J7*'Active Mode Assumptions'!J15/(1+'Active Mode Assumptions'!J7))-(J6*'Active Mode Assumptions'!J16*'Active Mode Assumptions'!J24/(1+'Active Mode Assumptions'!J16))</f>
        <v>54.196007015780438</v>
      </c>
      <c r="K8" s="1">
        <f ca="1">K162*'Total Trip Tables Sup #1'!K8-(K5*'Active Mode Assumptions'!K7*'Active Mode Assumptions'!K15/(1+'Active Mode Assumptions'!K7))-(K6*'Active Mode Assumptions'!K16*'Active Mode Assumptions'!K24/(1+'Active Mode Assumptions'!K16))</f>
        <v>54.709036611729758</v>
      </c>
    </row>
    <row r="9" spans="1:11" x14ac:dyDescent="0.2">
      <c r="A9" t="str">
        <f ca="1">OFFSET(Northland_Reference,28,2)</f>
        <v>Taxi/Vehicle Share</v>
      </c>
      <c r="B9" s="4">
        <f ca="1">B163*'Total Trip Tables Sup #1'!B9</f>
        <v>0.18126348840000001</v>
      </c>
      <c r="C9" s="4">
        <f ca="1">C163*'Total Trip Tables Sup #1'!C9</f>
        <v>0.20708241329203658</v>
      </c>
      <c r="D9" s="4">
        <f ca="1">D163*'Total Trip Tables Sup #1'!D9</f>
        <v>0.22505605381098495</v>
      </c>
      <c r="E9" s="4">
        <f ca="1">E163*'Total Trip Tables Sup #1'!E9</f>
        <v>0.23810656632271496</v>
      </c>
      <c r="F9" s="4">
        <f ca="1">F163*'Total Trip Tables Sup #1'!F9</f>
        <v>0.24807674946553693</v>
      </c>
      <c r="G9" s="4">
        <f ca="1">G163*'Total Trip Tables Sup #1'!G9</f>
        <v>0.25391546136933835</v>
      </c>
      <c r="H9" s="4">
        <f ca="1">H163*'Total Trip Tables Sup #1'!H9</f>
        <v>0.2585543589683571</v>
      </c>
      <c r="I9" s="1">
        <f ca="1">I163*'Total Trip Tables Sup #1'!I9</f>
        <v>0.26174083828933953</v>
      </c>
      <c r="J9" s="1">
        <f ca="1">J163*'Total Trip Tables Sup #1'!J9</f>
        <v>0.26422034197265737</v>
      </c>
      <c r="K9" s="1">
        <f ca="1">K163*'Total Trip Tables Sup #1'!K9</f>
        <v>0.26625054803487574</v>
      </c>
    </row>
    <row r="10" spans="1:11" x14ac:dyDescent="0.2">
      <c r="A10" t="str">
        <f ca="1">OFFSET(Northland_Reference,35,2)</f>
        <v>Motorcyclist</v>
      </c>
      <c r="B10" s="4">
        <f ca="1">B164*'Total Trip Tables Sup #1'!B10</f>
        <v>1.4141085707000001</v>
      </c>
      <c r="C10" s="4">
        <f ca="1">C164*'Total Trip Tables Sup #1'!C10</f>
        <v>1.5129123824858592</v>
      </c>
      <c r="D10" s="4">
        <f ca="1">D164*'Total Trip Tables Sup #1'!D10</f>
        <v>1.5542462633358842</v>
      </c>
      <c r="E10" s="4">
        <f ca="1">E164*'Total Trip Tables Sup #1'!E10</f>
        <v>1.5819213471590947</v>
      </c>
      <c r="F10" s="4">
        <f ca="1">F164*'Total Trip Tables Sup #1'!F10</f>
        <v>1.5955609366193981</v>
      </c>
      <c r="G10" s="4">
        <f ca="1">G164*'Total Trip Tables Sup #1'!G10</f>
        <v>1.5802326973731082</v>
      </c>
      <c r="H10" s="4">
        <f ca="1">H164*'Total Trip Tables Sup #1'!H10</f>
        <v>1.55247045527243</v>
      </c>
      <c r="I10" s="1">
        <f ca="1">I164*'Total Trip Tables Sup #1'!I10</f>
        <v>1.5780826606269143</v>
      </c>
      <c r="J10" s="1">
        <f ca="1">J164*'Total Trip Tables Sup #1'!J10</f>
        <v>1.5996445767006076</v>
      </c>
      <c r="K10" s="1">
        <f ca="1">K164*'Total Trip Tables Sup #1'!K10</f>
        <v>1.618666269323086</v>
      </c>
    </row>
    <row r="11" spans="1:11" x14ac:dyDescent="0.2">
      <c r="A11" t="str">
        <f ca="1">OFFSET(Auckland_Reference,42,2)</f>
        <v>Local Train</v>
      </c>
      <c r="B11" s="4">
        <f ca="1">B165*'Total Trip Tables Sup #1'!B11</f>
        <v>0</v>
      </c>
      <c r="C11" s="4">
        <f ca="1">C165*'Total Trip Tables Sup #1'!C11</f>
        <v>0</v>
      </c>
      <c r="D11" s="4">
        <f ca="1">D165*'Total Trip Tables Sup #1'!D11</f>
        <v>0</v>
      </c>
      <c r="E11" s="4">
        <f ca="1">E165*'Total Trip Tables Sup #1'!E11</f>
        <v>0</v>
      </c>
      <c r="F11" s="4">
        <f ca="1">F165*'Total Trip Tables Sup #1'!F11</f>
        <v>0</v>
      </c>
      <c r="G11" s="4">
        <f ca="1">G165*'Total Trip Tables Sup #1'!G11</f>
        <v>0</v>
      </c>
      <c r="H11" s="4">
        <f ca="1">H165*'Total Trip Tables Sup #1'!H11</f>
        <v>0</v>
      </c>
      <c r="I11" s="1">
        <f ca="1">I165*'Total Trip Tables Sup #1'!I11</f>
        <v>0</v>
      </c>
      <c r="J11" s="1">
        <f ca="1">J165*'Total Trip Tables Sup #1'!J11</f>
        <v>0</v>
      </c>
      <c r="K11" s="1">
        <f ca="1">K165*'Total Trip Tables Sup #1'!K11</f>
        <v>0</v>
      </c>
    </row>
    <row r="12" spans="1:11" x14ac:dyDescent="0.2">
      <c r="A12" t="str">
        <f ca="1">OFFSET(Northland_Reference,42,2)</f>
        <v>Local Bus</v>
      </c>
      <c r="B12" s="4">
        <f ca="1">B166*'Total Trip Tables Sup #1'!B12</f>
        <v>3.6339219343</v>
      </c>
      <c r="C12" s="4">
        <f ca="1">C166*'Total Trip Tables Sup #1'!C12</f>
        <v>3.6538672087138879</v>
      </c>
      <c r="D12" s="4">
        <f ca="1">D166*'Total Trip Tables Sup #1'!D12</f>
        <v>3.642083367388592</v>
      </c>
      <c r="E12" s="4">
        <f ca="1">E166*'Total Trip Tables Sup #1'!E12</f>
        <v>3.6505199866533364</v>
      </c>
      <c r="F12" s="4">
        <f ca="1">F166*'Total Trip Tables Sup #1'!F12</f>
        <v>3.6028842110644725</v>
      </c>
      <c r="G12" s="4">
        <f ca="1">G166*'Total Trip Tables Sup #1'!G12</f>
        <v>3.565622053862346</v>
      </c>
      <c r="H12" s="4">
        <f ca="1">H166*'Total Trip Tables Sup #1'!H12</f>
        <v>3.5046789879360269</v>
      </c>
      <c r="I12" s="1">
        <f ca="1">I166*'Total Trip Tables Sup #1'!I12</f>
        <v>3.5553632897537324</v>
      </c>
      <c r="J12" s="1">
        <f ca="1">J166*'Total Trip Tables Sup #1'!J12</f>
        <v>3.5966740375657453</v>
      </c>
      <c r="K12" s="1">
        <f ca="1">K166*'Total Trip Tables Sup #1'!K12</f>
        <v>3.6320580318501716</v>
      </c>
    </row>
    <row r="13" spans="1:11" x14ac:dyDescent="0.2">
      <c r="A13" t="str">
        <f ca="1">OFFSET(Northland_Reference,49,2)</f>
        <v>Local Ferry</v>
      </c>
      <c r="B13" s="4">
        <f ca="1">B167*'Total Trip Tables Sup #1'!B13</f>
        <v>4.69171767E-2</v>
      </c>
      <c r="C13" s="4">
        <f ca="1">C167*'Total Trip Tables Sup #1'!C13</f>
        <v>5.2098539013833545E-2</v>
      </c>
      <c r="D13" s="4">
        <f ca="1">D167*'Total Trip Tables Sup #1'!D13</f>
        <v>5.5488081882362247E-2</v>
      </c>
      <c r="E13" s="4">
        <f ca="1">E167*'Total Trip Tables Sup #1'!E13</f>
        <v>5.7055812127634324E-2</v>
      </c>
      <c r="F13" s="4">
        <f ca="1">F167*'Total Trip Tables Sup #1'!F13</f>
        <v>5.7716117226480561E-2</v>
      </c>
      <c r="G13" s="4">
        <f ca="1">G167*'Total Trip Tables Sup #1'!G13</f>
        <v>5.9455404604353126E-2</v>
      </c>
      <c r="H13" s="4">
        <f ca="1">H167*'Total Trip Tables Sup #1'!H13</f>
        <v>6.0608684402115594E-2</v>
      </c>
      <c r="I13" s="1">
        <f ca="1">I167*'Total Trip Tables Sup #1'!I13</f>
        <v>6.0996590199787197E-2</v>
      </c>
      <c r="J13" s="1">
        <f ca="1">J167*'Total Trip Tables Sup #1'!J13</f>
        <v>6.1220532200123814E-2</v>
      </c>
      <c r="K13" s="1">
        <f ca="1">K167*'Total Trip Tables Sup #1'!K13</f>
        <v>6.1342824672288347E-2</v>
      </c>
    </row>
    <row r="14" spans="1:11" x14ac:dyDescent="0.2">
      <c r="A14" t="str">
        <f ca="1">OFFSET(Northland_Reference,56,2)</f>
        <v>Other Household Travel</v>
      </c>
      <c r="B14" s="4">
        <f ca="1">B168*'Total Trip Tables Sup #1'!B14</f>
        <v>0.1184310407</v>
      </c>
      <c r="C14" s="4">
        <f ca="1">C168*'Total Trip Tables Sup #1'!C14</f>
        <v>0.12794127449319642</v>
      </c>
      <c r="D14" s="4">
        <f ca="1">D168*'Total Trip Tables Sup #1'!D14</f>
        <v>0.1358442873660875</v>
      </c>
      <c r="E14" s="4">
        <f ca="1">E168*'Total Trip Tables Sup #1'!E14</f>
        <v>0.14180514709283717</v>
      </c>
      <c r="F14" s="4">
        <f ca="1">F168*'Total Trip Tables Sup #1'!F14</f>
        <v>0.14627732625070003</v>
      </c>
      <c r="G14" s="4">
        <f ca="1">G168*'Total Trip Tables Sup #1'!G14</f>
        <v>0.14944566830691408</v>
      </c>
      <c r="H14" s="4">
        <f ca="1">H168*'Total Trip Tables Sup #1'!H14</f>
        <v>0.15032029806475228</v>
      </c>
      <c r="I14" s="1">
        <f ca="1">I168*'Total Trip Tables Sup #1'!I14</f>
        <v>0.15287976784618584</v>
      </c>
      <c r="J14" s="1">
        <f ca="1">J168*'Total Trip Tables Sup #1'!J14</f>
        <v>0.15505360978594726</v>
      </c>
      <c r="K14" s="1">
        <f ca="1">K168*'Total Trip Tables Sup #1'!K14</f>
        <v>0.1569879884396321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56">
        <f ca="1">(B159*'Total Trip Tables Sup #1'!B16)*(1+'Active Mode Assumptions'!B7)-('PT Assumptions'!B14*'Total Trip Tables Sup #2'!B170+'PT Assumptions'!B26*'Total Trip Tables Sup #2'!B173)</f>
        <v>324.81096006000001</v>
      </c>
      <c r="C16" s="4">
        <f ca="1">(C159*'Total Trip Tables Sup #1'!C16)*(1+'Active Mode Assumptions'!C7)-('PT Assumptions'!C14*'Total Trip Tables Sup #2'!C170+'PT Assumptions'!C26*'Total Trip Tables Sup #2'!C173)</f>
        <v>354.62595394608798</v>
      </c>
      <c r="D16" s="4">
        <f ca="1">(D159*'Total Trip Tables Sup #1'!D16)*(1+'Active Mode Assumptions'!D7)-('PT Assumptions'!D14*'Total Trip Tables Sup #2'!D170+'PT Assumptions'!D26*'Total Trip Tables Sup #2'!D173)</f>
        <v>388.86562097932551</v>
      </c>
      <c r="E16" s="4">
        <f ca="1">(E159*'Total Trip Tables Sup #1'!E16)*(1+'Active Mode Assumptions'!E7)-('PT Assumptions'!E14*'Total Trip Tables Sup #2'!E170+'PT Assumptions'!E26*'Total Trip Tables Sup #2'!E173)</f>
        <v>416.53503394202818</v>
      </c>
      <c r="F16" s="4">
        <f ca="1">(F159*'Total Trip Tables Sup #1'!F16)*(1+'Active Mode Assumptions'!F7)-('PT Assumptions'!F14*'Total Trip Tables Sup #2'!F170+'PT Assumptions'!F26*'Total Trip Tables Sup #2'!F173)</f>
        <v>441.03044044475257</v>
      </c>
      <c r="G16" s="4">
        <f ca="1">(G159*'Total Trip Tables Sup #1'!G16)*(1+'Active Mode Assumptions'!G7)-('PT Assumptions'!G14*'Total Trip Tables Sup #2'!G170+'PT Assumptions'!G26*'Total Trip Tables Sup #2'!G173)</f>
        <v>463.57196981598833</v>
      </c>
      <c r="H16" s="4">
        <f ca="1">(H159*'Total Trip Tables Sup #1'!H16)*(1+'Active Mode Assumptions'!H7)-('PT Assumptions'!H14*'Total Trip Tables Sup #2'!H170+'PT Assumptions'!H26*'Total Trip Tables Sup #2'!H173)</f>
        <v>484.57564684073463</v>
      </c>
      <c r="I16" s="1">
        <f ca="1">(I159*'Total Trip Tables Sup #1'!I16)*(1+'Active Mode Assumptions'!I7)-('PT Assumptions'!I14*'Total Trip Tables Sup #2'!I170+'PT Assumptions'!I26*'Total Trip Tables Sup #2'!I173)</f>
        <v>499.87767006557868</v>
      </c>
      <c r="J16" s="1">
        <f ca="1">(J159*'Total Trip Tables Sup #1'!J16)*(1+'Active Mode Assumptions'!J7)-('PT Assumptions'!J14*'Total Trip Tables Sup #2'!J170+'PT Assumptions'!J26*'Total Trip Tables Sup #2'!J173)</f>
        <v>514.12932301855699</v>
      </c>
      <c r="K16" s="1">
        <f ca="1">(K159*'Total Trip Tables Sup #1'!K16)*(1+'Active Mode Assumptions'!K7)-('PT Assumptions'!K14*'Total Trip Tables Sup #2'!K170+'PT Assumptions'!K26*'Total Trip Tables Sup #2'!K173)</f>
        <v>527.75075507094573</v>
      </c>
    </row>
    <row r="17" spans="1:11" x14ac:dyDescent="0.2">
      <c r="A17" t="str">
        <f ca="1">OFFSET(Auckland_Reference,7,2)</f>
        <v>Cyclist</v>
      </c>
      <c r="B17" s="56">
        <f ca="1">(B160*'Total Trip Tables Sup #1'!B17)*(1+'Active Mode Assumptions'!B16)-('PT Assumptions'!B15*'Total Trip Tables Sup #2'!B170+'PT Assumptions'!B27*'Total Trip Tables Sup #2'!B173)</f>
        <v>7.0506319707999996</v>
      </c>
      <c r="C17" s="4">
        <f ca="1">(C160*'Total Trip Tables Sup #1'!C17)*(1+'Active Mode Assumptions'!C16)-('PT Assumptions'!C15*'Total Trip Tables Sup #2'!C170+'PT Assumptions'!C27*'Total Trip Tables Sup #2'!C173)</f>
        <v>7.7040253583442011</v>
      </c>
      <c r="D17" s="4">
        <f ca="1">(D160*'Total Trip Tables Sup #1'!D17)*(1+'Active Mode Assumptions'!D16)-('PT Assumptions'!D15*'Total Trip Tables Sup #2'!D170+'PT Assumptions'!D27*'Total Trip Tables Sup #2'!D173)</f>
        <v>9.6919534512520347</v>
      </c>
      <c r="E17" s="4">
        <f ca="1">(E160*'Total Trip Tables Sup #1'!E17)*(1+'Active Mode Assumptions'!E16)-('PT Assumptions'!E15*'Total Trip Tables Sup #2'!E170+'PT Assumptions'!E27*'Total Trip Tables Sup #2'!E173)</f>
        <v>11.568840245479468</v>
      </c>
      <c r="F17" s="4">
        <f ca="1">(F160*'Total Trip Tables Sup #1'!F17)*(1+'Active Mode Assumptions'!F16)-('PT Assumptions'!F15*'Total Trip Tables Sup #2'!F170+'PT Assumptions'!F27*'Total Trip Tables Sup #2'!F173)</f>
        <v>13.50337478820596</v>
      </c>
      <c r="G17" s="4">
        <f ca="1">(G160*'Total Trip Tables Sup #1'!G17)*(1+'Active Mode Assumptions'!G16)-('PT Assumptions'!G15*'Total Trip Tables Sup #2'!G170+'PT Assumptions'!G27*'Total Trip Tables Sup #2'!G173)</f>
        <v>15.474351023143099</v>
      </c>
      <c r="H17" s="4">
        <f ca="1">(H160*'Total Trip Tables Sup #1'!H17)*(1+'Active Mode Assumptions'!H16)-('PT Assumptions'!H15*'Total Trip Tables Sup #2'!H170+'PT Assumptions'!H27*'Total Trip Tables Sup #2'!H173)</f>
        <v>17.485237086348114</v>
      </c>
      <c r="I17" s="1">
        <f ca="1">(I160*'Total Trip Tables Sup #1'!I17)*(1+'Active Mode Assumptions'!I16)-('PT Assumptions'!I15*'Total Trip Tables Sup #2'!I170+'PT Assumptions'!I27*'Total Trip Tables Sup #2'!I173)</f>
        <v>18.069060413020729</v>
      </c>
      <c r="J17" s="1">
        <f ca="1">(J160*'Total Trip Tables Sup #1'!J17)*(1+'Active Mode Assumptions'!J16)-('PT Assumptions'!J15*'Total Trip Tables Sup #2'!J170+'PT Assumptions'!J27*'Total Trip Tables Sup #2'!J173)</f>
        <v>18.617433464589244</v>
      </c>
      <c r="K17" s="1">
        <f ca="1">(K160*'Total Trip Tables Sup #1'!K17)*(1+'Active Mode Assumptions'!K16)-('PT Assumptions'!K15*'Total Trip Tables Sup #2'!K170+'PT Assumptions'!K27*'Total Trip Tables Sup #2'!K173)</f>
        <v>19.145767591228935</v>
      </c>
    </row>
    <row r="18" spans="1:11" x14ac:dyDescent="0.2">
      <c r="A18" t="str">
        <f ca="1">OFFSET(Auckland_Reference,14,2)</f>
        <v>Light Vehicle Driver</v>
      </c>
      <c r="B18" s="56">
        <f ca="1">(B161*'Total Trip Tables Sup #1'!B18-'PT Assumptions'!B16*'Total Trip Tables Sup #2'!B170-'PT Assumptions'!B28*'Total Trip Tables Sup #2'!B173)-(B159*'Total Trip Tables Sup #1'!B16)*'Active Mode Assumptions'!B7*'Active Mode Assumptions'!B14-(B160*'Total Trip Tables Sup #1'!B17)*'Active Mode Assumptions'!B16*'Active Mode Assumptions'!B23</f>
        <v>981.24355252999999</v>
      </c>
      <c r="C18" s="4">
        <f ca="1">(C161*'Total Trip Tables Sup #1'!C18-'PT Assumptions'!C16*'Total Trip Tables Sup #2'!C170-'PT Assumptions'!C28*'Total Trip Tables Sup #2'!C173)-(C159*'Total Trip Tables Sup #1'!C16)*'Active Mode Assumptions'!C7*'Active Mode Assumptions'!C14-(C160*'Total Trip Tables Sup #1'!C17)*'Active Mode Assumptions'!C16*'Active Mode Assumptions'!C23</f>
        <v>1094.9224163777762</v>
      </c>
      <c r="D18" s="4">
        <f ca="1">(D161*'Total Trip Tables Sup #1'!D18-'PT Assumptions'!D16*'Total Trip Tables Sup #2'!D170-'PT Assumptions'!D28*'Total Trip Tables Sup #2'!D173)-(D159*'Total Trip Tables Sup #1'!D16)*'Active Mode Assumptions'!D7*'Active Mode Assumptions'!D14-(D160*'Total Trip Tables Sup #1'!D17)*'Active Mode Assumptions'!D16*'Active Mode Assumptions'!D23</f>
        <v>1164.4661264923914</v>
      </c>
      <c r="E18" s="4">
        <f ca="1">(E161*'Total Trip Tables Sup #1'!E18-'PT Assumptions'!E16*'Total Trip Tables Sup #2'!E170-'PT Assumptions'!E28*'Total Trip Tables Sup #2'!E173)-(E159*'Total Trip Tables Sup #1'!E16)*'Active Mode Assumptions'!E7*'Active Mode Assumptions'!E14-(E160*'Total Trip Tables Sup #1'!E17)*'Active Mode Assumptions'!E16*'Active Mode Assumptions'!E23</f>
        <v>1224.1945141880408</v>
      </c>
      <c r="F18" s="4">
        <f ca="1">(F161*'Total Trip Tables Sup #1'!F18-'PT Assumptions'!F16*'Total Trip Tables Sup #2'!F170-'PT Assumptions'!F28*'Total Trip Tables Sup #2'!F173)-(F159*'Total Trip Tables Sup #1'!F16)*'Active Mode Assumptions'!F7*'Active Mode Assumptions'!F14-(F160*'Total Trip Tables Sup #1'!F17)*'Active Mode Assumptions'!F16*'Active Mode Assumptions'!F23</f>
        <v>1280.4758480933644</v>
      </c>
      <c r="G18" s="4">
        <f ca="1">(G161*'Total Trip Tables Sup #1'!G18-'PT Assumptions'!G16*'Total Trip Tables Sup #2'!G170-'PT Assumptions'!G28*'Total Trip Tables Sup #2'!G173)-(G159*'Total Trip Tables Sup #1'!G16)*'Active Mode Assumptions'!G7*'Active Mode Assumptions'!G14-(G160*'Total Trip Tables Sup #1'!G17)*'Active Mode Assumptions'!G16*'Active Mode Assumptions'!G23</f>
        <v>1322.4305801143014</v>
      </c>
      <c r="H18" s="4">
        <f ca="1">(H161*'Total Trip Tables Sup #1'!H18-'PT Assumptions'!H16*'Total Trip Tables Sup #2'!H170-'PT Assumptions'!H28*'Total Trip Tables Sup #2'!H173)-(H159*'Total Trip Tables Sup #1'!H16)*'Active Mode Assumptions'!H7*'Active Mode Assumptions'!H14-(H160*'Total Trip Tables Sup #1'!H17)*'Active Mode Assumptions'!H16*'Active Mode Assumptions'!H23</f>
        <v>1358.4238806936858</v>
      </c>
      <c r="I18" s="1">
        <f ca="1">(I161*'Total Trip Tables Sup #1'!I18-'PT Assumptions'!I16*'Total Trip Tables Sup #2'!I170-'PT Assumptions'!I28*'Total Trip Tables Sup #2'!I173)-(I159*'Total Trip Tables Sup #1'!I16)*'Active Mode Assumptions'!I7*'Active Mode Assumptions'!I14-(I160*'Total Trip Tables Sup #1'!I17)*'Active Mode Assumptions'!I16*'Active Mode Assumptions'!I23</f>
        <v>1400.4075394374722</v>
      </c>
      <c r="J18" s="1">
        <f ca="1">(J161*'Total Trip Tables Sup #1'!J18-'PT Assumptions'!J16*'Total Trip Tables Sup #2'!J170-'PT Assumptions'!J28*'Total Trip Tables Sup #2'!J173)-(J159*'Total Trip Tables Sup #1'!J16)*'Active Mode Assumptions'!J7*'Active Mode Assumptions'!J14-(J160*'Total Trip Tables Sup #1'!J17)*'Active Mode Assumptions'!J16*'Active Mode Assumptions'!J23</f>
        <v>1439.2047343920237</v>
      </c>
      <c r="K18" s="1">
        <f ca="1">(K161*'Total Trip Tables Sup #1'!K18-'PT Assumptions'!K16*'Total Trip Tables Sup #2'!K170-'PT Assumptions'!K28*'Total Trip Tables Sup #2'!K173)-(K159*'Total Trip Tables Sup #1'!K16)*'Active Mode Assumptions'!K7*'Active Mode Assumptions'!K14-(K160*'Total Trip Tables Sup #1'!K17)*'Active Mode Assumptions'!K16*'Active Mode Assumptions'!K23</f>
        <v>1475.8606810428041</v>
      </c>
    </row>
    <row r="19" spans="1:11" x14ac:dyDescent="0.2">
      <c r="A19" t="str">
        <f ca="1">OFFSET(Auckland_Reference,21,2)</f>
        <v>Light Vehicle Passenger</v>
      </c>
      <c r="B19" s="56">
        <f ca="1">(B162*'Total Trip Tables Sup #1'!B19-'PT Assumptions'!B17*'Total Trip Tables Sup #2'!B170-'PT Assumptions'!B29*'Total Trip Tables Sup #2'!B173)-(B159*'Total Trip Tables Sup #1'!B16)*'Active Mode Assumptions'!B7*'Active Mode Assumptions'!B15-(B160*'Total Trip Tables Sup #1'!B17)*'Active Mode Assumptions'!B16*'Active Mode Assumptions'!B24</f>
        <v>488.06073575000011</v>
      </c>
      <c r="C19" s="4">
        <f ca="1">(C162*'Total Trip Tables Sup #1'!C19-'PT Assumptions'!C17*'Total Trip Tables Sup #2'!C170-'PT Assumptions'!C29*'Total Trip Tables Sup #2'!C173)-(C159*'Total Trip Tables Sup #1'!C16)*'Active Mode Assumptions'!C7*'Active Mode Assumptions'!C15-(C160*'Total Trip Tables Sup #1'!C17)*'Active Mode Assumptions'!C16*'Active Mode Assumptions'!C24</f>
        <v>516.94507992248896</v>
      </c>
      <c r="D19" s="4">
        <f ca="1">(D162*'Total Trip Tables Sup #1'!D19-'PT Assumptions'!D17*'Total Trip Tables Sup #2'!D170-'PT Assumptions'!D29*'Total Trip Tables Sup #2'!D173)-(D159*'Total Trip Tables Sup #1'!D16)*'Active Mode Assumptions'!D7*'Active Mode Assumptions'!D15-(D160*'Total Trip Tables Sup #1'!D17)*'Active Mode Assumptions'!D16*'Active Mode Assumptions'!D24</f>
        <v>529.33028922819574</v>
      </c>
      <c r="E19" s="4">
        <f ca="1">(E162*'Total Trip Tables Sup #1'!E19-'PT Assumptions'!E17*'Total Trip Tables Sup #2'!E170-'PT Assumptions'!E29*'Total Trip Tables Sup #2'!E173)-(E159*'Total Trip Tables Sup #1'!E16)*'Active Mode Assumptions'!E7*'Active Mode Assumptions'!E15-(E160*'Total Trip Tables Sup #1'!E17)*'Active Mode Assumptions'!E16*'Active Mode Assumptions'!E24</f>
        <v>535.22486904478706</v>
      </c>
      <c r="F19" s="4">
        <f ca="1">(F162*'Total Trip Tables Sup #1'!F19-'PT Assumptions'!F17*'Total Trip Tables Sup #2'!F170-'PT Assumptions'!F29*'Total Trip Tables Sup #2'!F173)-(F159*'Total Trip Tables Sup #1'!F16)*'Active Mode Assumptions'!F7*'Active Mode Assumptions'!F15-(F160*'Total Trip Tables Sup #1'!F17)*'Active Mode Assumptions'!F16*'Active Mode Assumptions'!F24</f>
        <v>540.87063679623498</v>
      </c>
      <c r="G19" s="4">
        <f ca="1">(G162*'Total Trip Tables Sup #1'!G19-'PT Assumptions'!G17*'Total Trip Tables Sup #2'!G170-'PT Assumptions'!G29*'Total Trip Tables Sup #2'!G173)-(G159*'Total Trip Tables Sup #1'!G16)*'Active Mode Assumptions'!G7*'Active Mode Assumptions'!G15-(G160*'Total Trip Tables Sup #1'!G17)*'Active Mode Assumptions'!G16*'Active Mode Assumptions'!G24</f>
        <v>542.38138156137938</v>
      </c>
      <c r="H19" s="4">
        <f ca="1">(H162*'Total Trip Tables Sup #1'!H19-'PT Assumptions'!H17*'Total Trip Tables Sup #2'!H170-'PT Assumptions'!H29*'Total Trip Tables Sup #2'!H173)-(H159*'Total Trip Tables Sup #1'!H16)*'Active Mode Assumptions'!H7*'Active Mode Assumptions'!H15-(H160*'Total Trip Tables Sup #1'!H17)*'Active Mode Assumptions'!H16*'Active Mode Assumptions'!H24</f>
        <v>540.56253580993416</v>
      </c>
      <c r="I19" s="1">
        <f ca="1">(I162*'Total Trip Tables Sup #1'!I19-'PT Assumptions'!I17*'Total Trip Tables Sup #2'!I170-'PT Assumptions'!I29*'Total Trip Tables Sup #2'!I173)-(I159*'Total Trip Tables Sup #1'!I16)*'Active Mode Assumptions'!I7*'Active Mode Assumptions'!I15-(I160*'Total Trip Tables Sup #1'!I17)*'Active Mode Assumptions'!I16*'Active Mode Assumptions'!I24</f>
        <v>555.60065178655827</v>
      </c>
      <c r="J19" s="1">
        <f ca="1">(J162*'Total Trip Tables Sup #1'!J19-'PT Assumptions'!J17*'Total Trip Tables Sup #2'!J170-'PT Assumptions'!J29*'Total Trip Tables Sup #2'!J173)-(J159*'Total Trip Tables Sup #1'!J16)*'Active Mode Assumptions'!J7*'Active Mode Assumptions'!J15-(J160*'Total Trip Tables Sup #1'!J17)*'Active Mode Assumptions'!J16*'Active Mode Assumptions'!J24</f>
        <v>569.14636492027546</v>
      </c>
      <c r="K19" s="1">
        <f ca="1">(K162*'Total Trip Tables Sup #1'!K19-'PT Assumptions'!K17*'Total Trip Tables Sup #2'!K170-'PT Assumptions'!K29*'Total Trip Tables Sup #2'!K173)-(K159*'Total Trip Tables Sup #1'!K16)*'Active Mode Assumptions'!K7*'Active Mode Assumptions'!K15-(K160*'Total Trip Tables Sup #1'!K17)*'Active Mode Assumptions'!K16*'Active Mode Assumptions'!K24</f>
        <v>581.52430708489794</v>
      </c>
    </row>
    <row r="20" spans="1:11" x14ac:dyDescent="0.2">
      <c r="A20" t="str">
        <f ca="1">OFFSET(Auckland_Reference,28,2)</f>
        <v>Taxi/Vehicle Share</v>
      </c>
      <c r="B20" s="56">
        <f ca="1">B163*'Total Trip Tables Sup #1'!B20</f>
        <v>6.0232688673999997</v>
      </c>
      <c r="C20" s="4">
        <f ca="1">C163*'Total Trip Tables Sup #1'!C20</f>
        <v>7.0511602771454802</v>
      </c>
      <c r="D20" s="4">
        <f ca="1">D163*'Total Trip Tables Sup #1'!D20</f>
        <v>7.8259992266779834</v>
      </c>
      <c r="E20" s="4">
        <f ca="1">E163*'Total Trip Tables Sup #1'!E20</f>
        <v>8.417903838806124</v>
      </c>
      <c r="F20" s="4">
        <f ca="1">F163*'Total Trip Tables Sup #1'!F20</f>
        <v>8.9286349577693951</v>
      </c>
      <c r="G20" s="4">
        <f ca="1">G163*'Total Trip Tables Sup #1'!G20</f>
        <v>9.3041133520860324</v>
      </c>
      <c r="H20" s="4">
        <f ca="1">H163*'Total Trip Tables Sup #1'!H20</f>
        <v>9.654662627598757</v>
      </c>
      <c r="I20" s="1">
        <f ca="1">I163*'Total Trip Tables Sup #1'!I20</f>
        <v>9.9582638385017823</v>
      </c>
      <c r="J20" s="1">
        <f ca="1">J163*'Total Trip Tables Sup #1'!J20</f>
        <v>10.240649553401653</v>
      </c>
      <c r="K20" s="1">
        <f ca="1">K163*'Total Trip Tables Sup #1'!K20</f>
        <v>10.510367728231426</v>
      </c>
    </row>
    <row r="21" spans="1:11" x14ac:dyDescent="0.2">
      <c r="A21" t="str">
        <f ca="1">OFFSET(Auckland_Reference,35,2)</f>
        <v>Motorcyclist</v>
      </c>
      <c r="B21" s="56">
        <f ca="1">B164*'Total Trip Tables Sup #1'!B21</f>
        <v>4.1170216905999997</v>
      </c>
      <c r="C21" s="4">
        <f ca="1">C164*'Total Trip Tables Sup #1'!C21</f>
        <v>4.5134603444322625</v>
      </c>
      <c r="D21" s="4">
        <f ca="1">D164*'Total Trip Tables Sup #1'!D21</f>
        <v>4.7352991183576636</v>
      </c>
      <c r="E21" s="4">
        <f ca="1">E164*'Total Trip Tables Sup #1'!E21</f>
        <v>4.8999986387630994</v>
      </c>
      <c r="F21" s="4">
        <f ca="1">F164*'Total Trip Tables Sup #1'!F21</f>
        <v>5.0314236228015625</v>
      </c>
      <c r="G21" s="4">
        <f ca="1">G164*'Total Trip Tables Sup #1'!G21</f>
        <v>5.0732396086647666</v>
      </c>
      <c r="H21" s="4">
        <f ca="1">H164*'Total Trip Tables Sup #1'!H21</f>
        <v>5.0791035496185382</v>
      </c>
      <c r="I21" s="1">
        <f ca="1">I164*'Total Trip Tables Sup #1'!I21</f>
        <v>5.2604194162362647</v>
      </c>
      <c r="J21" s="1">
        <f ca="1">J164*'Total Trip Tables Sup #1'!J21</f>
        <v>5.4320434683579171</v>
      </c>
      <c r="K21" s="1">
        <f ca="1">K164*'Total Trip Tables Sup #1'!K21</f>
        <v>5.5983906785010937</v>
      </c>
    </row>
    <row r="22" spans="1:11" x14ac:dyDescent="0.2">
      <c r="A22" t="str">
        <f ca="1">OFFSET(Auckland_Reference,42,2)</f>
        <v>Local Train</v>
      </c>
      <c r="B22" s="56">
        <f ca="1" xml:space="preserve"> 'Total Trip Tables Sup #1'!B22*(1+'PT Assumptions'!B7)</f>
        <v>10.038805999999999</v>
      </c>
      <c r="C22" s="4">
        <f ca="1" xml:space="preserve"> 'Total Trip Tables Sup #1'!C22*(1+'PT Assumptions'!C7)</f>
        <v>22.03284733780578</v>
      </c>
      <c r="D22" s="4">
        <f ca="1" xml:space="preserve"> 'Total Trip Tables Sup #1'!D22*(1+'PT Assumptions'!D7)</f>
        <v>37.104098421184098</v>
      </c>
      <c r="E22" s="4">
        <f ca="1" xml:space="preserve"> 'Total Trip Tables Sup #1'!E22*(1+'PT Assumptions'!E7)</f>
        <v>50.732680029228447</v>
      </c>
      <c r="F22" s="4">
        <f ca="1" xml:space="preserve"> 'Total Trip Tables Sup #1'!F22*(1+'PT Assumptions'!F7)</f>
        <v>55.79573454376483</v>
      </c>
      <c r="G22" s="4">
        <f ca="1" xml:space="preserve"> 'Total Trip Tables Sup #1'!G22*(1+'PT Assumptions'!G7)</f>
        <v>60.481612939156975</v>
      </c>
      <c r="H22" s="4">
        <f ca="1" xml:space="preserve"> 'Total Trip Tables Sup #1'!H22*(1+'PT Assumptions'!H7)</f>
        <v>64.727157349204333</v>
      </c>
      <c r="I22" s="1">
        <f ca="1" xml:space="preserve"> 'Total Trip Tables Sup #1'!I22*(1+'PT Assumptions'!I7)</f>
        <v>70.704731254743265</v>
      </c>
      <c r="J22" s="1">
        <f ca="1" xml:space="preserve"> 'Total Trip Tables Sup #1'!J22*(1+'PT Assumptions'!J7)</f>
        <v>76.961398901852064</v>
      </c>
      <c r="K22" s="1">
        <f ca="1" xml:space="preserve"> 'Total Trip Tables Sup #1'!K22*(1+'PT Assumptions'!K7)</f>
        <v>83.7899387338189</v>
      </c>
    </row>
    <row r="23" spans="1:11" x14ac:dyDescent="0.2">
      <c r="A23" t="str">
        <f ca="1">OFFSET(Auckland_Reference,49,2)</f>
        <v>Local Bus</v>
      </c>
      <c r="B23" s="56">
        <f ca="1" xml:space="preserve"> 'Total Trip Tables Sup #1'!B23*(1+'PT Assumptions'!B19)</f>
        <v>53.530078000000003</v>
      </c>
      <c r="C23" s="4">
        <f ca="1" xml:space="preserve"> 'Total Trip Tables Sup #1'!C23*(1+'PT Assumptions'!C19)</f>
        <v>61.624517005150125</v>
      </c>
      <c r="D23" s="4">
        <f ca="1" xml:space="preserve"> 'Total Trip Tables Sup #1'!D23*(1+'PT Assumptions'!D19)</f>
        <v>66.847426174675689</v>
      </c>
      <c r="E23" s="4">
        <f ca="1" xml:space="preserve"> 'Total Trip Tables Sup #1'!E23*(1+'PT Assumptions'!E19)</f>
        <v>69.563767239539956</v>
      </c>
      <c r="F23" s="4">
        <f ca="1" xml:space="preserve"> 'Total Trip Tables Sup #1'!F23*(1+'PT Assumptions'!F19)</f>
        <v>71.671871356209266</v>
      </c>
      <c r="G23" s="4">
        <f ca="1" xml:space="preserve"> 'Total Trip Tables Sup #1'!G23*(1+'PT Assumptions'!G19)</f>
        <v>73.164047926744217</v>
      </c>
      <c r="H23" s="4">
        <f ca="1" xml:space="preserve"> 'Total Trip Tables Sup #1'!H23*(1+'PT Assumptions'!H19)</f>
        <v>74.116068053665586</v>
      </c>
      <c r="I23" s="1">
        <f ca="1" xml:space="preserve"> 'Total Trip Tables Sup #1'!I23*(1+'PT Assumptions'!I19)</f>
        <v>79.017048199945251</v>
      </c>
      <c r="J23" s="1">
        <f ca="1" xml:space="preserve"> 'Total Trip Tables Sup #1'!J23*(1+'PT Assumptions'!J19)</f>
        <v>84.080904013683906</v>
      </c>
      <c r="K23" s="1">
        <f ca="1" xml:space="preserve"> 'Total Trip Tables Sup #1'!K23*(1+'PT Assumptions'!K19)</f>
        <v>89.488738393923171</v>
      </c>
    </row>
    <row r="24" spans="1:11" x14ac:dyDescent="0.2">
      <c r="A24" t="str">
        <f ca="1">OFFSET(Auckland_Reference,56,2)</f>
        <v>Local Ferry</v>
      </c>
      <c r="B24" s="56">
        <f ca="1">B167*'Total Trip Tables Sup #1'!B24*(1+'PT Assumptions'!B30)</f>
        <v>4.957052</v>
      </c>
      <c r="C24" s="4">
        <f ca="1">C167*'Total Trip Tables Sup #1'!C24*(1+'PT Assumptions'!C30)</f>
        <v>5.6404350470327929</v>
      </c>
      <c r="D24" s="4">
        <f ca="1">D167*'Total Trip Tables Sup #1'!D24*(1+'PT Assumptions'!D30)</f>
        <v>6.1350555884060851</v>
      </c>
      <c r="E24" s="4">
        <f ca="1">E167*'Total Trip Tables Sup #1'!E24*(1+'PT Assumptions'!E30)</f>
        <v>6.4136043961802409</v>
      </c>
      <c r="F24" s="4">
        <f ca="1">F167*'Total Trip Tables Sup #1'!F24*(1+'PT Assumptions'!F30)</f>
        <v>6.604893210879224</v>
      </c>
      <c r="G24" s="4">
        <f ca="1">G167*'Total Trip Tables Sup #1'!G24*(1+'PT Assumptions'!G30)</f>
        <v>6.9270268933354311</v>
      </c>
      <c r="H24" s="4">
        <f ca="1">H167*'Total Trip Tables Sup #1'!H24*(1+'PT Assumptions'!H30)</f>
        <v>7.1959772938394666</v>
      </c>
      <c r="I24" s="1">
        <f ca="1">I167*'Total Trip Tables Sup #1'!I24*(1+'PT Assumptions'!I30)</f>
        <v>7.3788279842046185</v>
      </c>
      <c r="J24" s="1">
        <f ca="1">J167*'Total Trip Tables Sup #1'!J24*(1+'PT Assumptions'!J30)</f>
        <v>7.5444579695540117</v>
      </c>
      <c r="K24" s="1">
        <f ca="1">K167*'Total Trip Tables Sup #1'!K24*(1+'PT Assumptions'!K30)</f>
        <v>7.6994705040497822</v>
      </c>
    </row>
    <row r="25" spans="1:11" x14ac:dyDescent="0.2">
      <c r="A25" t="str">
        <f ca="1">OFFSET(Auckland_Reference,63,2)</f>
        <v>Other Household Travel</v>
      </c>
      <c r="B25" s="56">
        <f ca="1">B168*'Total Trip Tables Sup #1'!B25</f>
        <v>2.2145179384000002</v>
      </c>
      <c r="C25" s="4">
        <f ca="1">C168*'Total Trip Tables Sup #1'!C25</f>
        <v>2.4514316148755575</v>
      </c>
      <c r="D25" s="4">
        <f ca="1">D168*'Total Trip Tables Sup #1'!D25</f>
        <v>2.65816675369999</v>
      </c>
      <c r="E25" s="4">
        <f ca="1">E168*'Total Trip Tables Sup #1'!E25</f>
        <v>2.8210859874210987</v>
      </c>
      <c r="F25" s="4">
        <f ca="1">F168*'Total Trip Tables Sup #1'!F25</f>
        <v>2.9625641225485078</v>
      </c>
      <c r="G25" s="4">
        <f ca="1">G168*'Total Trip Tables Sup #1'!G25</f>
        <v>3.0814911060463173</v>
      </c>
      <c r="H25" s="4">
        <f ca="1">H168*'Total Trip Tables Sup #1'!H25</f>
        <v>3.1585998300532832</v>
      </c>
      <c r="I25" s="1">
        <f ca="1">I168*'Total Trip Tables Sup #1'!I25</f>
        <v>3.27305946000399</v>
      </c>
      <c r="J25" s="1">
        <f ca="1">J168*'Total Trip Tables Sup #1'!J25</f>
        <v>3.3816984344760823</v>
      </c>
      <c r="K25" s="1">
        <f ca="1">K168*'Total Trip Tables Sup #1'!K25</f>
        <v>3.4872699407075012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B159*'Total Trip Tables Sup #1'!B27</f>
        <v>68.689195601999998</v>
      </c>
      <c r="C27" s="4">
        <f ca="1">C159*'Total Trip Tables Sup #1'!C27*(1+'Active Mode Assumptions'!C7)</f>
        <v>74.089677858917369</v>
      </c>
      <c r="D27" s="4">
        <f ca="1">D159*'Total Trip Tables Sup #1'!D27*(1+'Active Mode Assumptions'!D7)</f>
        <v>79.817461805545719</v>
      </c>
      <c r="E27" s="4">
        <f ca="1">E159*'Total Trip Tables Sup #1'!E27*(1+'Active Mode Assumptions'!E7)</f>
        <v>84.294547584278888</v>
      </c>
      <c r="F27" s="4">
        <f ca="1">F159*'Total Trip Tables Sup #1'!F27*(1+'Active Mode Assumptions'!F7)</f>
        <v>87.959190314553823</v>
      </c>
      <c r="G27" s="4">
        <f ca="1">G159*'Total Trip Tables Sup #1'!G27*(1+'Active Mode Assumptions'!G7)</f>
        <v>91.093776192158259</v>
      </c>
      <c r="H27" s="4">
        <f ca="1">H159*'Total Trip Tables Sup #1'!H27*(1+'Active Mode Assumptions'!H7)</f>
        <v>93.798336175061081</v>
      </c>
      <c r="I27" s="1">
        <f ca="1">I159*'Total Trip Tables Sup #1'!I27*(1+'Active Mode Assumptions'!I7)</f>
        <v>95.277080679372702</v>
      </c>
      <c r="J27" s="1">
        <f ca="1">J159*'Total Trip Tables Sup #1'!J27*(1+'Active Mode Assumptions'!J7)</f>
        <v>96.465772811663257</v>
      </c>
      <c r="K27" s="1">
        <f ca="1">K159*'Total Trip Tables Sup #1'!K27*(1+'Active Mode Assumptions'!K7)</f>
        <v>97.453680037901535</v>
      </c>
    </row>
    <row r="28" spans="1:11" x14ac:dyDescent="0.2">
      <c r="A28" t="str">
        <f ca="1">OFFSET(Waikato_Reference,7,2)</f>
        <v>Cyclist</v>
      </c>
      <c r="B28" s="4">
        <f ca="1">B160*'Total Trip Tables Sup #1'!B28</f>
        <v>5.8956498267999997</v>
      </c>
      <c r="C28" s="4">
        <f ca="1">C160*'Total Trip Tables Sup #1'!C28*(1+'Active Mode Assumptions'!C16)</f>
        <v>6.3590315127992909</v>
      </c>
      <c r="D28" s="4">
        <f ca="1">D160*'Total Trip Tables Sup #1'!D28*(1+'Active Mode Assumptions'!D16)</f>
        <v>7.8550593492685916</v>
      </c>
      <c r="E28" s="4">
        <f ca="1">E160*'Total Trip Tables Sup #1'!E28*(1+'Active Mode Assumptions'!E16)</f>
        <v>9.2405385506789433</v>
      </c>
      <c r="F28" s="4">
        <f ca="1">F160*'Total Trip Tables Sup #1'!F28*(1+'Active Mode Assumptions'!F16)</f>
        <v>10.624265965820975</v>
      </c>
      <c r="G28" s="4">
        <f ca="1">G160*'Total Trip Tables Sup #1'!G28*(1+'Active Mode Assumptions'!G16)</f>
        <v>11.990161590950834</v>
      </c>
      <c r="H28" s="4">
        <f ca="1">H160*'Total Trip Tables Sup #1'!H28*(1+'Active Mode Assumptions'!H16)</f>
        <v>13.339461457833011</v>
      </c>
      <c r="I28" s="1">
        <f ca="1">I160*'Total Trip Tables Sup #1'!I28*(1+'Active Mode Assumptions'!I16)</f>
        <v>13.568371406620793</v>
      </c>
      <c r="J28" s="1">
        <f ca="1">J160*'Total Trip Tables Sup #1'!J28*(1+'Active Mode Assumptions'!J16)</f>
        <v>13.756537466219374</v>
      </c>
      <c r="K28" s="1">
        <f ca="1">K160*'Total Trip Tables Sup #1'!K28*(1+'Active Mode Assumptions'!K16)</f>
        <v>13.916550592007821</v>
      </c>
    </row>
    <row r="29" spans="1:11" x14ac:dyDescent="0.2">
      <c r="A29" t="str">
        <f ca="1">OFFSET(Waikato_Reference,14,2)</f>
        <v>Light Vehicle Driver</v>
      </c>
      <c r="B29" s="4">
        <f ca="1">B161*'Total Trip Tables Sup #1'!B29</f>
        <v>305.41478153000003</v>
      </c>
      <c r="C29" s="4">
        <f ca="1">C161*'Total Trip Tables Sup #1'!C29-(C27*'Active Mode Assumptions'!C7*'Active Mode Assumptions'!C14/(1+'Active Mode Assumptions'!C7))-(C28*'Active Mode Assumptions'!C16*'Active Mode Assumptions'!C23/(1+'Active Mode Assumptions'!C16))</f>
        <v>338.02998431032995</v>
      </c>
      <c r="D29" s="4">
        <f ca="1">D161*'Total Trip Tables Sup #1'!D29-(D27*'Active Mode Assumptions'!D7*'Active Mode Assumptions'!D14/(1+'Active Mode Assumptions'!D7))-(D28*'Active Mode Assumptions'!D16*'Active Mode Assumptions'!D23/(1+'Active Mode Assumptions'!D16))</f>
        <v>354.87627585665268</v>
      </c>
      <c r="E29" s="4">
        <f ca="1">E161*'Total Trip Tables Sup #1'!E29-(E27*'Active Mode Assumptions'!E7*'Active Mode Assumptions'!E14/(1+'Active Mode Assumptions'!E7))-(E28*'Active Mode Assumptions'!E16*'Active Mode Assumptions'!E23/(1+'Active Mode Assumptions'!E16))</f>
        <v>369.37906274582394</v>
      </c>
      <c r="F29" s="4">
        <f ca="1">F161*'Total Trip Tables Sup #1'!F29-(F27*'Active Mode Assumptions'!F7*'Active Mode Assumptions'!F14/(1+'Active Mode Assumptions'!F7))-(F28*'Active Mode Assumptions'!F16*'Active Mode Assumptions'!F23/(1+'Active Mode Assumptions'!F16))</f>
        <v>381.68420674676355</v>
      </c>
      <c r="G29" s="4">
        <f ca="1">G161*'Total Trip Tables Sup #1'!G29-(G27*'Active Mode Assumptions'!G7*'Active Mode Assumptions'!G14/(1+'Active Mode Assumptions'!G7))-(G28*'Active Mode Assumptions'!G16*'Active Mode Assumptions'!G23/(1+'Active Mode Assumptions'!G16))</f>
        <v>389.35049993571164</v>
      </c>
      <c r="H29" s="4">
        <f ca="1">H161*'Total Trip Tables Sup #1'!H29-(H27*'Active Mode Assumptions'!H7*'Active Mode Assumptions'!H14/(1+'Active Mode Assumptions'!H7))-(H28*'Active Mode Assumptions'!H16*'Active Mode Assumptions'!H23/(1+'Active Mode Assumptions'!H16))</f>
        <v>394.96319322317373</v>
      </c>
      <c r="I29" s="1">
        <f ca="1">I161*'Total Trip Tables Sup #1'!I29-(I27*'Active Mode Assumptions'!I7*'Active Mode Assumptions'!I14/(1+'Active Mode Assumptions'!I7))-(I28*'Active Mode Assumptions'!I16*'Active Mode Assumptions'!I23/(1+'Active Mode Assumptions'!I16))</f>
        <v>401.61022367351734</v>
      </c>
      <c r="J29" s="1">
        <f ca="1">J161*'Total Trip Tables Sup #1'!J29-(J27*'Active Mode Assumptions'!J7*'Active Mode Assumptions'!J14/(1+'Active Mode Assumptions'!J7))-(J28*'Active Mode Assumptions'!J16*'Active Mode Assumptions'!J23/(1+'Active Mode Assumptions'!J16))</f>
        <v>407.03979349889318</v>
      </c>
      <c r="K29" s="1">
        <f ca="1">K161*'Total Trip Tables Sup #1'!K29-(K27*'Active Mode Assumptions'!K7*'Active Mode Assumptions'!K14/(1+'Active Mode Assumptions'!K7))-(K28*'Active Mode Assumptions'!K16*'Active Mode Assumptions'!K23/(1+'Active Mode Assumptions'!K16))</f>
        <v>411.62509144108196</v>
      </c>
    </row>
    <row r="30" spans="1:11" x14ac:dyDescent="0.2">
      <c r="A30" t="str">
        <f ca="1">OFFSET(Waikato_Reference,21,2)</f>
        <v>Light Vehicle Passenger</v>
      </c>
      <c r="B30" s="4">
        <f ca="1">B162*'Total Trip Tables Sup #1'!B30</f>
        <v>139.07206360000004</v>
      </c>
      <c r="C30" s="4">
        <f ca="1">C162*'Total Trip Tables Sup #1'!C30-(C27*'Active Mode Assumptions'!C7*'Active Mode Assumptions'!C15/(1+'Active Mode Assumptions'!C7))-(C28*'Active Mode Assumptions'!C16*'Active Mode Assumptions'!C24/(1+'Active Mode Assumptions'!C16))</f>
        <v>146.89021888254251</v>
      </c>
      <c r="D30" s="4">
        <f ca="1">D162*'Total Trip Tables Sup #1'!D30-(D27*'Active Mode Assumptions'!D7*'Active Mode Assumptions'!D15/(1+'Active Mode Assumptions'!D7))-(D28*'Active Mode Assumptions'!D16*'Active Mode Assumptions'!D24/(1+'Active Mode Assumptions'!D16))</f>
        <v>149.37737728836416</v>
      </c>
      <c r="E30" s="4">
        <f ca="1">E162*'Total Trip Tables Sup #1'!E30-(E27*'Active Mode Assumptions'!E7*'Active Mode Assumptions'!E15/(1+'Active Mode Assumptions'!E7))-(E28*'Active Mode Assumptions'!E16*'Active Mode Assumptions'!E24/(1+'Active Mode Assumptions'!E16))</f>
        <v>150.44485176850841</v>
      </c>
      <c r="F30" s="4">
        <f ca="1">F162*'Total Trip Tables Sup #1'!F30-(F27*'Active Mode Assumptions'!F7*'Active Mode Assumptions'!F15/(1+'Active Mode Assumptions'!F7))-(F28*'Active Mode Assumptions'!F16*'Active Mode Assumptions'!F24/(1+'Active Mode Assumptions'!F16))</f>
        <v>150.84584132332137</v>
      </c>
      <c r="G30" s="4">
        <f ca="1">G162*'Total Trip Tables Sup #1'!G30-(G27*'Active Mode Assumptions'!G7*'Active Mode Assumptions'!G15/(1+'Active Mode Assumptions'!G7))-(G28*'Active Mode Assumptions'!G16*'Active Mode Assumptions'!G24/(1+'Active Mode Assumptions'!G16))</f>
        <v>150.10108156368014</v>
      </c>
      <c r="H30" s="4">
        <f ca="1">H162*'Total Trip Tables Sup #1'!H30-(H27*'Active Mode Assumptions'!H7*'Active Mode Assumptions'!H15/(1+'Active Mode Assumptions'!H7))-(H28*'Active Mode Assumptions'!H16*'Active Mode Assumptions'!H24/(1+'Active Mode Assumptions'!H16))</f>
        <v>148.49064825131433</v>
      </c>
      <c r="I30" s="1">
        <f ca="1">I162*'Total Trip Tables Sup #1'!I30-(I27*'Active Mode Assumptions'!I7*'Active Mode Assumptions'!I15/(1+'Active Mode Assumptions'!I7))-(I28*'Active Mode Assumptions'!I16*'Active Mode Assumptions'!I24/(1+'Active Mode Assumptions'!I16))</f>
        <v>151.0123708385687</v>
      </c>
      <c r="J30" s="1">
        <f ca="1">J162*'Total Trip Tables Sup #1'!J30-(J27*'Active Mode Assumptions'!J7*'Active Mode Assumptions'!J15/(1+'Active Mode Assumptions'!J7))-(J28*'Active Mode Assumptions'!J16*'Active Mode Assumptions'!J24/(1+'Active Mode Assumptions'!J16))</f>
        <v>153.07647682837583</v>
      </c>
      <c r="K30" s="1">
        <f ca="1">K162*'Total Trip Tables Sup #1'!K30-(K27*'Active Mode Assumptions'!K7*'Active Mode Assumptions'!K15/(1+'Active Mode Assumptions'!K7))-(K28*'Active Mode Assumptions'!K16*'Active Mode Assumptions'!K24/(1+'Active Mode Assumptions'!K16))</f>
        <v>154.8230952122945</v>
      </c>
    </row>
    <row r="31" spans="1:11" x14ac:dyDescent="0.2">
      <c r="A31" t="str">
        <f ca="1">OFFSET(Waikato_Reference,28,2)</f>
        <v>Taxi/Vehicle Share</v>
      </c>
      <c r="B31" s="4">
        <f ca="1">B163*'Total Trip Tables Sup #1'!B31</f>
        <v>0.69122996950000004</v>
      </c>
      <c r="C31" s="4">
        <f ca="1">C163*'Total Trip Tables Sup #1'!C31</f>
        <v>0.79876777425641654</v>
      </c>
      <c r="D31" s="4">
        <f ca="1">D163*'Total Trip Tables Sup #1'!D31</f>
        <v>0.87049168460332882</v>
      </c>
      <c r="E31" s="4">
        <f ca="1">E163*'Total Trip Tables Sup #1'!E31</f>
        <v>0.92277983322432033</v>
      </c>
      <c r="F31" s="4">
        <f ca="1">F163*'Total Trip Tables Sup #1'!F31</f>
        <v>0.96411392383615335</v>
      </c>
      <c r="G31" s="4">
        <f ca="1">G163*'Total Trip Tables Sup #1'!G31</f>
        <v>0.98940536219757291</v>
      </c>
      <c r="H31" s="4">
        <f ca="1">H163*'Total Trip Tables Sup #1'!H31</f>
        <v>1.0108589222185511</v>
      </c>
      <c r="I31" s="1">
        <f ca="1">I163*'Total Trip Tables Sup #1'!I31</f>
        <v>1.0262719445896455</v>
      </c>
      <c r="J31" s="1">
        <f ca="1">J163*'Total Trip Tables Sup #1'!J31</f>
        <v>1.0384928346517062</v>
      </c>
      <c r="K31" s="1">
        <f ca="1">K163*'Total Trip Tables Sup #1'!K31</f>
        <v>1.0484878596694871</v>
      </c>
    </row>
    <row r="32" spans="1:11" x14ac:dyDescent="0.2">
      <c r="A32" t="str">
        <f ca="1">OFFSET(Waikato_Reference,35,2)</f>
        <v>Motorcyclist</v>
      </c>
      <c r="B32" s="4">
        <f ca="1">B164*'Total Trip Tables Sup #1'!B32</f>
        <v>1.8680965575999999</v>
      </c>
      <c r="C32" s="4">
        <f ca="1">C164*'Total Trip Tables Sup #1'!C32</f>
        <v>2.0216009593724888</v>
      </c>
      <c r="D32" s="4">
        <f ca="1">D164*'Total Trip Tables Sup #1'!D32</f>
        <v>2.0825627645878213</v>
      </c>
      <c r="E32" s="4">
        <f ca="1">E164*'Total Trip Tables Sup #1'!E32</f>
        <v>2.1238114069218694</v>
      </c>
      <c r="F32" s="4">
        <f ca="1">F164*'Total Trip Tables Sup #1'!F32</f>
        <v>2.1481273635597242</v>
      </c>
      <c r="G32" s="4">
        <f ca="1">G164*'Total Trip Tables Sup #1'!G32</f>
        <v>2.1330964686898937</v>
      </c>
      <c r="H32" s="4">
        <f ca="1">H164*'Total Trip Tables Sup #1'!H32</f>
        <v>2.1026470035368963</v>
      </c>
      <c r="I32" s="1">
        <f ca="1">I164*'Total Trip Tables Sup #1'!I32</f>
        <v>2.1435077375180103</v>
      </c>
      <c r="J32" s="1">
        <f ca="1">J164*'Total Trip Tables Sup #1'!J32</f>
        <v>2.178036191070408</v>
      </c>
      <c r="K32" s="1">
        <f ca="1">K164*'Total Trip Tables Sup #1'!K32</f>
        <v>2.2081804087021744</v>
      </c>
    </row>
    <row r="33" spans="1:11" x14ac:dyDescent="0.2">
      <c r="A33" t="str">
        <f ca="1">OFFSET(Waikato_Reference,42,2)</f>
        <v>Local Train</v>
      </c>
      <c r="B33" s="4">
        <f ca="1">B165*'Total Trip Tables Sup #1'!B33</f>
        <v>0</v>
      </c>
      <c r="C33" s="4">
        <f ca="1">C165*'Total Trip Tables Sup #1'!C33</f>
        <v>0</v>
      </c>
      <c r="D33" s="4">
        <f ca="1">D165*'Total Trip Tables Sup #1'!D33</f>
        <v>0</v>
      </c>
      <c r="E33" s="4">
        <f ca="1">E165*'Total Trip Tables Sup #1'!E33</f>
        <v>0</v>
      </c>
      <c r="F33" s="4">
        <f ca="1">F165*'Total Trip Tables Sup #1'!F33</f>
        <v>0</v>
      </c>
      <c r="G33" s="4">
        <f ca="1">G165*'Total Trip Tables Sup #1'!G33</f>
        <v>0</v>
      </c>
      <c r="H33" s="4">
        <f ca="1">H165*'Total Trip Tables Sup #1'!H33</f>
        <v>0</v>
      </c>
      <c r="I33" s="1">
        <f ca="1">I165*'Total Trip Tables Sup #1'!I33</f>
        <v>0</v>
      </c>
      <c r="J33" s="1">
        <f ca="1">J165*'Total Trip Tables Sup #1'!J33</f>
        <v>0</v>
      </c>
      <c r="K33" s="1">
        <f ca="1">K165*'Total Trip Tables Sup #1'!K33</f>
        <v>0</v>
      </c>
    </row>
    <row r="34" spans="1:11" x14ac:dyDescent="0.2">
      <c r="A34" t="str">
        <f ca="1">OFFSET(Waikato_Reference,49,2)</f>
        <v>Local Bus</v>
      </c>
      <c r="B34" s="4">
        <f ca="1">B166*'Total Trip Tables Sup #1'!B34</f>
        <v>5.7199103379</v>
      </c>
      <c r="C34" s="4">
        <f ca="1">C166*'Total Trip Tables Sup #1'!C34</f>
        <v>5.8174341974483124</v>
      </c>
      <c r="D34" s="4">
        <f ca="1">D166*'Total Trip Tables Sup #1'!D34</f>
        <v>5.8146718688705832</v>
      </c>
      <c r="E34" s="4">
        <f ca="1">E166*'Total Trip Tables Sup #1'!E34</f>
        <v>5.8395967072592896</v>
      </c>
      <c r="F34" s="4">
        <f ca="1">F166*'Total Trip Tables Sup #1'!F34</f>
        <v>5.7795496548684735</v>
      </c>
      <c r="G34" s="4">
        <f ca="1">G166*'Total Trip Tables Sup #1'!G34</f>
        <v>5.7348468211891195</v>
      </c>
      <c r="H34" s="4">
        <f ca="1">H166*'Total Trip Tables Sup #1'!H34</f>
        <v>5.6557256124777915</v>
      </c>
      <c r="I34" s="1">
        <f ca="1">I166*'Total Trip Tables Sup #1'!I34</f>
        <v>5.7540860657582327</v>
      </c>
      <c r="J34" s="1">
        <f ca="1">J166*'Total Trip Tables Sup #1'!J34</f>
        <v>5.834984893082189</v>
      </c>
      <c r="K34" s="1">
        <f ca="1">K166*'Total Trip Tables Sup #1'!K34</f>
        <v>5.9037380115531484</v>
      </c>
    </row>
    <row r="35" spans="1:11" x14ac:dyDescent="0.2">
      <c r="A35" t="str">
        <f ca="1">OFFSET(Waikato_Reference,56,2)</f>
        <v>Local Ferry</v>
      </c>
      <c r="B35" s="4">
        <f ca="1">B167*'Total Trip Tables Sup #1'!B35</f>
        <v>0.2446181519</v>
      </c>
      <c r="C35" s="4">
        <f ca="1">C167*'Total Trip Tables Sup #1'!C35</f>
        <v>0.27475616587354379</v>
      </c>
      <c r="D35" s="4">
        <f ca="1">D167*'Total Trip Tables Sup #1'!D35</f>
        <v>0.29343926390521186</v>
      </c>
      <c r="E35" s="4">
        <f ca="1">E167*'Total Trip Tables Sup #1'!E35</f>
        <v>0.30232300723444833</v>
      </c>
      <c r="F35" s="4">
        <f ca="1">F167*'Total Trip Tables Sup #1'!F35</f>
        <v>0.30667896158503344</v>
      </c>
      <c r="G35" s="4">
        <f ca="1">G167*'Total Trip Tables Sup #1'!G35</f>
        <v>0.31675321888549934</v>
      </c>
      <c r="H35" s="4">
        <f ca="1">H167*'Total Trip Tables Sup #1'!H35</f>
        <v>0.3239799445988501</v>
      </c>
      <c r="I35" s="1">
        <f ca="1">I167*'Total Trip Tables Sup #1'!I35</f>
        <v>0.32699499890607658</v>
      </c>
      <c r="J35" s="1">
        <f ca="1">J167*'Total Trip Tables Sup #1'!J35</f>
        <v>0.32898715347348217</v>
      </c>
      <c r="K35" s="1">
        <f ca="1">K167*'Total Trip Tables Sup #1'!K35</f>
        <v>0.33027922050261183</v>
      </c>
    </row>
    <row r="36" spans="1:11" x14ac:dyDescent="0.2">
      <c r="A36" t="str">
        <f ca="1">OFFSET(Waikato_Reference,63,2)</f>
        <v>Other Household Travel</v>
      </c>
      <c r="B36" s="4">
        <f ca="1">B168*'Total Trip Tables Sup #1'!B36</f>
        <v>1.8854250596</v>
      </c>
      <c r="C36" s="4">
        <f ca="1">C168*'Total Trip Tables Sup #1'!C36</f>
        <v>2.0602479660457589</v>
      </c>
      <c r="D36" s="4">
        <f ca="1">D168*'Total Trip Tables Sup #1'!D36</f>
        <v>2.1935463260462651</v>
      </c>
      <c r="E36" s="4">
        <f ca="1">E168*'Total Trip Tables Sup #1'!E36</f>
        <v>2.2943000832775118</v>
      </c>
      <c r="F36" s="4">
        <f ca="1">F168*'Total Trip Tables Sup #1'!F36</f>
        <v>2.3732900005799973</v>
      </c>
      <c r="G36" s="4">
        <f ca="1">G168*'Total Trip Tables Sup #1'!G36</f>
        <v>2.4310839060871845</v>
      </c>
      <c r="H36" s="4">
        <f ca="1">H168*'Total Trip Tables Sup #1'!H36</f>
        <v>2.4535099110756406</v>
      </c>
      <c r="I36" s="1">
        <f ca="1">I168*'Total Trip Tables Sup #1'!I36</f>
        <v>2.5024907789884008</v>
      </c>
      <c r="J36" s="1">
        <f ca="1">J168*'Total Trip Tables Sup #1'!J36</f>
        <v>2.5441964316995174</v>
      </c>
      <c r="K36" s="1">
        <f ca="1">K168*'Total Trip Tables Sup #1'!K36</f>
        <v>2.5808978995291039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B159*'Total Trip Tables Sup #1'!B38</f>
        <v>43.402809341999998</v>
      </c>
      <c r="C38" s="4">
        <f ca="1">C159*'Total Trip Tables Sup #1'!C38*(1+'Active Mode Assumptions'!C7)</f>
        <v>46.115219270517819</v>
      </c>
      <c r="D38" s="4">
        <f ca="1">D159*'Total Trip Tables Sup #1'!D38*(1+'Active Mode Assumptions'!D7)</f>
        <v>49.235640458466712</v>
      </c>
      <c r="E38" s="4">
        <f ca="1">E159*'Total Trip Tables Sup #1'!E38*(1+'Active Mode Assumptions'!E7)</f>
        <v>51.614989381745723</v>
      </c>
      <c r="F38" s="4">
        <f ca="1">F159*'Total Trip Tables Sup #1'!F38*(1+'Active Mode Assumptions'!F7)</f>
        <v>53.468650971780868</v>
      </c>
      <c r="G38" s="4">
        <f ca="1">G159*'Total Trip Tables Sup #1'!G38*(1+'Active Mode Assumptions'!G7)</f>
        <v>54.959758430890176</v>
      </c>
      <c r="H38" s="4">
        <f ca="1">H159*'Total Trip Tables Sup #1'!H38*(1+'Active Mode Assumptions'!H7)</f>
        <v>56.176813097810928</v>
      </c>
      <c r="I38" s="1">
        <f ca="1">I159*'Total Trip Tables Sup #1'!I38*(1+'Active Mode Assumptions'!I7)</f>
        <v>56.641298278422276</v>
      </c>
      <c r="J38" s="1">
        <f ca="1">J159*'Total Trip Tables Sup #1'!J38*(1+'Active Mode Assumptions'!J7)</f>
        <v>56.92157855504216</v>
      </c>
      <c r="K38" s="1">
        <f ca="1">K159*'Total Trip Tables Sup #1'!K38*(1+'Active Mode Assumptions'!K7)</f>
        <v>57.073715213711033</v>
      </c>
    </row>
    <row r="39" spans="1:11" x14ac:dyDescent="0.2">
      <c r="A39" t="str">
        <f ca="1">OFFSET(BOP_Reference,7,2)</f>
        <v>Cyclist</v>
      </c>
      <c r="B39" s="4">
        <f ca="1">B160*'Total Trip Tables Sup #1'!B39</f>
        <v>5.1579391552000002</v>
      </c>
      <c r="C39" s="4">
        <f ca="1">C160*'Total Trip Tables Sup #1'!C39*(1+'Active Mode Assumptions'!C16)</f>
        <v>5.4801528555277983</v>
      </c>
      <c r="D39" s="4">
        <f ca="1">D160*'Total Trip Tables Sup #1'!D39*(1+'Active Mode Assumptions'!D16)</f>
        <v>6.7088220548949602</v>
      </c>
      <c r="E39" s="4">
        <f ca="1">E160*'Total Trip Tables Sup #1'!E39*(1+'Active Mode Assumptions'!E16)</f>
        <v>7.8340937605677015</v>
      </c>
      <c r="F39" s="4">
        <f ca="1">F160*'Total Trip Tables Sup #1'!F39*(1+'Active Mode Assumptions'!F16)</f>
        <v>8.9419463883798951</v>
      </c>
      <c r="G39" s="4">
        <f ca="1">G160*'Total Trip Tables Sup #1'!G39*(1+'Active Mode Assumptions'!G16)</f>
        <v>10.016045048987497</v>
      </c>
      <c r="H39" s="4">
        <f ca="1">H160*'Total Trip Tables Sup #1'!H39*(1+'Active Mode Assumptions'!H16)</f>
        <v>11.061534632986394</v>
      </c>
      <c r="I39" s="1">
        <f ca="1">I160*'Total Trip Tables Sup #1'!I39*(1+'Active Mode Assumptions'!I16)</f>
        <v>11.168313700313334</v>
      </c>
      <c r="J39" s="1">
        <f ca="1">J160*'Total Trip Tables Sup #1'!J39*(1+'Active Mode Assumptions'!J16)</f>
        <v>11.239007122975751</v>
      </c>
      <c r="K39" s="1">
        <f ca="1">K160*'Total Trip Tables Sup #1'!K39*(1+'Active Mode Assumptions'!K16)</f>
        <v>11.284559912168659</v>
      </c>
    </row>
    <row r="40" spans="1:11" x14ac:dyDescent="0.2">
      <c r="A40" t="str">
        <f ca="1">OFFSET(BOP_Reference,14,2)</f>
        <v>Light Vehicle Driver</v>
      </c>
      <c r="B40" s="4">
        <f ca="1">B161*'Total Trip Tables Sup #1'!B40</f>
        <v>178.59124365</v>
      </c>
      <c r="C40" s="4">
        <f ca="1">C161*'Total Trip Tables Sup #1'!C40-(C38*'Active Mode Assumptions'!C7*'Active Mode Assumptions'!C14/(1+'Active Mode Assumptions'!C7))-(C39*'Active Mode Assumptions'!C16*'Active Mode Assumptions'!C23/(1+'Active Mode Assumptions'!C16))</f>
        <v>194.70741700444171</v>
      </c>
      <c r="D40" s="4">
        <f ca="1">D161*'Total Trip Tables Sup #1'!D40-(D38*'Active Mode Assumptions'!D7*'Active Mode Assumptions'!D14/(1+'Active Mode Assumptions'!D7))-(D39*'Active Mode Assumptions'!D16*'Active Mode Assumptions'!D23/(1+'Active Mode Assumptions'!D16))</f>
        <v>202.45329146738919</v>
      </c>
      <c r="E40" s="4">
        <f ca="1">E161*'Total Trip Tables Sup #1'!E40-(E38*'Active Mode Assumptions'!E7*'Active Mode Assumptions'!E14/(1+'Active Mode Assumptions'!E7))-(E39*'Active Mode Assumptions'!E16*'Active Mode Assumptions'!E23/(1+'Active Mode Assumptions'!E16))</f>
        <v>209.05284096137612</v>
      </c>
      <c r="F40" s="4">
        <f ca="1">F161*'Total Trip Tables Sup #1'!F40-(F38*'Active Mode Assumptions'!F7*'Active Mode Assumptions'!F14/(1+'Active Mode Assumptions'!F7))-(F39*'Active Mode Assumptions'!F16*'Active Mode Assumptions'!F23/(1+'Active Mode Assumptions'!F16))</f>
        <v>214.33044649044092</v>
      </c>
      <c r="G40" s="4">
        <f ca="1">G161*'Total Trip Tables Sup #1'!G40-(G38*'Active Mode Assumptions'!G7*'Active Mode Assumptions'!G14/(1+'Active Mode Assumptions'!G7))-(G39*'Active Mode Assumptions'!G16*'Active Mode Assumptions'!G23/(1+'Active Mode Assumptions'!G16))</f>
        <v>216.8786018214719</v>
      </c>
      <c r="H40" s="4">
        <f ca="1">H161*'Total Trip Tables Sup #1'!H40-(H38*'Active Mode Assumptions'!H7*'Active Mode Assumptions'!H14/(1+'Active Mode Assumptions'!H7))-(H39*'Active Mode Assumptions'!H16*'Active Mode Assumptions'!H23/(1+'Active Mode Assumptions'!H16))</f>
        <v>218.27373351497229</v>
      </c>
      <c r="I40" s="1">
        <f ca="1">I161*'Total Trip Tables Sup #1'!I40-(I38*'Active Mode Assumptions'!I7*'Active Mode Assumptions'!I14/(1+'Active Mode Assumptions'!I7))-(I39*'Active Mode Assumptions'!I16*'Active Mode Assumptions'!I23/(1+'Active Mode Assumptions'!I16))</f>
        <v>220.309118335016</v>
      </c>
      <c r="J40" s="1">
        <f ca="1">J161*'Total Trip Tables Sup #1'!J40-(J38*'Active Mode Assumptions'!J7*'Active Mode Assumptions'!J14/(1+'Active Mode Assumptions'!J7))-(J39*'Active Mode Assumptions'!J16*'Active Mode Assumptions'!J23/(1+'Active Mode Assumptions'!J16))</f>
        <v>221.62745286868901</v>
      </c>
      <c r="K40" s="1">
        <f ca="1">K161*'Total Trip Tables Sup #1'!K40-(K38*'Active Mode Assumptions'!K7*'Active Mode Assumptions'!K14/(1+'Active Mode Assumptions'!K7))-(K39*'Active Mode Assumptions'!K16*'Active Mode Assumptions'!K23/(1+'Active Mode Assumptions'!K16))</f>
        <v>222.44505649296596</v>
      </c>
    </row>
    <row r="41" spans="1:11" x14ac:dyDescent="0.2">
      <c r="A41" t="str">
        <f ca="1">OFFSET(BOP_Reference,21,2)</f>
        <v>Light Vehicle Passenger</v>
      </c>
      <c r="B41" s="4">
        <f ca="1">B162*'Total Trip Tables Sup #1'!B41</f>
        <v>98.719582360000032</v>
      </c>
      <c r="C41" s="4">
        <f ca="1">C162*'Total Trip Tables Sup #1'!C41-(C38*'Active Mode Assumptions'!C7*'Active Mode Assumptions'!C15/(1+'Active Mode Assumptions'!C7))-(C39*'Active Mode Assumptions'!C16*'Active Mode Assumptions'!C24/(1+'Active Mode Assumptions'!C16))</f>
        <v>102.7101703160786</v>
      </c>
      <c r="D41" s="4">
        <f ca="1">D162*'Total Trip Tables Sup #1'!D41-(D38*'Active Mode Assumptions'!D7*'Active Mode Assumptions'!D15/(1+'Active Mode Assumptions'!D7))-(D39*'Active Mode Assumptions'!D16*'Active Mode Assumptions'!D24/(1+'Active Mode Assumptions'!D16))</f>
        <v>103.52002872718533</v>
      </c>
      <c r="E41" s="4">
        <f ca="1">E162*'Total Trip Tables Sup #1'!E41-(E38*'Active Mode Assumptions'!E7*'Active Mode Assumptions'!E15/(1+'Active Mode Assumptions'!E7))-(E39*'Active Mode Assumptions'!E16*'Active Mode Assumptions'!E24/(1+'Active Mode Assumptions'!E16))</f>
        <v>103.49984621597392</v>
      </c>
      <c r="F41" s="4">
        <f ca="1">F162*'Total Trip Tables Sup #1'!F41-(F38*'Active Mode Assumptions'!F7*'Active Mode Assumptions'!F15/(1+'Active Mode Assumptions'!F7))-(F39*'Active Mode Assumptions'!F16*'Active Mode Assumptions'!F24/(1+'Active Mode Assumptions'!F16))</f>
        <v>103.03001463209637</v>
      </c>
      <c r="G41" s="4">
        <f ca="1">G162*'Total Trip Tables Sup #1'!G41-(G38*'Active Mode Assumptions'!G7*'Active Mode Assumptions'!G15/(1+'Active Mode Assumptions'!G7))-(G39*'Active Mode Assumptions'!G16*'Active Mode Assumptions'!G24/(1+'Active Mode Assumptions'!G16))</f>
        <v>101.75976550380334</v>
      </c>
      <c r="H41" s="4">
        <f ca="1">H162*'Total Trip Tables Sup #1'!H41-(H38*'Active Mode Assumptions'!H7*'Active Mode Assumptions'!H15/(1+'Active Mode Assumptions'!H7))-(H39*'Active Mode Assumptions'!H16*'Active Mode Assumptions'!H24/(1+'Active Mode Assumptions'!H16))</f>
        <v>99.934826619040848</v>
      </c>
      <c r="I41" s="1">
        <f ca="1">I162*'Total Trip Tables Sup #1'!I41-(I38*'Active Mode Assumptions'!I7*'Active Mode Assumptions'!I15/(1+'Active Mode Assumptions'!I7))-(I39*'Active Mode Assumptions'!I16*'Active Mode Assumptions'!I24/(1+'Active Mode Assumptions'!I16))</f>
        <v>100.88146477293317</v>
      </c>
      <c r="J41" s="1">
        <f ca="1">J162*'Total Trip Tables Sup #1'!J41-(J38*'Active Mode Assumptions'!J7*'Active Mode Assumptions'!J15/(1+'Active Mode Assumptions'!J7))-(J39*'Active Mode Assumptions'!J16*'Active Mode Assumptions'!J24/(1+'Active Mode Assumptions'!J16))</f>
        <v>101.49964980625811</v>
      </c>
      <c r="K41" s="1">
        <f ca="1">K162*'Total Trip Tables Sup #1'!K41-(K38*'Active Mode Assumptions'!K7*'Active Mode Assumptions'!K15/(1+'Active Mode Assumptions'!K7))-(K39*'Active Mode Assumptions'!K16*'Active Mode Assumptions'!K24/(1+'Active Mode Assumptions'!K16))</f>
        <v>101.88830750044745</v>
      </c>
    </row>
    <row r="42" spans="1:11" x14ac:dyDescent="0.2">
      <c r="A42" t="str">
        <f ca="1">OFFSET(BOP_Reference,28,2)</f>
        <v>Taxi/Vehicle Share</v>
      </c>
      <c r="B42" s="4">
        <f ca="1">B163*'Total Trip Tables Sup #1'!B42</f>
        <v>0.15552198610000001</v>
      </c>
      <c r="C42" s="4">
        <f ca="1">C163*'Total Trip Tables Sup #1'!C42</f>
        <v>0.17703002491342726</v>
      </c>
      <c r="D42" s="4">
        <f ca="1">D163*'Total Trip Tables Sup #1'!D42</f>
        <v>0.19119922566523517</v>
      </c>
      <c r="E42" s="4">
        <f ca="1">E163*'Total Trip Tables Sup #1'!E42</f>
        <v>0.20119365330202518</v>
      </c>
      <c r="F42" s="4">
        <f ca="1">F163*'Total Trip Tables Sup #1'!F42</f>
        <v>0.20868257295569562</v>
      </c>
      <c r="G42" s="4">
        <f ca="1">G163*'Total Trip Tables Sup #1'!G42</f>
        <v>0.2125544457401885</v>
      </c>
      <c r="H42" s="4">
        <f ca="1">H163*'Total Trip Tables Sup #1'!H42</f>
        <v>0.21557199243993971</v>
      </c>
      <c r="I42" s="1">
        <f ca="1">I163*'Total Trip Tables Sup #1'!I42</f>
        <v>0.21724362348591794</v>
      </c>
      <c r="J42" s="1">
        <f ca="1">J163*'Total Trip Tables Sup #1'!J42</f>
        <v>0.2181961160081119</v>
      </c>
      <c r="K42" s="1">
        <f ca="1">K163*'Total Trip Tables Sup #1'!K42</f>
        <v>0.21864579541935314</v>
      </c>
    </row>
    <row r="43" spans="1:11" x14ac:dyDescent="0.2">
      <c r="A43" t="str">
        <f ca="1">OFFSET(BOP_Reference,35,2)</f>
        <v>Motorcyclist</v>
      </c>
      <c r="B43" s="4">
        <f ca="1">B164*'Total Trip Tables Sup #1'!B43</f>
        <v>0.90641599910000004</v>
      </c>
      <c r="C43" s="4">
        <f ca="1">C164*'Total Trip Tables Sup #1'!C43</f>
        <v>0.96623071387246828</v>
      </c>
      <c r="D43" s="4">
        <f ca="1">D164*'Total Trip Tables Sup #1'!D43</f>
        <v>0.98645802340696653</v>
      </c>
      <c r="E43" s="4">
        <f ca="1">E164*'Total Trip Tables Sup #1'!E43</f>
        <v>0.99859902845185899</v>
      </c>
      <c r="F43" s="4">
        <f ca="1">F164*'Total Trip Tables Sup #1'!F43</f>
        <v>1.0027135025452922</v>
      </c>
      <c r="G43" s="4">
        <f ca="1">G164*'Total Trip Tables Sup #1'!G43</f>
        <v>0.98824684874467472</v>
      </c>
      <c r="H43" s="4">
        <f ca="1">H164*'Total Trip Tables Sup #1'!H43</f>
        <v>0.96700153578195935</v>
      </c>
      <c r="I43" s="1">
        <f ca="1">I164*'Total Trip Tables Sup #1'!I43</f>
        <v>0.97851760794732978</v>
      </c>
      <c r="J43" s="1">
        <f ca="1">J164*'Total Trip Tables Sup #1'!J43</f>
        <v>0.98688741632212429</v>
      </c>
      <c r="K43" s="1">
        <f ca="1">K164*'Total Trip Tables Sup #1'!K43</f>
        <v>0.99305038624490227</v>
      </c>
    </row>
    <row r="44" spans="1:11" x14ac:dyDescent="0.2">
      <c r="A44" t="str">
        <f ca="1">OFFSET(Auckland_Reference,42,2)</f>
        <v>Local Train</v>
      </c>
      <c r="B44" s="4">
        <f ca="1">B165*'Total Trip Tables Sup #1'!B44</f>
        <v>0</v>
      </c>
      <c r="C44" s="4">
        <f ca="1">C165*'Total Trip Tables Sup #1'!C44</f>
        <v>0</v>
      </c>
      <c r="D44" s="4">
        <f ca="1">D165*'Total Trip Tables Sup #1'!D44</f>
        <v>0</v>
      </c>
      <c r="E44" s="4">
        <f ca="1">E165*'Total Trip Tables Sup #1'!E44</f>
        <v>0</v>
      </c>
      <c r="F44" s="4">
        <f ca="1">F165*'Total Trip Tables Sup #1'!F44</f>
        <v>0</v>
      </c>
      <c r="G44" s="4">
        <f ca="1">G165*'Total Trip Tables Sup #1'!G44</f>
        <v>0</v>
      </c>
      <c r="H44" s="4">
        <f ca="1">H165*'Total Trip Tables Sup #1'!H44</f>
        <v>0</v>
      </c>
      <c r="I44" s="1">
        <f ca="1">I165*'Total Trip Tables Sup #1'!I44</f>
        <v>0</v>
      </c>
      <c r="J44" s="1">
        <f ca="1">J165*'Total Trip Tables Sup #1'!J44</f>
        <v>0</v>
      </c>
      <c r="K44" s="1">
        <f ca="1">K165*'Total Trip Tables Sup #1'!K44</f>
        <v>0</v>
      </c>
    </row>
    <row r="45" spans="1:11" x14ac:dyDescent="0.2">
      <c r="A45" t="str">
        <f ca="1">OFFSET(BOP_Reference,42,2)</f>
        <v>Local Bus</v>
      </c>
      <c r="B45" s="4">
        <f ca="1">B166*'Total Trip Tables Sup #1'!B45</f>
        <v>7.4672006229000001</v>
      </c>
      <c r="C45" s="4">
        <f ca="1">C166*'Total Trip Tables Sup #1'!C45</f>
        <v>7.4809583904569354</v>
      </c>
      <c r="D45" s="4">
        <f ca="1">D166*'Total Trip Tables Sup #1'!D45</f>
        <v>7.4104755454161308</v>
      </c>
      <c r="E45" s="4">
        <f ca="1">E166*'Total Trip Tables Sup #1'!E45</f>
        <v>7.3875154362539117</v>
      </c>
      <c r="F45" s="4">
        <f ca="1">F166*'Total Trip Tables Sup #1'!F45</f>
        <v>7.2585720383255588</v>
      </c>
      <c r="G45" s="4">
        <f ca="1">G166*'Total Trip Tables Sup #1'!G45</f>
        <v>7.1485361862191823</v>
      </c>
      <c r="H45" s="4">
        <f ca="1">H166*'Total Trip Tables Sup #1'!H45</f>
        <v>6.998250485130197</v>
      </c>
      <c r="I45" s="1">
        <f ca="1">I166*'Total Trip Tables Sup #1'!I45</f>
        <v>7.0674102027599908</v>
      </c>
      <c r="J45" s="1">
        <f ca="1">J166*'Total Trip Tables Sup #1'!J45</f>
        <v>7.1134881385416477</v>
      </c>
      <c r="K45" s="1">
        <f ca="1">K166*'Total Trip Tables Sup #1'!K45</f>
        <v>7.1433867700194487</v>
      </c>
    </row>
    <row r="46" spans="1:11" x14ac:dyDescent="0.2">
      <c r="A46" t="str">
        <f ca="1">OFFSET(Waikato_Reference,56,2)</f>
        <v>Local Ferry</v>
      </c>
      <c r="B46" s="4">
        <f ca="1">B167*'Total Trip Tables Sup #1'!B46</f>
        <v>0</v>
      </c>
      <c r="C46" s="4">
        <f ca="1">C167*'Total Trip Tables Sup #1'!C46</f>
        <v>0</v>
      </c>
      <c r="D46" s="4">
        <f ca="1">D167*'Total Trip Tables Sup #1'!D46</f>
        <v>0</v>
      </c>
      <c r="E46" s="4">
        <f ca="1">E167*'Total Trip Tables Sup #1'!E46</f>
        <v>0</v>
      </c>
      <c r="F46" s="4">
        <f ca="1">F167*'Total Trip Tables Sup #1'!F46</f>
        <v>0</v>
      </c>
      <c r="G46" s="4">
        <f ca="1">G167*'Total Trip Tables Sup #1'!G46</f>
        <v>0</v>
      </c>
      <c r="H46" s="4">
        <f ca="1">H167*'Total Trip Tables Sup #1'!H46</f>
        <v>0</v>
      </c>
      <c r="I46" s="1">
        <f ca="1">I167*'Total Trip Tables Sup #1'!I46</f>
        <v>0</v>
      </c>
      <c r="J46" s="1">
        <f ca="1">J167*'Total Trip Tables Sup #1'!J46</f>
        <v>0</v>
      </c>
      <c r="K46" s="1">
        <f ca="1">K167*'Total Trip Tables Sup #1'!K46</f>
        <v>0</v>
      </c>
    </row>
    <row r="47" spans="1:11" x14ac:dyDescent="0.2">
      <c r="A47" t="str">
        <f ca="1">OFFSET(BOP_Reference,49,2)</f>
        <v>Other Household Travel</v>
      </c>
      <c r="B47" s="4">
        <f ca="1">B168*'Total Trip Tables Sup #1'!B47</f>
        <v>0.59853678389999998</v>
      </c>
      <c r="C47" s="4">
        <f ca="1">C168*'Total Trip Tables Sup #1'!C47</f>
        <v>0.64425563473946978</v>
      </c>
      <c r="D47" s="4">
        <f ca="1">D168*'Total Trip Tables Sup #1'!D47</f>
        <v>0.67979920034158503</v>
      </c>
      <c r="E47" s="4">
        <f ca="1">E168*'Total Trip Tables Sup #1'!E47</f>
        <v>0.7057952629170634</v>
      </c>
      <c r="F47" s="4">
        <f ca="1">F168*'Total Trip Tables Sup #1'!F47</f>
        <v>0.72480465423314688</v>
      </c>
      <c r="G47" s="4">
        <f ca="1">G168*'Total Trip Tables Sup #1'!G47</f>
        <v>0.73689942538268627</v>
      </c>
      <c r="H47" s="4">
        <f ca="1">H168*'Total Trip Tables Sup #1'!H47</f>
        <v>0.73824742369478003</v>
      </c>
      <c r="I47" s="1">
        <f ca="1">I168*'Total Trip Tables Sup #1'!I47</f>
        <v>0.74742806922502902</v>
      </c>
      <c r="J47" s="1">
        <f ca="1">J168*'Total Trip Tables Sup #1'!J47</f>
        <v>0.75423466136979256</v>
      </c>
      <c r="K47" s="1">
        <f ca="1">K168*'Total Trip Tables Sup #1'!K47</f>
        <v>0.75938302450851081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B159*'Total Trip Tables Sup #1'!B49</f>
        <v>12.564280467</v>
      </c>
      <c r="C49" s="4">
        <f ca="1">C159*'Total Trip Tables Sup #1'!C49*(1+'Active Mode Assumptions'!C7)</f>
        <v>12.763724751926015</v>
      </c>
      <c r="D49" s="4">
        <f ca="1">D159*'Total Trip Tables Sup #1'!D49*(1+'Active Mode Assumptions'!D7)</f>
        <v>13.28718007731486</v>
      </c>
      <c r="E49" s="4">
        <f ca="1">E159*'Total Trip Tables Sup #1'!E49*(1+'Active Mode Assumptions'!E7)</f>
        <v>13.657623681793641</v>
      </c>
      <c r="F49" s="4">
        <f ca="1">F159*'Total Trip Tables Sup #1'!F49*(1+'Active Mode Assumptions'!F7)</f>
        <v>13.884435197531605</v>
      </c>
      <c r="G49" s="4">
        <f ca="1">G159*'Total Trip Tables Sup #1'!G49*(1+'Active Mode Assumptions'!G7)</f>
        <v>13.995884228416502</v>
      </c>
      <c r="H49" s="4">
        <f ca="1">H159*'Total Trip Tables Sup #1'!H49*(1+'Active Mode Assumptions'!H7)</f>
        <v>14.039617928375458</v>
      </c>
      <c r="I49" s="1">
        <f ca="1">I159*'Total Trip Tables Sup #1'!I49*(1+'Active Mode Assumptions'!I7)</f>
        <v>13.894009442493752</v>
      </c>
      <c r="J49" s="1">
        <f ca="1">J159*'Total Trip Tables Sup #1'!J49*(1+'Active Mode Assumptions'!J7)</f>
        <v>13.706394441765326</v>
      </c>
      <c r="K49" s="1">
        <f ca="1">K159*'Total Trip Tables Sup #1'!K49*(1+'Active Mode Assumptions'!K7)</f>
        <v>13.492495613515871</v>
      </c>
    </row>
    <row r="50" spans="1:11" x14ac:dyDescent="0.2">
      <c r="A50" t="str">
        <f ca="1">OFFSET(Gisborne_Reference,7,2)</f>
        <v>Cyclist</v>
      </c>
      <c r="B50" s="4">
        <f ca="1">B160*'Total Trip Tables Sup #1'!B50</f>
        <v>1.1119455742</v>
      </c>
      <c r="C50" s="4">
        <f ca="1">C160*'Total Trip Tables Sup #1'!C50*(1+'Active Mode Assumptions'!C16)</f>
        <v>1.1295705445659956</v>
      </c>
      <c r="D50" s="4">
        <f ca="1">D160*'Total Trip Tables Sup #1'!D50*(1+'Active Mode Assumptions'!D16)</f>
        <v>1.3483015587813425</v>
      </c>
      <c r="E50" s="4">
        <f ca="1">E160*'Total Trip Tables Sup #1'!E50*(1+'Active Mode Assumptions'!E16)</f>
        <v>1.5437451255884964</v>
      </c>
      <c r="F50" s="4">
        <f ca="1">F160*'Total Trip Tables Sup #1'!F50*(1+'Active Mode Assumptions'!F16)</f>
        <v>1.7292133797803435</v>
      </c>
      <c r="G50" s="4">
        <f ca="1">G160*'Total Trip Tables Sup #1'!G50*(1+'Active Mode Assumptions'!G16)</f>
        <v>1.899500140275123</v>
      </c>
      <c r="H50" s="4">
        <f ca="1">H160*'Total Trip Tables Sup #1'!H50*(1+'Active Mode Assumptions'!H16)</f>
        <v>2.0587381337955009</v>
      </c>
      <c r="I50" s="1">
        <f ca="1">I160*'Total Trip Tables Sup #1'!I50*(1+'Active Mode Assumptions'!I16)</f>
        <v>2.0401849005817128</v>
      </c>
      <c r="J50" s="1">
        <f ca="1">J160*'Total Trip Tables Sup #1'!J50*(1+'Active Mode Assumptions'!J16)</f>
        <v>2.0154023993931642</v>
      </c>
      <c r="K50" s="1">
        <f ca="1">K160*'Total Trip Tables Sup #1'!K50*(1+'Active Mode Assumptions'!K16)</f>
        <v>1.9866817525140283</v>
      </c>
    </row>
    <row r="51" spans="1:11" x14ac:dyDescent="0.2">
      <c r="A51" t="str">
        <f ca="1">OFFSET(Gisborne_Reference,14,2)</f>
        <v>Light Vehicle Driver</v>
      </c>
      <c r="B51" s="4">
        <f ca="1">B161*'Total Trip Tables Sup #1'!B51</f>
        <v>28.776347379000001</v>
      </c>
      <c r="C51" s="4">
        <f ca="1">C161*'Total Trip Tables Sup #1'!C51-(C49*'Active Mode Assumptions'!C7*'Active Mode Assumptions'!C14/(1+'Active Mode Assumptions'!C7))-(C50*'Active Mode Assumptions'!C16*'Active Mode Assumptions'!C23/(1+'Active Mode Assumptions'!C16))</f>
        <v>29.99655443636232</v>
      </c>
      <c r="D51" s="4">
        <f ca="1">D161*'Total Trip Tables Sup #1'!D51-(D49*'Active Mode Assumptions'!D7*'Active Mode Assumptions'!D14/(1+'Active Mode Assumptions'!D7))-(D50*'Active Mode Assumptions'!D16*'Active Mode Assumptions'!D23/(1+'Active Mode Assumptions'!D16))</f>
        <v>30.340379951795207</v>
      </c>
      <c r="E51" s="4">
        <f ca="1">E161*'Total Trip Tables Sup #1'!E51-(E49*'Active Mode Assumptions'!E7*'Active Mode Assumptions'!E14/(1+'Active Mode Assumptions'!E7))-(E50*'Active Mode Assumptions'!E16*'Active Mode Assumptions'!E23/(1+'Active Mode Assumptions'!E16))</f>
        <v>30.650109004907435</v>
      </c>
      <c r="F51" s="4">
        <f ca="1">F161*'Total Trip Tables Sup #1'!F51-(F49*'Active Mode Assumptions'!F7*'Active Mode Assumptions'!F14/(1+'Active Mode Assumptions'!F7))-(F50*'Active Mode Assumptions'!F16*'Active Mode Assumptions'!F23/(1+'Active Mode Assumptions'!F16))</f>
        <v>30.773242643727819</v>
      </c>
      <c r="G51" s="4">
        <f ca="1">G161*'Total Trip Tables Sup #1'!G51-(G49*'Active Mode Assumptions'!G7*'Active Mode Assumptions'!G14/(1+'Active Mode Assumptions'!G7))-(G50*'Active Mode Assumptions'!G16*'Active Mode Assumptions'!G23/(1+'Active Mode Assumptions'!G16))</f>
        <v>30.474413696057503</v>
      </c>
      <c r="H51" s="4">
        <f ca="1">H161*'Total Trip Tables Sup #1'!H51-(H49*'Active Mode Assumptions'!H7*'Active Mode Assumptions'!H14/(1+'Active Mode Assumptions'!H7))-(H50*'Active Mode Assumptions'!H16*'Active Mode Assumptions'!H23/(1+'Active Mode Assumptions'!H16))</f>
        <v>30.039378474553786</v>
      </c>
      <c r="I51" s="1">
        <f ca="1">I161*'Total Trip Tables Sup #1'!I51-(I49*'Active Mode Assumptions'!I7*'Active Mode Assumptions'!I14/(1+'Active Mode Assumptions'!I7))-(I50*'Active Mode Assumptions'!I16*'Active Mode Assumptions'!I23/(1+'Active Mode Assumptions'!I16))</f>
        <v>29.759234635408461</v>
      </c>
      <c r="J51" s="1">
        <f ca="1">J161*'Total Trip Tables Sup #1'!J51-(J49*'Active Mode Assumptions'!J7*'Active Mode Assumptions'!J14/(1+'Active Mode Assumptions'!J7))-(J50*'Active Mode Assumptions'!J16*'Active Mode Assumptions'!J23/(1+'Active Mode Assumptions'!J16))</f>
        <v>29.387881067615616</v>
      </c>
      <c r="K51" s="1">
        <f ca="1">K161*'Total Trip Tables Sup #1'!K51-(K49*'Active Mode Assumptions'!K7*'Active Mode Assumptions'!K14/(1+'Active Mode Assumptions'!K7))-(K50*'Active Mode Assumptions'!K16*'Active Mode Assumptions'!K23/(1+'Active Mode Assumptions'!K16))</f>
        <v>28.958814342979224</v>
      </c>
    </row>
    <row r="52" spans="1:11" x14ac:dyDescent="0.2">
      <c r="A52" t="str">
        <f ca="1">OFFSET(Gisborne_Reference,21,2)</f>
        <v>Light Vehicle Passenger</v>
      </c>
      <c r="B52" s="4">
        <f ca="1">B162*'Total Trip Tables Sup #1'!B52</f>
        <v>18.791024854000003</v>
      </c>
      <c r="C52" s="4">
        <f ca="1">C162*'Total Trip Tables Sup #1'!C52-(C49*'Active Mode Assumptions'!C7*'Active Mode Assumptions'!C15/(1+'Active Mode Assumptions'!C7))-(C50*'Active Mode Assumptions'!C16*'Active Mode Assumptions'!C24/(1+'Active Mode Assumptions'!C16))</f>
        <v>18.692783576905349</v>
      </c>
      <c r="D52" s="4">
        <f ca="1">D162*'Total Trip Tables Sup #1'!D52-(D49*'Active Mode Assumptions'!D7*'Active Mode Assumptions'!D15/(1+'Active Mode Assumptions'!D7))-(D50*'Active Mode Assumptions'!D16*'Active Mode Assumptions'!D24/(1+'Active Mode Assumptions'!D16))</f>
        <v>18.319496249846011</v>
      </c>
      <c r="E52" s="4">
        <f ca="1">E162*'Total Trip Tables Sup #1'!E52-(E49*'Active Mode Assumptions'!E7*'Active Mode Assumptions'!E15/(1+'Active Mode Assumptions'!E7))-(E50*'Active Mode Assumptions'!E16*'Active Mode Assumptions'!E24/(1+'Active Mode Assumptions'!E16))</f>
        <v>17.908518648571125</v>
      </c>
      <c r="F52" s="4">
        <f ca="1">F162*'Total Trip Tables Sup #1'!F52-(F49*'Active Mode Assumptions'!F7*'Active Mode Assumptions'!F15/(1+'Active Mode Assumptions'!F7))-(F50*'Active Mode Assumptions'!F16*'Active Mode Assumptions'!F24/(1+'Active Mode Assumptions'!F16))</f>
        <v>17.445865310603228</v>
      </c>
      <c r="G52" s="4">
        <f ca="1">G162*'Total Trip Tables Sup #1'!G52-(G49*'Active Mode Assumptions'!G7*'Active Mode Assumptions'!G15/(1+'Active Mode Assumptions'!G7))-(G50*'Active Mode Assumptions'!G16*'Active Mode Assumptions'!G24/(1+'Active Mode Assumptions'!G16))</f>
        <v>16.849608910756295</v>
      </c>
      <c r="H52" s="4">
        <f ca="1">H162*'Total Trip Tables Sup #1'!H52-(H49*'Active Mode Assumptions'!H7*'Active Mode Assumptions'!H15/(1+'Active Mode Assumptions'!H7))-(H50*'Active Mode Assumptions'!H16*'Active Mode Assumptions'!H24/(1+'Active Mode Assumptions'!H16))</f>
        <v>16.19217049332039</v>
      </c>
      <c r="I52" s="1">
        <f ca="1">I162*'Total Trip Tables Sup #1'!I52-(I49*'Active Mode Assumptions'!I7*'Active Mode Assumptions'!I15/(1+'Active Mode Assumptions'!I7))-(I50*'Active Mode Assumptions'!I16*'Active Mode Assumptions'!I24/(1+'Active Mode Assumptions'!I16))</f>
        <v>16.043608249855481</v>
      </c>
      <c r="J52" s="1">
        <f ca="1">J162*'Total Trip Tables Sup #1'!J52-(J49*'Active Mode Assumptions'!J7*'Active Mode Assumptions'!J15/(1+'Active Mode Assumptions'!J7))-(J50*'Active Mode Assumptions'!J16*'Active Mode Assumptions'!J24/(1+'Active Mode Assumptions'!J16))</f>
        <v>15.845766146055414</v>
      </c>
      <c r="K52" s="1">
        <f ca="1">K162*'Total Trip Tables Sup #1'!K52-(K49*'Active Mode Assumptions'!K7*'Active Mode Assumptions'!K15/(1+'Active Mode Assumptions'!K7))-(K50*'Active Mode Assumptions'!K16*'Active Mode Assumptions'!K24/(1+'Active Mode Assumptions'!K16))</f>
        <v>15.616686517546947</v>
      </c>
    </row>
    <row r="53" spans="1:11" x14ac:dyDescent="0.2">
      <c r="A53" t="str">
        <f ca="1">OFFSET(Gisborne_Reference,28,2)</f>
        <v>Taxi/Vehicle Share</v>
      </c>
      <c r="B53" s="4">
        <f ca="1">B163*'Total Trip Tables Sup #1'!B53</f>
        <v>2.27015811E-2</v>
      </c>
      <c r="C53" s="4">
        <f ca="1">C163*'Total Trip Tables Sup #1'!C53</f>
        <v>2.4707261574929248E-2</v>
      </c>
      <c r="D53" s="4">
        <f ca="1">D163*'Total Trip Tables Sup #1'!D53</f>
        <v>2.6018597868601837E-2</v>
      </c>
      <c r="E53" s="4">
        <f ca="1">E163*'Total Trip Tables Sup #1'!E53</f>
        <v>2.6844672311783373E-2</v>
      </c>
      <c r="F53" s="4">
        <f ca="1">F163*'Total Trip Tables Sup #1'!F53</f>
        <v>2.7324970654217417E-2</v>
      </c>
      <c r="G53" s="4">
        <f ca="1">G163*'Total Trip Tables Sup #1'!G53</f>
        <v>2.7294192471290429E-2</v>
      </c>
      <c r="H53" s="4">
        <f ca="1">H163*'Total Trip Tables Sup #1'!H53</f>
        <v>2.7166585551084067E-2</v>
      </c>
      <c r="I53" s="1">
        <f ca="1">I163*'Total Trip Tables Sup #1'!I53</f>
        <v>2.687113178363422E-2</v>
      </c>
      <c r="J53" s="1">
        <f ca="1">J163*'Total Trip Tables Sup #1'!J53</f>
        <v>2.6493408534643017E-2</v>
      </c>
      <c r="K53" s="1">
        <f ca="1">K163*'Total Trip Tables Sup #1'!K53</f>
        <v>2.6064044137520646E-2</v>
      </c>
    </row>
    <row r="54" spans="1:11" x14ac:dyDescent="0.2">
      <c r="A54" t="str">
        <f ca="1">OFFSET(Gisborne_Reference,35,2)</f>
        <v>Motorcyclist</v>
      </c>
      <c r="B54" s="4">
        <f ca="1">B164*'Total Trip Tables Sup #1'!B54</f>
        <v>0.20072163900000001</v>
      </c>
      <c r="C54" s="4">
        <f ca="1">C164*'Total Trip Tables Sup #1'!C54</f>
        <v>0.20457890096966022</v>
      </c>
      <c r="D54" s="4">
        <f ca="1">D164*'Total Trip Tables Sup #1'!D54</f>
        <v>0.20364731545186615</v>
      </c>
      <c r="E54" s="4">
        <f ca="1">E164*'Total Trip Tables Sup #1'!E54</f>
        <v>0.20213303159303761</v>
      </c>
      <c r="F54" s="4">
        <f ca="1">F164*'Total Trip Tables Sup #1'!F54</f>
        <v>0.19918319976991108</v>
      </c>
      <c r="G54" s="4">
        <f ca="1">G164*'Total Trip Tables Sup #1'!G54</f>
        <v>0.192516436852501</v>
      </c>
      <c r="H54" s="4">
        <f ca="1">H164*'Total Trip Tables Sup #1'!H54</f>
        <v>0.18487245374168348</v>
      </c>
      <c r="I54" s="1">
        <f ca="1">I164*'Total Trip Tables Sup #1'!I54</f>
        <v>0.18361573101011966</v>
      </c>
      <c r="J54" s="1">
        <f ca="1">J164*'Total Trip Tables Sup #1'!J54</f>
        <v>0.18178613339963648</v>
      </c>
      <c r="K54" s="1">
        <f ca="1">K164*'Total Trip Tables Sup #1'!K54</f>
        <v>0.17958674417233042</v>
      </c>
    </row>
    <row r="55" spans="1:11" x14ac:dyDescent="0.2">
      <c r="A55" t="str">
        <f ca="1">OFFSET(Gisborne_Reference,42,2)</f>
        <v>Local Train</v>
      </c>
      <c r="B55" s="4">
        <f ca="1">B165*'Total Trip Tables Sup #1'!B55</f>
        <v>0</v>
      </c>
      <c r="C55" s="4">
        <f ca="1">C165*'Total Trip Tables Sup #1'!C55</f>
        <v>0</v>
      </c>
      <c r="D55" s="4">
        <f ca="1">D165*'Total Trip Tables Sup #1'!D55</f>
        <v>0</v>
      </c>
      <c r="E55" s="4">
        <f ca="1">E165*'Total Trip Tables Sup #1'!E55</f>
        <v>0</v>
      </c>
      <c r="F55" s="4">
        <f ca="1">F165*'Total Trip Tables Sup #1'!F55</f>
        <v>0</v>
      </c>
      <c r="G55" s="4">
        <f ca="1">G165*'Total Trip Tables Sup #1'!G55</f>
        <v>0</v>
      </c>
      <c r="H55" s="4">
        <f ca="1">H165*'Total Trip Tables Sup #1'!H55</f>
        <v>0</v>
      </c>
      <c r="I55" s="1">
        <f ca="1">I165*'Total Trip Tables Sup #1'!I55</f>
        <v>0</v>
      </c>
      <c r="J55" s="1">
        <f ca="1">J165*'Total Trip Tables Sup #1'!J55</f>
        <v>0</v>
      </c>
      <c r="K55" s="1">
        <f ca="1">K165*'Total Trip Tables Sup #1'!K55</f>
        <v>0</v>
      </c>
    </row>
    <row r="56" spans="1:11" x14ac:dyDescent="0.2">
      <c r="A56" t="str">
        <f ca="1">OFFSET(Gisborne_Reference,49,2)</f>
        <v>Local Bus</v>
      </c>
      <c r="B56" s="4">
        <f ca="1">B166*'Total Trip Tables Sup #1'!B56</f>
        <v>0.39415976190000002</v>
      </c>
      <c r="C56" s="4">
        <f ca="1">C166*'Total Trip Tables Sup #1'!C56</f>
        <v>0.37755921734233144</v>
      </c>
      <c r="D56" s="4">
        <f ca="1">D166*'Total Trip Tables Sup #1'!D56</f>
        <v>0.36466492543932588</v>
      </c>
      <c r="E56" s="4">
        <f ca="1">E166*'Total Trip Tables Sup #1'!E56</f>
        <v>0.35644488502285671</v>
      </c>
      <c r="F56" s="4">
        <f ca="1">F166*'Total Trip Tables Sup #1'!F56</f>
        <v>0.3436963089857934</v>
      </c>
      <c r="G56" s="4">
        <f ca="1">G166*'Total Trip Tables Sup #1'!G56</f>
        <v>0.33194591769832343</v>
      </c>
      <c r="H56" s="4">
        <f ca="1">H166*'Total Trip Tables Sup #1'!H56</f>
        <v>0.31892044382099211</v>
      </c>
      <c r="I56" s="1">
        <f ca="1">I166*'Total Trip Tables Sup #1'!I56</f>
        <v>0.31611810901372395</v>
      </c>
      <c r="J56" s="1">
        <f ca="1">J166*'Total Trip Tables Sup #1'!J56</f>
        <v>0.31233711019144278</v>
      </c>
      <c r="K56" s="1">
        <f ca="1">K166*'Total Trip Tables Sup #1'!K56</f>
        <v>0.30793212046873414</v>
      </c>
    </row>
    <row r="57" spans="1:11" x14ac:dyDescent="0.2">
      <c r="A57" t="str">
        <f ca="1">OFFSET(Gisborne_Reference,56,2)</f>
        <v>Local Ferry</v>
      </c>
      <c r="B57" s="4">
        <f ca="1">B167*'Total Trip Tables Sup #1'!B57</f>
        <v>1.5651153399999999E-2</v>
      </c>
      <c r="C57" s="4">
        <f ca="1">C167*'Total Trip Tables Sup #1'!C57</f>
        <v>1.655677116741416E-2</v>
      </c>
      <c r="D57" s="4">
        <f ca="1">D167*'Total Trip Tables Sup #1'!D57</f>
        <v>1.7086834297665356E-2</v>
      </c>
      <c r="E57" s="4">
        <f ca="1">E167*'Total Trip Tables Sup #1'!E57</f>
        <v>1.7133864670384562E-2</v>
      </c>
      <c r="F57" s="4">
        <f ca="1">F167*'Total Trip Tables Sup #1'!F57</f>
        <v>1.693321624089112E-2</v>
      </c>
      <c r="G57" s="4">
        <f ca="1">G167*'Total Trip Tables Sup #1'!G57</f>
        <v>1.7023197906326181E-2</v>
      </c>
      <c r="H57" s="4">
        <f ca="1">H167*'Total Trip Tables Sup #1'!H57</f>
        <v>1.6962378763369527E-2</v>
      </c>
      <c r="I57" s="1">
        <f ca="1">I167*'Total Trip Tables Sup #1'!I57</f>
        <v>1.6679719155949575E-2</v>
      </c>
      <c r="J57" s="1">
        <f ca="1">J167*'Total Trip Tables Sup #1'!J57</f>
        <v>1.6350739256710142E-2</v>
      </c>
      <c r="K57" s="1">
        <f ca="1">K167*'Total Trip Tables Sup #1'!K57</f>
        <v>1.5994982467370807E-2</v>
      </c>
    </row>
    <row r="58" spans="1:11" x14ac:dyDescent="0.2">
      <c r="A58" t="str">
        <f ca="1">OFFSET(Gisborne_Reference,63,2)</f>
        <v>Other Household Travel</v>
      </c>
      <c r="B58" s="4">
        <f ca="1">B168*'Total Trip Tables Sup #1'!B58</f>
        <v>3.13358953E-2</v>
      </c>
      <c r="C58" s="4">
        <f ca="1">C168*'Total Trip Tables Sup #1'!C58</f>
        <v>3.2249490534155358E-2</v>
      </c>
      <c r="D58" s="4">
        <f ca="1">D168*'Total Trip Tables Sup #1'!D58</f>
        <v>3.3179157888385172E-2</v>
      </c>
      <c r="E58" s="4">
        <f ca="1">E168*'Total Trip Tables Sup #1'!E58</f>
        <v>3.3776101370946096E-2</v>
      </c>
      <c r="F58" s="4">
        <f ca="1">F168*'Total Trip Tables Sup #1'!F58</f>
        <v>3.4039364613591264E-2</v>
      </c>
      <c r="G58" s="4">
        <f ca="1">G168*'Total Trip Tables Sup #1'!G58</f>
        <v>3.3938701689190429E-2</v>
      </c>
      <c r="H58" s="4">
        <f ca="1">H168*'Total Trip Tables Sup #1'!H58</f>
        <v>3.336811023085362E-2</v>
      </c>
      <c r="I58" s="1">
        <f ca="1">I168*'Total Trip Tables Sup #1'!I58</f>
        <v>3.3158530410369924E-2</v>
      </c>
      <c r="J58" s="1">
        <f ca="1">J168*'Total Trip Tables Sup #1'!J58</f>
        <v>3.2846133790230957E-2</v>
      </c>
      <c r="K58" s="1">
        <f ca="1">K168*'Total Trip Tables Sup #1'!K58</f>
        <v>3.2467474391361884E-2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B159*'Total Trip Tables Sup #1'!B60</f>
        <v>26.538300281000001</v>
      </c>
      <c r="C60" s="4">
        <f ca="1">C159*'Total Trip Tables Sup #1'!C60*(1+'Active Mode Assumptions'!C7)</f>
        <v>27.983212392020185</v>
      </c>
      <c r="D60" s="4">
        <f ca="1">D159*'Total Trip Tables Sup #1'!D60*(1+'Active Mode Assumptions'!D7)</f>
        <v>29.860492288124721</v>
      </c>
      <c r="E60" s="4">
        <f ca="1">E159*'Total Trip Tables Sup #1'!E60*(1+'Active Mode Assumptions'!E7)</f>
        <v>31.310564030432229</v>
      </c>
      <c r="F60" s="4">
        <f ca="1">F159*'Total Trip Tables Sup #1'!F60*(1+'Active Mode Assumptions'!F7)</f>
        <v>32.44819772535309</v>
      </c>
      <c r="G60" s="4">
        <f ca="1">G159*'Total Trip Tables Sup #1'!G60*(1+'Active Mode Assumptions'!G7)</f>
        <v>33.397499103122733</v>
      </c>
      <c r="H60" s="4">
        <f ca="1">H159*'Total Trip Tables Sup #1'!H60*(1+'Active Mode Assumptions'!H7)</f>
        <v>34.219964039156551</v>
      </c>
      <c r="I60" s="1">
        <f ca="1">I159*'Total Trip Tables Sup #1'!I60*(1+'Active Mode Assumptions'!I7)</f>
        <v>34.612191543099428</v>
      </c>
      <c r="J60" s="1">
        <f ca="1">J159*'Total Trip Tables Sup #1'!J60*(1+'Active Mode Assumptions'!J7)</f>
        <v>34.919693552658046</v>
      </c>
      <c r="K60" s="1">
        <f ca="1">K159*'Total Trip Tables Sup #1'!K60*(1+'Active Mode Assumptions'!K7)</f>
        <v>35.1767036837538</v>
      </c>
    </row>
    <row r="61" spans="1:11" x14ac:dyDescent="0.2">
      <c r="A61" t="str">
        <f ca="1">OFFSET(Hawkes_Bay_Reference,7,2)</f>
        <v>Cyclist</v>
      </c>
      <c r="B61" s="4">
        <f ca="1">B160*'Total Trip Tables Sup #1'!B61</f>
        <v>3.1819840940000002</v>
      </c>
      <c r="C61" s="4">
        <f ca="1">C160*'Total Trip Tables Sup #1'!C61*(1+'Active Mode Assumptions'!C16)</f>
        <v>3.3551542398548229</v>
      </c>
      <c r="D61" s="4">
        <f ca="1">D160*'Total Trip Tables Sup #1'!D61*(1+'Active Mode Assumptions'!D16)</f>
        <v>4.1051607831499641</v>
      </c>
      <c r="E61" s="4">
        <f ca="1">E160*'Total Trip Tables Sup #1'!E61*(1+'Active Mode Assumptions'!E16)</f>
        <v>4.7947982776273079</v>
      </c>
      <c r="F61" s="4">
        <f ca="1">F160*'Total Trip Tables Sup #1'!F61*(1+'Active Mode Assumptions'!F16)</f>
        <v>5.4750733454038114</v>
      </c>
      <c r="G61" s="4">
        <f ca="1">G160*'Total Trip Tables Sup #1'!G61*(1+'Active Mode Assumptions'!G16)</f>
        <v>6.1408986213345385</v>
      </c>
      <c r="H61" s="4">
        <f ca="1">H160*'Total Trip Tables Sup #1'!H61*(1+'Active Mode Assumptions'!H16)</f>
        <v>6.7983631709283063</v>
      </c>
      <c r="I61" s="1">
        <f ca="1">I160*'Total Trip Tables Sup #1'!I61*(1+'Active Mode Assumptions'!I16)</f>
        <v>6.8857306465318704</v>
      </c>
      <c r="J61" s="1">
        <f ca="1">J160*'Total Trip Tables Sup #1'!J61*(1+'Active Mode Assumptions'!J16)</f>
        <v>6.9564547044127787</v>
      </c>
      <c r="K61" s="1">
        <f ca="1">K160*'Total Trip Tables Sup #1'!K61*(1+'Active Mode Assumptions'!K16)</f>
        <v>7.0173017198750918</v>
      </c>
    </row>
    <row r="62" spans="1:11" x14ac:dyDescent="0.2">
      <c r="A62" t="str">
        <f ca="1">OFFSET(Hawkes_Bay_Reference,14,2)</f>
        <v>Light Vehicle Driver</v>
      </c>
      <c r="B62" s="4">
        <f ca="1">B161*'Total Trip Tables Sup #1'!B62</f>
        <v>111.16933473</v>
      </c>
      <c r="C62" s="4">
        <f ca="1">C161*'Total Trip Tables Sup #1'!C62-(C60*'Active Mode Assumptions'!C7*'Active Mode Assumptions'!C14/(1+'Active Mode Assumptions'!C7))-(C61*'Active Mode Assumptions'!C16*'Active Mode Assumptions'!C23/(1+'Active Mode Assumptions'!C16))</f>
        <v>120.28330944336443</v>
      </c>
      <c r="D62" s="4">
        <f ca="1">D161*'Total Trip Tables Sup #1'!D62-(D60*'Active Mode Assumptions'!D7*'Active Mode Assumptions'!D14/(1+'Active Mode Assumptions'!D7))-(D61*'Active Mode Assumptions'!D16*'Active Mode Assumptions'!D23/(1+'Active Mode Assumptions'!D16))</f>
        <v>125.00724019591672</v>
      </c>
      <c r="E62" s="4">
        <f ca="1">E161*'Total Trip Tables Sup #1'!E62-(E60*'Active Mode Assumptions'!E7*'Active Mode Assumptions'!E14/(1+'Active Mode Assumptions'!E7))-(E61*'Active Mode Assumptions'!E16*'Active Mode Assumptions'!E23/(1+'Active Mode Assumptions'!E16))</f>
        <v>129.11785764780905</v>
      </c>
      <c r="F62" s="4">
        <f ca="1">F161*'Total Trip Tables Sup #1'!F62-(F60*'Active Mode Assumptions'!F7*'Active Mode Assumptions'!F14/(1+'Active Mode Assumptions'!F7))-(F61*'Active Mode Assumptions'!F16*'Active Mode Assumptions'!F23/(1+'Active Mode Assumptions'!F16))</f>
        <v>132.43764591791577</v>
      </c>
      <c r="G62" s="4">
        <f ca="1">G161*'Total Trip Tables Sup #1'!G62-(G60*'Active Mode Assumptions'!G7*'Active Mode Assumptions'!G14/(1+'Active Mode Assumptions'!G7))-(G61*'Active Mode Assumptions'!G16*'Active Mode Assumptions'!G23/(1+'Active Mode Assumptions'!G16))</f>
        <v>134.19694781183762</v>
      </c>
      <c r="H62" s="4">
        <f ca="1">H161*'Total Trip Tables Sup #1'!H62-(H60*'Active Mode Assumptions'!H7*'Active Mode Assumptions'!H14/(1+'Active Mode Assumptions'!H7))-(H61*'Active Mode Assumptions'!H16*'Active Mode Assumptions'!H23/(1+'Active Mode Assumptions'!H16))</f>
        <v>135.39439577095624</v>
      </c>
      <c r="I62" s="1">
        <f ca="1">I161*'Total Trip Tables Sup #1'!I62-(I60*'Active Mode Assumptions'!I7*'Active Mode Assumptions'!I14/(1+'Active Mode Assumptions'!I7))-(I61*'Active Mode Assumptions'!I16*'Active Mode Assumptions'!I23/(1+'Active Mode Assumptions'!I16))</f>
        <v>137.08977193075884</v>
      </c>
      <c r="J62" s="1">
        <f ca="1">J161*'Total Trip Tables Sup #1'!J62-(J60*'Active Mode Assumptions'!J7*'Active Mode Assumptions'!J14/(1+'Active Mode Assumptions'!J7))-(J61*'Active Mode Assumptions'!J16*'Active Mode Assumptions'!J23/(1+'Active Mode Assumptions'!J16))</f>
        <v>138.45021974215879</v>
      </c>
      <c r="K62" s="1">
        <f ca="1">K161*'Total Trip Tables Sup #1'!K62-(K60*'Active Mode Assumptions'!K7*'Active Mode Assumptions'!K14/(1+'Active Mode Assumptions'!K7))-(K61*'Active Mode Assumptions'!K16*'Active Mode Assumptions'!K23/(1+'Active Mode Assumptions'!K16))</f>
        <v>139.6105656162961</v>
      </c>
    </row>
    <row r="63" spans="1:11" x14ac:dyDescent="0.2">
      <c r="A63" t="str">
        <f ca="1">OFFSET(Hawkes_Bay_Reference,21,2)</f>
        <v>Light Vehicle Passenger</v>
      </c>
      <c r="B63" s="4">
        <f ca="1">B162*'Total Trip Tables Sup #1'!B63</f>
        <v>58.497679762000011</v>
      </c>
      <c r="C63" s="4">
        <f ca="1">C162*'Total Trip Tables Sup #1'!C63-(C60*'Active Mode Assumptions'!C7*'Active Mode Assumptions'!C15/(1+'Active Mode Assumptions'!C7))-(C61*'Active Mode Assumptions'!C16*'Active Mode Assumptions'!C24/(1+'Active Mode Assumptions'!C16))</f>
        <v>60.401372710488189</v>
      </c>
      <c r="D63" s="4">
        <f ca="1">D162*'Total Trip Tables Sup #1'!D63-(D60*'Active Mode Assumptions'!D7*'Active Mode Assumptions'!D15/(1+'Active Mode Assumptions'!D7))-(D61*'Active Mode Assumptions'!D16*'Active Mode Assumptions'!D24/(1+'Active Mode Assumptions'!D16))</f>
        <v>60.828954756767232</v>
      </c>
      <c r="E63" s="4">
        <f ca="1">E162*'Total Trip Tables Sup #1'!E63-(E60*'Active Mode Assumptions'!E7*'Active Mode Assumptions'!E15/(1+'Active Mode Assumptions'!E7))-(E61*'Active Mode Assumptions'!E16*'Active Mode Assumptions'!E24/(1+'Active Mode Assumptions'!E16))</f>
        <v>60.81497302449484</v>
      </c>
      <c r="F63" s="4">
        <f ca="1">F162*'Total Trip Tables Sup #1'!F63-(F60*'Active Mode Assumptions'!F7*'Active Mode Assumptions'!F15/(1+'Active Mode Assumptions'!F7))-(F61*'Active Mode Assumptions'!F16*'Active Mode Assumptions'!F24/(1+'Active Mode Assumptions'!F16))</f>
        <v>60.547684853228716</v>
      </c>
      <c r="G63" s="4">
        <f ca="1">G162*'Total Trip Tables Sup #1'!G63-(G60*'Active Mode Assumptions'!G7*'Active Mode Assumptions'!G15/(1+'Active Mode Assumptions'!G7))-(G61*'Active Mode Assumptions'!G16*'Active Mode Assumptions'!G24/(1+'Active Mode Assumptions'!G16))</f>
        <v>59.864897502477049</v>
      </c>
      <c r="H63" s="4">
        <f ca="1">H162*'Total Trip Tables Sup #1'!H63-(H60*'Active Mode Assumptions'!H7*'Active Mode Assumptions'!H15/(1+'Active Mode Assumptions'!H7))-(H61*'Active Mode Assumptions'!H16*'Active Mode Assumptions'!H24/(1+'Active Mode Assumptions'!H16))</f>
        <v>58.918009211461822</v>
      </c>
      <c r="I63" s="1">
        <f ca="1">I162*'Total Trip Tables Sup #1'!I63-(I60*'Active Mode Assumptions'!I7*'Active Mode Assumptions'!I15/(1+'Active Mode Assumptions'!I7))-(I61*'Active Mode Assumptions'!I16*'Active Mode Assumptions'!I24/(1+'Active Mode Assumptions'!I16))</f>
        <v>59.664550270137994</v>
      </c>
      <c r="J63" s="1">
        <f ca="1">J162*'Total Trip Tables Sup #1'!J63-(J60*'Active Mode Assumptions'!J7*'Active Mode Assumptions'!J15/(1+'Active Mode Assumptions'!J7))-(J61*'Active Mode Assumptions'!J16*'Active Mode Assumptions'!J24/(1+'Active Mode Assumptions'!J16))</f>
        <v>60.265318382675659</v>
      </c>
      <c r="K63" s="1">
        <f ca="1">K162*'Total Trip Tables Sup #1'!K63-(K60*'Active Mode Assumptions'!K7*'Active Mode Assumptions'!K15/(1+'Active Mode Assumptions'!K7))-(K61*'Active Mode Assumptions'!K16*'Active Mode Assumptions'!K24/(1+'Active Mode Assumptions'!K16))</f>
        <v>60.778934955175465</v>
      </c>
    </row>
    <row r="64" spans="1:11" x14ac:dyDescent="0.2">
      <c r="A64" t="str">
        <f ca="1">OFFSET(Hawkes_Bay_Reference,28,2)</f>
        <v>Taxi/Vehicle Share</v>
      </c>
      <c r="B64" s="4">
        <f ca="1">B163*'Total Trip Tables Sup #1'!B64</f>
        <v>0.32519619989999998</v>
      </c>
      <c r="C64" s="4">
        <f ca="1">C163*'Total Trip Tables Sup #1'!C64</f>
        <v>0.36736571845610017</v>
      </c>
      <c r="D64" s="4">
        <f ca="1">D163*'Total Trip Tables Sup #1'!D64</f>
        <v>0.3965536086113865</v>
      </c>
      <c r="E64" s="4">
        <f ca="1">E163*'Total Trip Tables Sup #1'!E64</f>
        <v>0.41737624822903824</v>
      </c>
      <c r="F64" s="4">
        <f ca="1">F163*'Total Trip Tables Sup #1'!F64</f>
        <v>0.43308779113828394</v>
      </c>
      <c r="G64" s="4">
        <f ca="1">G163*'Total Trip Tables Sup #1'!G64</f>
        <v>0.44171050716697829</v>
      </c>
      <c r="H64" s="4">
        <f ca="1">H163*'Total Trip Tables Sup #1'!H64</f>
        <v>0.44906911983209852</v>
      </c>
      <c r="I64" s="1">
        <f ca="1">I163*'Total Trip Tables Sup #1'!I64</f>
        <v>0.45398483153195796</v>
      </c>
      <c r="J64" s="1">
        <f ca="1">J163*'Total Trip Tables Sup #1'!J64</f>
        <v>0.45776112672095942</v>
      </c>
      <c r="K64" s="1">
        <f ca="1">K163*'Total Trip Tables Sup #1'!K64</f>
        <v>0.46084887562982518</v>
      </c>
    </row>
    <row r="65" spans="1:11" x14ac:dyDescent="0.2">
      <c r="A65" t="str">
        <f ca="1">OFFSET(Hawkes_Bay_Reference,35,2)</f>
        <v>Motorcyclist</v>
      </c>
      <c r="B65" s="4">
        <f ca="1">B164*'Total Trip Tables Sup #1'!B65</f>
        <v>0.65061969099999994</v>
      </c>
      <c r="C65" s="4">
        <f ca="1">C164*'Total Trip Tables Sup #1'!C65</f>
        <v>0.68830116860649893</v>
      </c>
      <c r="D65" s="4">
        <f ca="1">D164*'Total Trip Tables Sup #1'!D65</f>
        <v>0.70232860803682728</v>
      </c>
      <c r="E65" s="4">
        <f ca="1">E164*'Total Trip Tables Sup #1'!E65</f>
        <v>0.71113256309252182</v>
      </c>
      <c r="F65" s="4">
        <f ca="1">F164*'Total Trip Tables Sup #1'!F65</f>
        <v>0.71435254076310217</v>
      </c>
      <c r="G65" s="4">
        <f ca="1">G164*'Total Trip Tables Sup #1'!G65</f>
        <v>0.70498349191763066</v>
      </c>
      <c r="H65" s="4">
        <f ca="1">H164*'Total Trip Tables Sup #1'!H65</f>
        <v>0.69150287843034508</v>
      </c>
      <c r="I65" s="1">
        <f ca="1">I164*'Total Trip Tables Sup #1'!I65</f>
        <v>0.70195443423890191</v>
      </c>
      <c r="J65" s="1">
        <f ca="1">J164*'Total Trip Tables Sup #1'!J65</f>
        <v>0.7107313581711836</v>
      </c>
      <c r="K65" s="1">
        <f ca="1">K164*'Total Trip Tables Sup #1'!K65</f>
        <v>0.71851304751854994</v>
      </c>
    </row>
    <row r="66" spans="1:11" x14ac:dyDescent="0.2">
      <c r="A66" t="str">
        <f ca="1">OFFSET(Auckland_Reference,42,2)</f>
        <v>Local Train</v>
      </c>
      <c r="B66" s="4">
        <f ca="1">B165*'Total Trip Tables Sup #1'!B66</f>
        <v>0</v>
      </c>
      <c r="C66" s="4">
        <f ca="1">C165*'Total Trip Tables Sup #1'!C66</f>
        <v>0</v>
      </c>
      <c r="D66" s="4">
        <f ca="1">D165*'Total Trip Tables Sup #1'!D66</f>
        <v>0</v>
      </c>
      <c r="E66" s="4">
        <f ca="1">E165*'Total Trip Tables Sup #1'!E66</f>
        <v>0</v>
      </c>
      <c r="F66" s="4">
        <f ca="1">F165*'Total Trip Tables Sup #1'!F66</f>
        <v>0</v>
      </c>
      <c r="G66" s="4">
        <f ca="1">G165*'Total Trip Tables Sup #1'!G66</f>
        <v>0</v>
      </c>
      <c r="H66" s="4">
        <f ca="1">H165*'Total Trip Tables Sup #1'!H66</f>
        <v>0</v>
      </c>
      <c r="I66" s="1">
        <f ca="1">I165*'Total Trip Tables Sup #1'!I66</f>
        <v>0</v>
      </c>
      <c r="J66" s="1">
        <f ca="1">J165*'Total Trip Tables Sup #1'!J66</f>
        <v>0</v>
      </c>
      <c r="K66" s="1">
        <f ca="1">K165*'Total Trip Tables Sup #1'!K66</f>
        <v>0</v>
      </c>
    </row>
    <row r="67" spans="1:11" x14ac:dyDescent="0.2">
      <c r="A67" t="str">
        <f ca="1">OFFSET(Hawkes_Bay_Reference,42,2)</f>
        <v>Local Bus</v>
      </c>
      <c r="B67" s="4">
        <f ca="1">B166*'Total Trip Tables Sup #1'!B67</f>
        <v>4.5218645043999999</v>
      </c>
      <c r="C67" s="4">
        <f ca="1">C166*'Total Trip Tables Sup #1'!C67</f>
        <v>4.4958829121817789</v>
      </c>
      <c r="D67" s="4">
        <f ca="1">D166*'Total Trip Tables Sup #1'!D67</f>
        <v>4.4511057500402833</v>
      </c>
      <c r="E67" s="4">
        <f ca="1">E166*'Total Trip Tables Sup #1'!E67</f>
        <v>4.4383128564579861</v>
      </c>
      <c r="F67" s="4">
        <f ca="1">F166*'Total Trip Tables Sup #1'!F67</f>
        <v>4.3626161876203504</v>
      </c>
      <c r="G67" s="4">
        <f ca="1">G166*'Total Trip Tables Sup #1'!G67</f>
        <v>4.3022011684901624</v>
      </c>
      <c r="H67" s="4">
        <f ca="1">H166*'Total Trip Tables Sup #1'!H67</f>
        <v>4.2219821797925441</v>
      </c>
      <c r="I67" s="1">
        <f ca="1">I166*'Total Trip Tables Sup #1'!I67</f>
        <v>4.2772108569171845</v>
      </c>
      <c r="J67" s="1">
        <f ca="1">J166*'Total Trip Tables Sup #1'!J67</f>
        <v>4.3219581996954837</v>
      </c>
      <c r="K67" s="1">
        <f ca="1">K166*'Total Trip Tables Sup #1'!K67</f>
        <v>4.3604129816218915</v>
      </c>
    </row>
    <row r="68" spans="1:11" x14ac:dyDescent="0.2">
      <c r="A68" t="str">
        <f ca="1">OFFSET(Waikato_Reference,56,2)</f>
        <v>Local Ferry</v>
      </c>
      <c r="B68" s="4">
        <f ca="1">B167*'Total Trip Tables Sup #1'!B68</f>
        <v>0</v>
      </c>
      <c r="C68" s="4">
        <f ca="1">C167*'Total Trip Tables Sup #1'!C68</f>
        <v>0</v>
      </c>
      <c r="D68" s="4">
        <f ca="1">D167*'Total Trip Tables Sup #1'!D68</f>
        <v>0</v>
      </c>
      <c r="E68" s="4">
        <f ca="1">E167*'Total Trip Tables Sup #1'!E68</f>
        <v>0</v>
      </c>
      <c r="F68" s="4">
        <f ca="1">F167*'Total Trip Tables Sup #1'!F68</f>
        <v>0</v>
      </c>
      <c r="G68" s="4">
        <f ca="1">G167*'Total Trip Tables Sup #1'!G68</f>
        <v>0</v>
      </c>
      <c r="H68" s="4">
        <f ca="1">H167*'Total Trip Tables Sup #1'!H68</f>
        <v>0</v>
      </c>
      <c r="I68" s="1">
        <f ca="1">I167*'Total Trip Tables Sup #1'!I68</f>
        <v>0</v>
      </c>
      <c r="J68" s="1">
        <f ca="1">J167*'Total Trip Tables Sup #1'!J68</f>
        <v>0</v>
      </c>
      <c r="K68" s="1">
        <f ca="1">K167*'Total Trip Tables Sup #1'!K68</f>
        <v>0</v>
      </c>
    </row>
    <row r="69" spans="1:11" x14ac:dyDescent="0.2">
      <c r="A69" t="str">
        <f ca="1">OFFSET(Hawkes_Bay_Reference,49,2)</f>
        <v>Other Household Travel</v>
      </c>
      <c r="B69" s="4">
        <f ca="1">B168*'Total Trip Tables Sup #1'!B69</f>
        <v>0.49138149730000003</v>
      </c>
      <c r="C69" s="4">
        <f ca="1">C168*'Total Trip Tables Sup #1'!C69</f>
        <v>0.5249092273687086</v>
      </c>
      <c r="D69" s="4">
        <f ca="1">D168*'Total Trip Tables Sup #1'!D69</f>
        <v>0.55356766220515274</v>
      </c>
      <c r="E69" s="4">
        <f ca="1">E168*'Total Trip Tables Sup #1'!E69</f>
        <v>0.57486580860977088</v>
      </c>
      <c r="F69" s="4">
        <f ca="1">F168*'Total Trip Tables Sup #1'!F69</f>
        <v>0.59058854225928303</v>
      </c>
      <c r="G69" s="4">
        <f ca="1">G168*'Total Trip Tables Sup #1'!G69</f>
        <v>0.6012430101234022</v>
      </c>
      <c r="H69" s="4">
        <f ca="1">H168*'Total Trip Tables Sup #1'!H69</f>
        <v>0.60380552361912021</v>
      </c>
      <c r="I69" s="1">
        <f ca="1">I168*'Total Trip Tables Sup #1'!I69</f>
        <v>0.61325061653968904</v>
      </c>
      <c r="J69" s="1">
        <f ca="1">J168*'Total Trip Tables Sup #1'!J69</f>
        <v>0.62125896096069599</v>
      </c>
      <c r="K69" s="1">
        <f ca="1">K168*'Total Trip Tables Sup #1'!K69</f>
        <v>0.62842372399622859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B159*'Total Trip Tables Sup #1'!B71</f>
        <v>23.308571313000002</v>
      </c>
      <c r="C71" s="4">
        <f ca="1">C159*'Total Trip Tables Sup #1'!C71*(1+'Active Mode Assumptions'!C7)</f>
        <v>24.799960306236791</v>
      </c>
      <c r="D71" s="4">
        <f ca="1">D159*'Total Trip Tables Sup #1'!D71*(1+'Active Mode Assumptions'!D7)</f>
        <v>26.686629839541069</v>
      </c>
      <c r="E71" s="4">
        <f ca="1">E159*'Total Trip Tables Sup #1'!E71*(1+'Active Mode Assumptions'!E7)</f>
        <v>28.185536782282284</v>
      </c>
      <c r="F71" s="4">
        <f ca="1">F159*'Total Trip Tables Sup #1'!F71*(1+'Active Mode Assumptions'!F7)</f>
        <v>29.453104611892407</v>
      </c>
      <c r="G71" s="4">
        <f ca="1">G159*'Total Trip Tables Sup #1'!G71*(1+'Active Mode Assumptions'!G7)</f>
        <v>30.579385758278523</v>
      </c>
      <c r="H71" s="4">
        <f ca="1">H159*'Total Trip Tables Sup #1'!H71*(1+'Active Mode Assumptions'!H7)</f>
        <v>31.6028170400539</v>
      </c>
      <c r="I71" s="1">
        <f ca="1">I159*'Total Trip Tables Sup #1'!I71*(1+'Active Mode Assumptions'!I7)</f>
        <v>32.234874523846031</v>
      </c>
      <c r="J71" s="1">
        <f ca="1">J159*'Total Trip Tables Sup #1'!J71*(1+'Active Mode Assumptions'!J7)</f>
        <v>32.789580997962965</v>
      </c>
      <c r="K71" s="1">
        <f ca="1">K159*'Total Trip Tables Sup #1'!K71*(1+'Active Mode Assumptions'!K7)</f>
        <v>33.297063493077964</v>
      </c>
    </row>
    <row r="72" spans="1:11" x14ac:dyDescent="0.2">
      <c r="A72" t="str">
        <f ca="1">OFFSET(Taranaki_Reference,7,2)</f>
        <v>Cyclist</v>
      </c>
      <c r="B72" s="4">
        <f ca="1">B160*'Total Trip Tables Sup #1'!B72</f>
        <v>2.1611397319000001</v>
      </c>
      <c r="C72" s="4">
        <f ca="1">C160*'Total Trip Tables Sup #1'!C72*(1+'Active Mode Assumptions'!C16)</f>
        <v>2.2993664993998495</v>
      </c>
      <c r="D72" s="4">
        <f ca="1">D160*'Total Trip Tables Sup #1'!D72*(1+'Active Mode Assumptions'!D16)</f>
        <v>2.8370646506469908</v>
      </c>
      <c r="E72" s="4">
        <f ca="1">E160*'Total Trip Tables Sup #1'!E72*(1+'Active Mode Assumptions'!E16)</f>
        <v>3.3377057930603296</v>
      </c>
      <c r="F72" s="4">
        <f ca="1">F160*'Total Trip Tables Sup #1'!F72*(1+'Active Mode Assumptions'!F16)</f>
        <v>3.8430207944314319</v>
      </c>
      <c r="G72" s="4">
        <f ca="1">G160*'Total Trip Tables Sup #1'!G72*(1+'Active Mode Assumptions'!G16)</f>
        <v>4.3479949525086488</v>
      </c>
      <c r="H72" s="4">
        <f ca="1">H160*'Total Trip Tables Sup #1'!H72*(1+'Active Mode Assumptions'!H16)</f>
        <v>4.8550410004136531</v>
      </c>
      <c r="I72" s="1">
        <f ca="1">I160*'Total Trip Tables Sup #1'!I72*(1+'Active Mode Assumptions'!I16)</f>
        <v>4.9589440518750294</v>
      </c>
      <c r="J72" s="1">
        <f ca="1">J160*'Total Trip Tables Sup #1'!J72*(1+'Active Mode Assumptions'!J16)</f>
        <v>5.051213179444054</v>
      </c>
      <c r="K72" s="1">
        <f ca="1">K160*'Total Trip Tables Sup #1'!K72*(1+'Active Mode Assumptions'!K16)</f>
        <v>5.1364520316832829</v>
      </c>
    </row>
    <row r="73" spans="1:11" x14ac:dyDescent="0.2">
      <c r="A73" t="str">
        <f ca="1">OFFSET(Taranaki_Reference,14,2)</f>
        <v>Light Vehicle Driver</v>
      </c>
      <c r="B73" s="4">
        <f ca="1">B161*'Total Trip Tables Sup #1'!B73</f>
        <v>90.801950900999998</v>
      </c>
      <c r="C73" s="4">
        <f ca="1">C161*'Total Trip Tables Sup #1'!C73-(C71*'Active Mode Assumptions'!C7*'Active Mode Assumptions'!C14/(1+'Active Mode Assumptions'!C7))-(C72*'Active Mode Assumptions'!C16*'Active Mode Assumptions'!C23/(1+'Active Mode Assumptions'!C16))</f>
        <v>99.134862318213521</v>
      </c>
      <c r="D73" s="4">
        <f ca="1">D161*'Total Trip Tables Sup #1'!D73-(D71*'Active Mode Assumptions'!D7*'Active Mode Assumptions'!D14/(1+'Active Mode Assumptions'!D7))-(D72*'Active Mode Assumptions'!D16*'Active Mode Assumptions'!D23/(1+'Active Mode Assumptions'!D16))</f>
        <v>103.902155044471</v>
      </c>
      <c r="E73" s="4">
        <f ca="1">E161*'Total Trip Tables Sup #1'!E73-(E71*'Active Mode Assumptions'!E7*'Active Mode Assumptions'!E14/(1+'Active Mode Assumptions'!E7))-(E72*'Active Mode Assumptions'!E16*'Active Mode Assumptions'!E23/(1+'Active Mode Assumptions'!E16))</f>
        <v>108.10270488132497</v>
      </c>
      <c r="F73" s="4">
        <f ca="1">F161*'Total Trip Tables Sup #1'!F73-(F71*'Active Mode Assumptions'!F7*'Active Mode Assumptions'!F14/(1+'Active Mode Assumptions'!F7))-(F72*'Active Mode Assumptions'!F16*'Active Mode Assumptions'!F23/(1+'Active Mode Assumptions'!F16))</f>
        <v>111.8120248852083</v>
      </c>
      <c r="G73" s="4">
        <f ca="1">G161*'Total Trip Tables Sup #1'!G73-(G71*'Active Mode Assumptions'!G7*'Active Mode Assumptions'!G14/(1+'Active Mode Assumptions'!G7))-(G72*'Active Mode Assumptions'!G16*'Active Mode Assumptions'!G23/(1+'Active Mode Assumptions'!G16))</f>
        <v>114.29215391107761</v>
      </c>
      <c r="H73" s="4">
        <f ca="1">H161*'Total Trip Tables Sup #1'!H73-(H71*'Active Mode Assumptions'!H7*'Active Mode Assumptions'!H14/(1+'Active Mode Assumptions'!H7))-(H72*'Active Mode Assumptions'!H16*'Active Mode Assumptions'!H23/(1+'Active Mode Assumptions'!H16))</f>
        <v>116.31329588145368</v>
      </c>
      <c r="I73" s="1">
        <f ca="1">I161*'Total Trip Tables Sup #1'!I73-(I71*'Active Mode Assumptions'!I7*'Active Mode Assumptions'!I14/(1+'Active Mode Assumptions'!I7))-(I72*'Active Mode Assumptions'!I16*'Active Mode Assumptions'!I23/(1+'Active Mode Assumptions'!I16))</f>
        <v>118.76401604885012</v>
      </c>
      <c r="J73" s="1">
        <f ca="1">J161*'Total Trip Tables Sup #1'!J73-(J71*'Active Mode Assumptions'!J7*'Active Mode Assumptions'!J14/(1+'Active Mode Assumptions'!J7))-(J72*'Active Mode Assumptions'!J16*'Active Mode Assumptions'!J23/(1+'Active Mode Assumptions'!J16))</f>
        <v>120.93236331881724</v>
      </c>
      <c r="K73" s="1">
        <f ca="1">K161*'Total Trip Tables Sup #1'!K73-(K71*'Active Mode Assumptions'!K7*'Active Mode Assumptions'!K14/(1+'Active Mode Assumptions'!K7))-(K72*'Active Mode Assumptions'!K16*'Active Mode Assumptions'!K23/(1+'Active Mode Assumptions'!K16))</f>
        <v>122.92863025618011</v>
      </c>
    </row>
    <row r="74" spans="1:11" x14ac:dyDescent="0.2">
      <c r="A74" t="str">
        <f ca="1">OFFSET(Taranaki_Reference,21,2)</f>
        <v>Light Vehicle Passenger</v>
      </c>
      <c r="B74" s="4">
        <f ca="1">B162*'Total Trip Tables Sup #1'!B74</f>
        <v>45.484067730000007</v>
      </c>
      <c r="C74" s="4">
        <f ca="1">C162*'Total Trip Tables Sup #1'!C74-(C71*'Active Mode Assumptions'!C7*'Active Mode Assumptions'!C15/(1+'Active Mode Assumptions'!C7))-(C72*'Active Mode Assumptions'!C16*'Active Mode Assumptions'!C24/(1+'Active Mode Assumptions'!C16))</f>
        <v>47.389085936864362</v>
      </c>
      <c r="D74" s="4">
        <f ca="1">D162*'Total Trip Tables Sup #1'!D74-(D71*'Active Mode Assumptions'!D7*'Active Mode Assumptions'!D15/(1+'Active Mode Assumptions'!D7))-(D72*'Active Mode Assumptions'!D16*'Active Mode Assumptions'!D24/(1+'Active Mode Assumptions'!D16))</f>
        <v>48.114285399056179</v>
      </c>
      <c r="E74" s="4">
        <f ca="1">E162*'Total Trip Tables Sup #1'!E74-(E71*'Active Mode Assumptions'!E7*'Active Mode Assumptions'!E15/(1+'Active Mode Assumptions'!E7))-(E72*'Active Mode Assumptions'!E16*'Active Mode Assumptions'!E24/(1+'Active Mode Assumptions'!E16))</f>
        <v>48.439178274674788</v>
      </c>
      <c r="F74" s="4">
        <f ca="1">F162*'Total Trip Tables Sup #1'!F74-(F71*'Active Mode Assumptions'!F7*'Active Mode Assumptions'!F15/(1+'Active Mode Assumptions'!F7))-(F72*'Active Mode Assumptions'!F16*'Active Mode Assumptions'!F24/(1+'Active Mode Assumptions'!F16))</f>
        <v>48.615396450925701</v>
      </c>
      <c r="G74" s="4">
        <f ca="1">G162*'Total Trip Tables Sup #1'!G74-(G71*'Active Mode Assumptions'!G7*'Active Mode Assumptions'!G15/(1+'Active Mode Assumptions'!G7))-(G72*'Active Mode Assumptions'!G16*'Active Mode Assumptions'!G24/(1+'Active Mode Assumptions'!G16))</f>
        <v>48.473946101315668</v>
      </c>
      <c r="H74" s="4">
        <f ca="1">H162*'Total Trip Tables Sup #1'!H74-(H71*'Active Mode Assumptions'!H7*'Active Mode Assumptions'!H15/(1+'Active Mode Assumptions'!H7))-(H72*'Active Mode Assumptions'!H16*'Active Mode Assumptions'!H24/(1+'Active Mode Assumptions'!H16))</f>
        <v>48.106348895698368</v>
      </c>
      <c r="I74" s="1">
        <f ca="1">I162*'Total Trip Tables Sup #1'!I74-(I71*'Active Mode Assumptions'!I7*'Active Mode Assumptions'!I15/(1+'Active Mode Assumptions'!I7))-(I72*'Active Mode Assumptions'!I16*'Active Mode Assumptions'!I24/(1+'Active Mode Assumptions'!I16))</f>
        <v>49.127324302321064</v>
      </c>
      <c r="J74" s="1">
        <f ca="1">J162*'Total Trip Tables Sup #1'!J74-(J71*'Active Mode Assumptions'!J7*'Active Mode Assumptions'!J15/(1+'Active Mode Assumptions'!J7))-(J72*'Active Mode Assumptions'!J16*'Active Mode Assumptions'!J24/(1+'Active Mode Assumptions'!J16))</f>
        <v>50.031613543875821</v>
      </c>
      <c r="K74" s="1">
        <f ca="1">K162*'Total Trip Tables Sup #1'!K74-(K71*'Active Mode Assumptions'!K7*'Active Mode Assumptions'!K15/(1+'Active Mode Assumptions'!K7))-(K72*'Active Mode Assumptions'!K16*'Active Mode Assumptions'!K24/(1+'Active Mode Assumptions'!K16))</f>
        <v>50.864787560672916</v>
      </c>
    </row>
    <row r="75" spans="1:11" x14ac:dyDescent="0.2">
      <c r="A75" t="str">
        <f ca="1">OFFSET(Taranaki_Reference,28,2)</f>
        <v>Taxi/Vehicle Share</v>
      </c>
      <c r="B75" s="4">
        <f ca="1">B163*'Total Trip Tables Sup #1'!B75</f>
        <v>0.56194422089999996</v>
      </c>
      <c r="C75" s="4">
        <f ca="1">C163*'Total Trip Tables Sup #1'!C75</f>
        <v>0.64055620168329497</v>
      </c>
      <c r="D75" s="4">
        <f ca="1">D163*'Total Trip Tables Sup #1'!D75</f>
        <v>0.69727464185002308</v>
      </c>
      <c r="E75" s="4">
        <f ca="1">E163*'Total Trip Tables Sup #1'!E75</f>
        <v>0.73921087357686022</v>
      </c>
      <c r="F75" s="4">
        <f ca="1">F163*'Total Trip Tables Sup #1'!F75</f>
        <v>0.77343111171170664</v>
      </c>
      <c r="G75" s="4">
        <f ca="1">G163*'Total Trip Tables Sup #1'!G75</f>
        <v>0.79571535262609749</v>
      </c>
      <c r="H75" s="4">
        <f ca="1">H163*'Total Trip Tables Sup #1'!H75</f>
        <v>0.81595204752239936</v>
      </c>
      <c r="I75" s="1">
        <f ca="1">I163*'Total Trip Tables Sup #1'!I75</f>
        <v>0.83184694262014602</v>
      </c>
      <c r="J75" s="1">
        <f ca="1">J163*'Total Trip Tables Sup #1'!J75</f>
        <v>0.84568679496070132</v>
      </c>
      <c r="K75" s="1">
        <f ca="1">K163*'Total Trip Tables Sup #1'!K75</f>
        <v>0.85825140423917623</v>
      </c>
    </row>
    <row r="76" spans="1:11" x14ac:dyDescent="0.2">
      <c r="A76" t="str">
        <f ca="1">OFFSET(Taranaki_Reference,35,2)</f>
        <v>Motorcyclist</v>
      </c>
      <c r="B76" s="4">
        <f ca="1">B164*'Total Trip Tables Sup #1'!B76</f>
        <v>1.091812341</v>
      </c>
      <c r="C76" s="4">
        <f ca="1">C164*'Total Trip Tables Sup #1'!C76</f>
        <v>1.165494340707488</v>
      </c>
      <c r="D76" s="4">
        <f ca="1">D164*'Total Trip Tables Sup #1'!D76</f>
        <v>1.1992655891819577</v>
      </c>
      <c r="E76" s="4">
        <f ca="1">E164*'Total Trip Tables Sup #1'!E76</f>
        <v>1.2231063754974314</v>
      </c>
      <c r="F76" s="4">
        <f ca="1">F164*'Total Trip Tables Sup #1'!F76</f>
        <v>1.2388859826299214</v>
      </c>
      <c r="G76" s="4">
        <f ca="1">G164*'Total Trip Tables Sup #1'!G76</f>
        <v>1.2333092917482427</v>
      </c>
      <c r="H76" s="4">
        <f ca="1">H164*'Total Trip Tables Sup #1'!H76</f>
        <v>1.2201647815421526</v>
      </c>
      <c r="I76" s="1">
        <f ca="1">I164*'Total Trip Tables Sup #1'!I76</f>
        <v>1.2490621626149194</v>
      </c>
      <c r="J76" s="1">
        <f ca="1">J164*'Total Trip Tables Sup #1'!J76</f>
        <v>1.2751144456790118</v>
      </c>
      <c r="K76" s="1">
        <f ca="1">K164*'Total Trip Tables Sup #1'!K76</f>
        <v>1.2994623409387991</v>
      </c>
    </row>
    <row r="77" spans="1:11" x14ac:dyDescent="0.2">
      <c r="A77" t="str">
        <f ca="1">OFFSET(Taranaki_Reference,42,2)</f>
        <v>Local Train</v>
      </c>
      <c r="B77" s="4">
        <f ca="1">B165*'Total Trip Tables Sup #1'!B77</f>
        <v>0</v>
      </c>
      <c r="C77" s="4">
        <f ca="1">C165*'Total Trip Tables Sup #1'!C77</f>
        <v>0</v>
      </c>
      <c r="D77" s="4">
        <f ca="1">D165*'Total Trip Tables Sup #1'!D77</f>
        <v>0</v>
      </c>
      <c r="E77" s="4">
        <f ca="1">E165*'Total Trip Tables Sup #1'!E77</f>
        <v>0</v>
      </c>
      <c r="F77" s="4">
        <f ca="1">F165*'Total Trip Tables Sup #1'!F77</f>
        <v>0</v>
      </c>
      <c r="G77" s="4">
        <f ca="1">G165*'Total Trip Tables Sup #1'!G77</f>
        <v>0</v>
      </c>
      <c r="H77" s="4">
        <f ca="1">H165*'Total Trip Tables Sup #1'!H77</f>
        <v>0</v>
      </c>
      <c r="I77" s="1">
        <f ca="1">I165*'Total Trip Tables Sup #1'!I77</f>
        <v>0</v>
      </c>
      <c r="J77" s="1">
        <f ca="1">J165*'Total Trip Tables Sup #1'!J77</f>
        <v>0</v>
      </c>
      <c r="K77" s="1">
        <f ca="1">K165*'Total Trip Tables Sup #1'!K77</f>
        <v>0</v>
      </c>
    </row>
    <row r="78" spans="1:11" x14ac:dyDescent="0.2">
      <c r="A78" t="str">
        <f ca="1">OFFSET(Taranaki_Reference,49,2)</f>
        <v>Local Bus</v>
      </c>
      <c r="B78" s="4">
        <f ca="1">B166*'Total Trip Tables Sup #1'!B78</f>
        <v>1.2787514622</v>
      </c>
      <c r="C78" s="4">
        <f ca="1">C166*'Total Trip Tables Sup #1'!C78</f>
        <v>1.2829048797980893</v>
      </c>
      <c r="D78" s="4">
        <f ca="1">D166*'Total Trip Tables Sup #1'!D78</f>
        <v>1.2808277512549544</v>
      </c>
      <c r="E78" s="4">
        <f ca="1">E166*'Total Trip Tables Sup #1'!E78</f>
        <v>1.2864099168769383</v>
      </c>
      <c r="F78" s="4">
        <f ca="1">F166*'Total Trip Tables Sup #1'!F78</f>
        <v>1.2750098931464833</v>
      </c>
      <c r="G78" s="4">
        <f ca="1">G166*'Total Trip Tables Sup #1'!G78</f>
        <v>1.2683279776044551</v>
      </c>
      <c r="H78" s="4">
        <f ca="1">H166*'Total Trip Tables Sup #1'!H78</f>
        <v>1.2554189846942045</v>
      </c>
      <c r="I78" s="1">
        <f ca="1">I166*'Total Trip Tables Sup #1'!I78</f>
        <v>1.2825774324539216</v>
      </c>
      <c r="J78" s="1">
        <f ca="1">J166*'Total Trip Tables Sup #1'!J78</f>
        <v>1.3066884532991654</v>
      </c>
      <c r="K78" s="1">
        <f ca="1">K166*'Total Trip Tables Sup #1'!K78</f>
        <v>1.3289372219168409</v>
      </c>
    </row>
    <row r="79" spans="1:11" x14ac:dyDescent="0.2">
      <c r="A79" t="str">
        <f ca="1">OFFSET(Waikato_Reference,56,2)</f>
        <v>Local Ferry</v>
      </c>
      <c r="B79" s="4">
        <f ca="1">B167*'Total Trip Tables Sup #1'!B79</f>
        <v>0</v>
      </c>
      <c r="C79" s="4">
        <f ca="1">C167*'Total Trip Tables Sup #1'!C79</f>
        <v>0</v>
      </c>
      <c r="D79" s="4">
        <f ca="1">D167*'Total Trip Tables Sup #1'!D79</f>
        <v>0</v>
      </c>
      <c r="E79" s="4">
        <f ca="1">E167*'Total Trip Tables Sup #1'!E79</f>
        <v>0</v>
      </c>
      <c r="F79" s="4">
        <f ca="1">F167*'Total Trip Tables Sup #1'!F79</f>
        <v>0</v>
      </c>
      <c r="G79" s="4">
        <f ca="1">G167*'Total Trip Tables Sup #1'!G79</f>
        <v>0</v>
      </c>
      <c r="H79" s="4">
        <f ca="1">H167*'Total Trip Tables Sup #1'!H79</f>
        <v>0</v>
      </c>
      <c r="I79" s="1">
        <f ca="1">I167*'Total Trip Tables Sup #1'!I79</f>
        <v>0</v>
      </c>
      <c r="J79" s="1">
        <f ca="1">J167*'Total Trip Tables Sup #1'!J79</f>
        <v>0</v>
      </c>
      <c r="K79" s="1">
        <f ca="1">K167*'Total Trip Tables Sup #1'!K79</f>
        <v>0</v>
      </c>
    </row>
    <row r="80" spans="1:11" x14ac:dyDescent="0.2">
      <c r="A80" t="str">
        <f ca="1">OFFSET(Taranaki_Reference,56,2)</f>
        <v>Other Household Travel</v>
      </c>
      <c r="B80" s="4">
        <f ca="1">B168*'Total Trip Tables Sup #1'!B80</f>
        <v>0.17475937220000001</v>
      </c>
      <c r="C80" s="4">
        <f ca="1">C168*'Total Trip Tables Sup #1'!C80</f>
        <v>0.18837217406516951</v>
      </c>
      <c r="D80" s="4">
        <f ca="1">D168*'Total Trip Tables Sup #1'!D80</f>
        <v>0.20033028380304183</v>
      </c>
      <c r="E80" s="4">
        <f ca="1">E168*'Total Trip Tables Sup #1'!E80</f>
        <v>0.20954679553035238</v>
      </c>
      <c r="F80" s="4">
        <f ca="1">F168*'Total Trip Tables Sup #1'!F80</f>
        <v>0.21707241766304378</v>
      </c>
      <c r="G80" s="4">
        <f ca="1">G168*'Total Trip Tables Sup #1'!G80</f>
        <v>0.22291740413054334</v>
      </c>
      <c r="H80" s="4">
        <f ca="1">H168*'Total Trip Tables Sup #1'!H80</f>
        <v>0.22579922948085251</v>
      </c>
      <c r="I80" s="1">
        <f ca="1">I168*'Total Trip Tables Sup #1'!I80</f>
        <v>0.23126718013275557</v>
      </c>
      <c r="J80" s="1">
        <f ca="1">J168*'Total Trip Tables Sup #1'!J80</f>
        <v>0.23622031004336339</v>
      </c>
      <c r="K80" s="1">
        <f ca="1">K168*'Total Trip Tables Sup #1'!K80</f>
        <v>0.24086987747379887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B159*'Total Trip Tables Sup #1'!B82</f>
        <v>39.544031846000003</v>
      </c>
      <c r="C82" s="4">
        <f ca="1">C159*'Total Trip Tables Sup #1'!C82*(1+'Active Mode Assumptions'!C7)</f>
        <v>41.249743158874857</v>
      </c>
      <c r="D82" s="4">
        <f ca="1">D159*'Total Trip Tables Sup #1'!D82*(1+'Active Mode Assumptions'!D7)</f>
        <v>43.486408575921203</v>
      </c>
      <c r="E82" s="4">
        <f ca="1">E159*'Total Trip Tables Sup #1'!E82*(1+'Active Mode Assumptions'!E7)</f>
        <v>45.139642403320934</v>
      </c>
      <c r="F82" s="4">
        <f ca="1">F159*'Total Trip Tables Sup #1'!F82*(1+'Active Mode Assumptions'!F7)</f>
        <v>46.316496676384546</v>
      </c>
      <c r="G82" s="4">
        <f ca="1">G159*'Total Trip Tables Sup #1'!G82*(1+'Active Mode Assumptions'!G7)</f>
        <v>47.196765479732548</v>
      </c>
      <c r="H82" s="4">
        <f ca="1">H159*'Total Trip Tables Sup #1'!H82*(1+'Active Mode Assumptions'!H7)</f>
        <v>47.820005624814748</v>
      </c>
      <c r="I82" s="1">
        <f ca="1">I159*'Total Trip Tables Sup #1'!I82*(1+'Active Mode Assumptions'!I7)</f>
        <v>47.825419976963573</v>
      </c>
      <c r="J82" s="1">
        <f ca="1">J159*'Total Trip Tables Sup #1'!J82*(1+'Active Mode Assumptions'!J7)</f>
        <v>47.706135866368371</v>
      </c>
      <c r="K82" s="1">
        <f ca="1">K159*'Total Trip Tables Sup #1'!K82*(1+'Active Mode Assumptions'!K7)</f>
        <v>47.51322751359541</v>
      </c>
    </row>
    <row r="83" spans="1:11" x14ac:dyDescent="0.2">
      <c r="A83" t="str">
        <f ca="1">OFFSET(Manawatu_Reference,7,2)</f>
        <v>Cyclist</v>
      </c>
      <c r="B83" s="4">
        <f ca="1">B160*'Total Trip Tables Sup #1'!B83</f>
        <v>4.6745036201000003</v>
      </c>
      <c r="C83" s="4">
        <f ca="1">C160*'Total Trip Tables Sup #1'!C83*(1+'Active Mode Assumptions'!C16)</f>
        <v>4.8760238657404376</v>
      </c>
      <c r="D83" s="4">
        <f ca="1">D160*'Total Trip Tables Sup #1'!D83*(1+'Active Mode Assumptions'!D16)</f>
        <v>5.8940851097243376</v>
      </c>
      <c r="E83" s="4">
        <f ca="1">E160*'Total Trip Tables Sup #1'!E83*(1+'Active Mode Assumptions'!E16)</f>
        <v>6.8150212840078135</v>
      </c>
      <c r="F83" s="4">
        <f ca="1">F160*'Total Trip Tables Sup #1'!F83*(1+'Active Mode Assumptions'!F16)</f>
        <v>7.7048593797608564</v>
      </c>
      <c r="G83" s="4">
        <f ca="1">G160*'Total Trip Tables Sup #1'!G83*(1+'Active Mode Assumptions'!G16)</f>
        <v>8.5557851445392998</v>
      </c>
      <c r="H83" s="4">
        <f ca="1">H160*'Total Trip Tables Sup #1'!H83*(1+'Active Mode Assumptions'!H16)</f>
        <v>9.3662142461783553</v>
      </c>
      <c r="I83" s="1">
        <f ca="1">I160*'Total Trip Tables Sup #1'!I83*(1+'Active Mode Assumptions'!I16)</f>
        <v>9.3801412206358314</v>
      </c>
      <c r="J83" s="1">
        <f ca="1">J160*'Total Trip Tables Sup #1'!J83*(1+'Active Mode Assumptions'!J16)</f>
        <v>9.3696082104560787</v>
      </c>
      <c r="K83" s="1">
        <f ca="1">K160*'Total Trip Tables Sup #1'!K83*(1+'Active Mode Assumptions'!K16)</f>
        <v>9.3445672714418411</v>
      </c>
    </row>
    <row r="84" spans="1:11" x14ac:dyDescent="0.2">
      <c r="A84" t="str">
        <f ca="1">OFFSET(Manawatu_Reference,14,2)</f>
        <v>Light Vehicle Driver</v>
      </c>
      <c r="B84" s="4">
        <f ca="1">B161*'Total Trip Tables Sup #1'!B84</f>
        <v>178.69640117</v>
      </c>
      <c r="C84" s="4">
        <f ca="1">C161*'Total Trip Tables Sup #1'!C84-(C82*'Active Mode Assumptions'!C7*'Active Mode Assumptions'!C14/(1+'Active Mode Assumptions'!C7))-(C83*'Active Mode Assumptions'!C16*'Active Mode Assumptions'!C23/(1+'Active Mode Assumptions'!C16))</f>
        <v>191.27226677255371</v>
      </c>
      <c r="D84" s="4">
        <f ca="1">D161*'Total Trip Tables Sup #1'!D84-(D82*'Active Mode Assumptions'!D7*'Active Mode Assumptions'!D14/(1+'Active Mode Assumptions'!D7))-(D83*'Active Mode Assumptions'!D16*'Active Mode Assumptions'!D23/(1+'Active Mode Assumptions'!D16))</f>
        <v>196.44395186806895</v>
      </c>
      <c r="E84" s="4">
        <f ca="1">E161*'Total Trip Tables Sup #1'!E84-(E82*'Active Mode Assumptions'!E7*'Active Mode Assumptions'!E14/(1+'Active Mode Assumptions'!E7))-(E83*'Active Mode Assumptions'!E16*'Active Mode Assumptions'!E23/(1+'Active Mode Assumptions'!E16))</f>
        <v>200.917594388015</v>
      </c>
      <c r="F84" s="4">
        <f ca="1">F161*'Total Trip Tables Sup #1'!F84-(F82*'Active Mode Assumptions'!F7*'Active Mode Assumptions'!F14/(1+'Active Mode Assumptions'!F7))-(F83*'Active Mode Assumptions'!F16*'Active Mode Assumptions'!F23/(1+'Active Mode Assumptions'!F16))</f>
        <v>204.09499720597313</v>
      </c>
      <c r="G84" s="4">
        <f ca="1">G161*'Total Trip Tables Sup #1'!G84-(G82*'Active Mode Assumptions'!G7*'Active Mode Assumptions'!G14/(1+'Active Mode Assumptions'!G7))-(G83*'Active Mode Assumptions'!G16*'Active Mode Assumptions'!G23/(1+'Active Mode Assumptions'!G16))</f>
        <v>204.79804894712501</v>
      </c>
      <c r="H84" s="4">
        <f ca="1">H161*'Total Trip Tables Sup #1'!H84-(H82*'Active Mode Assumptions'!H7*'Active Mode Assumptions'!H14/(1+'Active Mode Assumptions'!H7))-(H83*'Active Mode Assumptions'!H16*'Active Mode Assumptions'!H23/(1+'Active Mode Assumptions'!H16))</f>
        <v>204.37223226995599</v>
      </c>
      <c r="I84" s="1">
        <f ca="1">I161*'Total Trip Tables Sup #1'!I84-(I82*'Active Mode Assumptions'!I7*'Active Mode Assumptions'!I14/(1+'Active Mode Assumptions'!I7))-(I83*'Active Mode Assumptions'!I16*'Active Mode Assumptions'!I23/(1+'Active Mode Assumptions'!I16))</f>
        <v>204.60940914025184</v>
      </c>
      <c r="J84" s="1">
        <f ca="1">J161*'Total Trip Tables Sup #1'!J84-(J82*'Active Mode Assumptions'!J7*'Active Mode Assumptions'!J14/(1+'Active Mode Assumptions'!J7))-(J83*'Active Mode Assumptions'!J16*'Active Mode Assumptions'!J23/(1+'Active Mode Assumptions'!J16))</f>
        <v>204.30926307327846</v>
      </c>
      <c r="K84" s="1">
        <f ca="1">K161*'Total Trip Tables Sup #1'!K84-(K82*'Active Mode Assumptions'!K7*'Active Mode Assumptions'!K14/(1+'Active Mode Assumptions'!K7))-(K83*'Active Mode Assumptions'!K16*'Active Mode Assumptions'!K23/(1+'Active Mode Assumptions'!K16))</f>
        <v>203.68920722071613</v>
      </c>
    </row>
    <row r="85" spans="1:11" x14ac:dyDescent="0.2">
      <c r="A85" t="str">
        <f ca="1">OFFSET(Manawatu_Reference,21,2)</f>
        <v>Light Vehicle Passenger</v>
      </c>
      <c r="B85" s="4">
        <f ca="1">B162*'Total Trip Tables Sup #1'!B85</f>
        <v>84.046137803000008</v>
      </c>
      <c r="C85" s="4">
        <f ca="1">C162*'Total Trip Tables Sup #1'!C85-(C82*'Active Mode Assumptions'!C7*'Active Mode Assumptions'!C15/(1+'Active Mode Assumptions'!C7))-(C83*'Active Mode Assumptions'!C16*'Active Mode Assumptions'!C24/(1+'Active Mode Assumptions'!C16))</f>
        <v>85.850289821734023</v>
      </c>
      <c r="D85" s="4">
        <f ca="1">D162*'Total Trip Tables Sup #1'!D85-(D82*'Active Mode Assumptions'!D7*'Active Mode Assumptions'!D15/(1+'Active Mode Assumptions'!D7))-(D83*'Active Mode Assumptions'!D16*'Active Mode Assumptions'!D24/(1+'Active Mode Assumptions'!D16))</f>
        <v>85.395432446313023</v>
      </c>
      <c r="E85" s="4">
        <f ca="1">E162*'Total Trip Tables Sup #1'!E85-(E82*'Active Mode Assumptions'!E7*'Active Mode Assumptions'!E15/(1+'Active Mode Assumptions'!E7))-(E83*'Active Mode Assumptions'!E16*'Active Mode Assumptions'!E24/(1+'Active Mode Assumptions'!E16))</f>
        <v>84.496801169244307</v>
      </c>
      <c r="F85" s="4">
        <f ca="1">F162*'Total Trip Tables Sup #1'!F85-(F82*'Active Mode Assumptions'!F7*'Active Mode Assumptions'!F15/(1+'Active Mode Assumptions'!F7))-(F83*'Active Mode Assumptions'!F16*'Active Mode Assumptions'!F24/(1+'Active Mode Assumptions'!F16))</f>
        <v>83.272120352772546</v>
      </c>
      <c r="G85" s="4">
        <f ca="1">G162*'Total Trip Tables Sup #1'!G85-(G82*'Active Mode Assumptions'!G7*'Active Mode Assumptions'!G15/(1+'Active Mode Assumptions'!G7))-(G83*'Active Mode Assumptions'!G16*'Active Mode Assumptions'!G24/(1+'Active Mode Assumptions'!G16))</f>
        <v>81.492974489715365</v>
      </c>
      <c r="H85" s="4">
        <f ca="1">H162*'Total Trip Tables Sup #1'!H85-(H82*'Active Mode Assumptions'!H7*'Active Mode Assumptions'!H15/(1+'Active Mode Assumptions'!H7))-(H83*'Active Mode Assumptions'!H16*'Active Mode Assumptions'!H24/(1+'Active Mode Assumptions'!H16))</f>
        <v>79.289941539243159</v>
      </c>
      <c r="I85" s="1">
        <f ca="1">I162*'Total Trip Tables Sup #1'!I85-(I82*'Active Mode Assumptions'!I7*'Active Mode Assumptions'!I15/(1+'Active Mode Assumptions'!I7))-(I83*'Active Mode Assumptions'!I16*'Active Mode Assumptions'!I24/(1+'Active Mode Assumptions'!I16))</f>
        <v>79.393777566580056</v>
      </c>
      <c r="J85" s="1">
        <f ca="1">J162*'Total Trip Tables Sup #1'!J85-(J82*'Active Mode Assumptions'!J7*'Active Mode Assumptions'!J15/(1+'Active Mode Assumptions'!J7))-(J83*'Active Mode Assumptions'!J16*'Active Mode Assumptions'!J24/(1+'Active Mode Assumptions'!J16))</f>
        <v>79.288846991530306</v>
      </c>
      <c r="K85" s="1">
        <f ca="1">K162*'Total Trip Tables Sup #1'!K85-(K82*'Active Mode Assumptions'!K7*'Active Mode Assumptions'!K15/(1+'Active Mode Assumptions'!K7))-(K83*'Active Mode Assumptions'!K16*'Active Mode Assumptions'!K24/(1+'Active Mode Assumptions'!K16))</f>
        <v>79.059438521163528</v>
      </c>
    </row>
    <row r="86" spans="1:11" x14ac:dyDescent="0.2">
      <c r="A86" t="str">
        <f ca="1">OFFSET(Manawatu_Reference,28,2)</f>
        <v>Taxi/Vehicle Share</v>
      </c>
      <c r="B86" s="4">
        <f ca="1">B163*'Total Trip Tables Sup #1'!B86</f>
        <v>0.99874441920000001</v>
      </c>
      <c r="C86" s="4">
        <f ca="1">C163*'Total Trip Tables Sup #1'!C86</f>
        <v>1.116152064577528</v>
      </c>
      <c r="D86" s="4">
        <f ca="1">D163*'Total Trip Tables Sup #1'!D86</f>
        <v>1.1903085279390211</v>
      </c>
      <c r="E86" s="4">
        <f ca="1">E163*'Total Trip Tables Sup #1'!E86</f>
        <v>1.2402122430733868</v>
      </c>
      <c r="F86" s="4">
        <f ca="1">F163*'Total Trip Tables Sup #1'!F86</f>
        <v>1.2741545926462488</v>
      </c>
      <c r="G86" s="4">
        <f ca="1">G163*'Total Trip Tables Sup #1'!G86</f>
        <v>1.2865808408043682</v>
      </c>
      <c r="H86" s="4">
        <f ca="1">H163*'Total Trip Tables Sup #1'!H86</f>
        <v>1.2934341586436298</v>
      </c>
      <c r="I86" s="1">
        <f ca="1">I163*'Total Trip Tables Sup #1'!I86</f>
        <v>1.2929213194938143</v>
      </c>
      <c r="J86" s="1">
        <f ca="1">J163*'Total Trip Tables Sup #1'!J86</f>
        <v>1.2889728998164056</v>
      </c>
      <c r="K86" s="1">
        <f ca="1">K163*'Total Trip Tables Sup #1'!K86</f>
        <v>1.282977335882354</v>
      </c>
    </row>
    <row r="87" spans="1:11" x14ac:dyDescent="0.2">
      <c r="A87" t="str">
        <f ca="1">OFFSET(Manawatu_Reference,35,2)</f>
        <v>Motorcyclist</v>
      </c>
      <c r="B87" s="4">
        <f ca="1">B164*'Total Trip Tables Sup #1'!B87</f>
        <v>0.79000583589999995</v>
      </c>
      <c r="C87" s="4">
        <f ca="1">C164*'Total Trip Tables Sup #1'!C87</f>
        <v>0.82679423539457753</v>
      </c>
      <c r="D87" s="4">
        <f ca="1">D164*'Total Trip Tables Sup #1'!D87</f>
        <v>0.83347425704920675</v>
      </c>
      <c r="E87" s="4">
        <f ca="1">E164*'Total Trip Tables Sup #1'!E87</f>
        <v>0.8354357234691967</v>
      </c>
      <c r="F87" s="4">
        <f ca="1">F164*'Total Trip Tables Sup #1'!F87</f>
        <v>0.83090805575673876</v>
      </c>
      <c r="G87" s="4">
        <f ca="1">G164*'Total Trip Tables Sup #1'!G87</f>
        <v>0.81184382187519166</v>
      </c>
      <c r="H87" s="4">
        <f ca="1">H164*'Total Trip Tables Sup #1'!H87</f>
        <v>0.7874433493321813</v>
      </c>
      <c r="I87" s="1">
        <f ca="1">I164*'Total Trip Tables Sup #1'!I87</f>
        <v>0.79037622677559449</v>
      </c>
      <c r="J87" s="1">
        <f ca="1">J164*'Total Trip Tables Sup #1'!J87</f>
        <v>0.79123328284138628</v>
      </c>
      <c r="K87" s="1">
        <f ca="1">K164*'Total Trip Tables Sup #1'!K87</f>
        <v>0.79084123209112211</v>
      </c>
    </row>
    <row r="88" spans="1:11" x14ac:dyDescent="0.2">
      <c r="A88" t="str">
        <f ca="1">OFFSET(Taranaki_Reference,42,2)</f>
        <v>Local Train</v>
      </c>
      <c r="B88" s="4">
        <f ca="1">B165*'Total Trip Tables Sup #1'!B88</f>
        <v>0</v>
      </c>
      <c r="C88" s="4">
        <f ca="1">C165*'Total Trip Tables Sup #1'!C88</f>
        <v>0</v>
      </c>
      <c r="D88" s="4">
        <f ca="1">D165*'Total Trip Tables Sup #1'!D88</f>
        <v>0</v>
      </c>
      <c r="E88" s="4">
        <f ca="1">E165*'Total Trip Tables Sup #1'!E88</f>
        <v>0</v>
      </c>
      <c r="F88" s="4">
        <f ca="1">F165*'Total Trip Tables Sup #1'!F88</f>
        <v>0</v>
      </c>
      <c r="G88" s="4">
        <f ca="1">G165*'Total Trip Tables Sup #1'!G88</f>
        <v>0</v>
      </c>
      <c r="H88" s="4">
        <f ca="1">H165*'Total Trip Tables Sup #1'!H88</f>
        <v>0</v>
      </c>
      <c r="I88" s="1">
        <f ca="1">I165*'Total Trip Tables Sup #1'!I88</f>
        <v>0</v>
      </c>
      <c r="J88" s="1">
        <f ca="1">J165*'Total Trip Tables Sup #1'!J88</f>
        <v>0</v>
      </c>
      <c r="K88" s="1">
        <f ca="1">K165*'Total Trip Tables Sup #1'!K88</f>
        <v>0</v>
      </c>
    </row>
    <row r="89" spans="1:11" x14ac:dyDescent="0.2">
      <c r="A89" t="str">
        <f ca="1">OFFSET(Manawatu_Reference,42,2)</f>
        <v>Local Bus</v>
      </c>
      <c r="B89" s="4">
        <f ca="1">B166*'Total Trip Tables Sup #1'!B89</f>
        <v>5.2110099151</v>
      </c>
      <c r="C89" s="4">
        <f ca="1">C166*'Total Trip Tables Sup #1'!C89</f>
        <v>5.1254875576156786</v>
      </c>
      <c r="D89" s="4">
        <f ca="1">D166*'Total Trip Tables Sup #1'!D89</f>
        <v>5.0132689303354852</v>
      </c>
      <c r="E89" s="4">
        <f ca="1">E166*'Total Trip Tables Sup #1'!E89</f>
        <v>4.9485919794988007</v>
      </c>
      <c r="F89" s="4">
        <f ca="1">F166*'Total Trip Tables Sup #1'!F89</f>
        <v>4.8160239786840799</v>
      </c>
      <c r="G89" s="4">
        <f ca="1">G166*'Total Trip Tables Sup #1'!G89</f>
        <v>4.702031288316741</v>
      </c>
      <c r="H89" s="4">
        <f ca="1">H166*'Total Trip Tables Sup #1'!H89</f>
        <v>4.5629213321572406</v>
      </c>
      <c r="I89" s="1">
        <f ca="1">I166*'Total Trip Tables Sup #1'!I89</f>
        <v>4.5707436641054962</v>
      </c>
      <c r="J89" s="1">
        <f ca="1">J166*'Total Trip Tables Sup #1'!J89</f>
        <v>4.5664729618621127</v>
      </c>
      <c r="K89" s="1">
        <f ca="1">K166*'Total Trip Tables Sup #1'!K89</f>
        <v>4.5549490907139329</v>
      </c>
    </row>
    <row r="90" spans="1:11" x14ac:dyDescent="0.2">
      <c r="A90" t="str">
        <f ca="1">OFFSET(Manawatu_Reference,49,2)</f>
        <v>Local Ferry</v>
      </c>
      <c r="B90" s="4">
        <f ca="1">B167*'Total Trip Tables Sup #1'!B90</f>
        <v>0.1068619116</v>
      </c>
      <c r="C90" s="4">
        <f ca="1">C167*'Total Trip Tables Sup #1'!C90</f>
        <v>0.11607875220388048</v>
      </c>
      <c r="D90" s="4">
        <f ca="1">D167*'Total Trip Tables Sup #1'!D90</f>
        <v>0.12131530509962288</v>
      </c>
      <c r="E90" s="4">
        <f ca="1">E167*'Total Trip Tables Sup #1'!E90</f>
        <v>0.12284898438375208</v>
      </c>
      <c r="F90" s="4">
        <f ca="1">F167*'Total Trip Tables Sup #1'!F90</f>
        <v>0.12254065714266299</v>
      </c>
      <c r="G90" s="4">
        <f ca="1">G167*'Total Trip Tables Sup #1'!G90</f>
        <v>0.1245335329434341</v>
      </c>
      <c r="H90" s="4">
        <f ca="1">H167*'Total Trip Tables Sup #1'!H90</f>
        <v>0.12533557456283068</v>
      </c>
      <c r="I90" s="1">
        <f ca="1">I167*'Total Trip Tables Sup #1'!I90</f>
        <v>0.12455271612316307</v>
      </c>
      <c r="J90" s="1">
        <f ca="1">J167*'Total Trip Tables Sup #1'!J90</f>
        <v>0.12345869267138332</v>
      </c>
      <c r="K90" s="1">
        <f ca="1">K167*'Total Trip Tables Sup #1'!K90</f>
        <v>0.122191017502711</v>
      </c>
    </row>
    <row r="91" spans="1:11" x14ac:dyDescent="0.2">
      <c r="A91" t="str">
        <f ca="1">OFFSET(Manawatu_Reference,56,2)</f>
        <v>Other Household Travel</v>
      </c>
      <c r="B91" s="4">
        <f ca="1">B168*'Total Trip Tables Sup #1'!B91</f>
        <v>0.24513607779999999</v>
      </c>
      <c r="C91" s="4">
        <f ca="1">C168*'Total Trip Tables Sup #1'!C91</f>
        <v>0.25905291146660159</v>
      </c>
      <c r="D91" s="4">
        <f ca="1">D168*'Total Trip Tables Sup #1'!D91</f>
        <v>0.26990310511018634</v>
      </c>
      <c r="E91" s="4">
        <f ca="1">E168*'Total Trip Tables Sup #1'!E91</f>
        <v>0.27746888715190937</v>
      </c>
      <c r="F91" s="4">
        <f ca="1">F168*'Total Trip Tables Sup #1'!F91</f>
        <v>0.28223490938590196</v>
      </c>
      <c r="G91" s="4">
        <f ca="1">G168*'Total Trip Tables Sup #1'!G91</f>
        <v>0.28446505300190589</v>
      </c>
      <c r="H91" s="4">
        <f ca="1">H168*'Total Trip Tables Sup #1'!H91</f>
        <v>0.28249303596707176</v>
      </c>
      <c r="I91" s="1">
        <f ca="1">I168*'Total Trip Tables Sup #1'!I91</f>
        <v>0.2836927765861641</v>
      </c>
      <c r="J91" s="1">
        <f ca="1">J168*'Total Trip Tables Sup #1'!J91</f>
        <v>0.28415615873282335</v>
      </c>
      <c r="K91" s="1">
        <f ca="1">K168*'Total Trip Tables Sup #1'!K91</f>
        <v>0.28417937475848509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B159*'Total Trip Tables Sup #1'!B93*(1+'Active Mode Assumptions'!B7)-('PT Assumptions'!B44*'Total Trip Tables Sup #2'!B171+'PT Assumptions'!B56*'Total Trip Tables Sup #2'!B174)</f>
        <v>182.29561206</v>
      </c>
      <c r="C93" s="4">
        <f ca="1">C159*'Total Trip Tables Sup #1'!C93*(1+'Active Mode Assumptions'!C7)-('PT Assumptions'!C44*'Total Trip Tables Sup #2'!C171+'PT Assumptions'!C56*'Total Trip Tables Sup #2'!C174)</f>
        <v>195.01733917397686</v>
      </c>
      <c r="D93" s="4">
        <f ca="1">D159*'Total Trip Tables Sup #1'!D93*(1+'Active Mode Assumptions'!D7)-('PT Assumptions'!D44*'Total Trip Tables Sup #2'!D171+'PT Assumptions'!D56*'Total Trip Tables Sup #2'!D174)</f>
        <v>210.51734898619091</v>
      </c>
      <c r="E93" s="4">
        <f ca="1">E159*'Total Trip Tables Sup #1'!E93*(1+'Active Mode Assumptions'!E7)-('PT Assumptions'!E44*'Total Trip Tables Sup #2'!E171+'PT Assumptions'!E56*'Total Trip Tables Sup #2'!E174)</f>
        <v>223.05535198567239</v>
      </c>
      <c r="F93" s="4">
        <f ca="1">F159*'Total Trip Tables Sup #1'!F93*(1+'Active Mode Assumptions'!F7)-('PT Assumptions'!F44*'Total Trip Tables Sup #2'!F171+'PT Assumptions'!F56*'Total Trip Tables Sup #2'!F174)</f>
        <v>233.69019048926268</v>
      </c>
      <c r="G93" s="4">
        <f ca="1">G159*'Total Trip Tables Sup #1'!G93*(1+'Active Mode Assumptions'!G7)-('PT Assumptions'!G44*'Total Trip Tables Sup #2'!G171+'PT Assumptions'!G56*'Total Trip Tables Sup #2'!G174)</f>
        <v>243.09332719966585</v>
      </c>
      <c r="H93" s="4">
        <f ca="1">H159*'Total Trip Tables Sup #1'!H93*(1+'Active Mode Assumptions'!H7)-('PT Assumptions'!H44*'Total Trip Tables Sup #2'!H171+'PT Assumptions'!H56*'Total Trip Tables Sup #2'!H174)</f>
        <v>251.48461962854455</v>
      </c>
      <c r="I93" s="1">
        <f ca="1">I159*'Total Trip Tables Sup #1'!I93*(1+'Active Mode Assumptions'!I7)-('PT Assumptions'!I44*'Total Trip Tables Sup #2'!I171+'PT Assumptions'!I56*'Total Trip Tables Sup #2'!I174)</f>
        <v>256.74368179677811</v>
      </c>
      <c r="J93" s="1">
        <f ca="1">J159*'Total Trip Tables Sup #1'!J93*(1+'Active Mode Assumptions'!J7)-('PT Assumptions'!J44*'Total Trip Tables Sup #2'!J171+'PT Assumptions'!J56*'Total Trip Tables Sup #2'!J174)</f>
        <v>261.33997622632666</v>
      </c>
      <c r="K93" s="1">
        <f ca="1">K159*'Total Trip Tables Sup #1'!K93*(1+'Active Mode Assumptions'!K7)-('PT Assumptions'!K44*'Total Trip Tables Sup #2'!K171+'PT Assumptions'!K56*'Total Trip Tables Sup #2'!K174)</f>
        <v>265.51243435519825</v>
      </c>
    </row>
    <row r="94" spans="1:11" x14ac:dyDescent="0.2">
      <c r="A94" t="str">
        <f ca="1">OFFSET(Wellington_Reference,7,2)</f>
        <v>Cyclist</v>
      </c>
      <c r="B94" s="4">
        <f ca="1">B160*'Total Trip Tables Sup #1'!B94*(1+'Active Mode Assumptions'!B16)-('PT Assumptions'!B45*'Total Trip Tables Sup #2'!B171+'PT Assumptions'!B57*'Total Trip Tables Sup #2'!B174)</f>
        <v>8.1327913301999999</v>
      </c>
      <c r="C94" s="4">
        <f ca="1">C160*'Total Trip Tables Sup #1'!C94*(1+'Active Mode Assumptions'!C16)-('PT Assumptions'!C45*'Total Trip Tables Sup #2'!C171+'PT Assumptions'!C57*'Total Trip Tables Sup #2'!C174)</f>
        <v>8.7010671792823011</v>
      </c>
      <c r="D94" s="4">
        <f ca="1">D160*'Total Trip Tables Sup #1'!D94*(1+'Active Mode Assumptions'!D16)-('PT Assumptions'!D45*'Total Trip Tables Sup #2'!D171+'PT Assumptions'!D57*'Total Trip Tables Sup #2'!D174)</f>
        <v>10.776426030613232</v>
      </c>
      <c r="E94" s="4">
        <f ca="1">E160*'Total Trip Tables Sup #1'!E94*(1+'Active Mode Assumptions'!E16)-('PT Assumptions'!E45*'Total Trip Tables Sup #2'!E171+'PT Assumptions'!E57*'Total Trip Tables Sup #2'!E174)</f>
        <v>12.723536602409688</v>
      </c>
      <c r="F94" s="4">
        <f ca="1">F160*'Total Trip Tables Sup #1'!F94*(1+'Active Mode Assumptions'!F16)-('PT Assumptions'!F45*'Total Trip Tables Sup #2'!F171+'PT Assumptions'!F57*'Total Trip Tables Sup #2'!F174)</f>
        <v>14.689990990472115</v>
      </c>
      <c r="G94" s="4">
        <f ca="1">G160*'Total Trip Tables Sup #1'!G94*(1+'Active Mode Assumptions'!G16)-('PT Assumptions'!G45*'Total Trip Tables Sup #2'!G171+'PT Assumptions'!G57*'Total Trip Tables Sup #2'!G174)</f>
        <v>16.65521525098049</v>
      </c>
      <c r="H94" s="4">
        <f ca="1">H160*'Total Trip Tables Sup #1'!H94*(1+'Active Mode Assumptions'!H16)-('PT Assumptions'!H45*'Total Trip Tables Sup #2'!H171+'PT Assumptions'!H57*'Total Trip Tables Sup #2'!H174)</f>
        <v>18.62002557518619</v>
      </c>
      <c r="I94" s="1">
        <f ca="1">I160*'Total Trip Tables Sup #1'!I94*(1+'Active Mode Assumptions'!I16)-('PT Assumptions'!I45*'Total Trip Tables Sup #2'!I171+'PT Assumptions'!I57*'Total Trip Tables Sup #2'!I174)</f>
        <v>19.037813540528262</v>
      </c>
      <c r="J94" s="1">
        <f ca="1">J160*'Total Trip Tables Sup #1'!J94*(1+'Active Mode Assumptions'!J16)-('PT Assumptions'!J45*'Total Trip Tables Sup #2'!J171+'PT Assumptions'!J57*'Total Trip Tables Sup #2'!J174)</f>
        <v>19.407988893029636</v>
      </c>
      <c r="K94" s="1">
        <f ca="1">K160*'Total Trip Tables Sup #1'!K94*(1+'Active Mode Assumptions'!K16)-('PT Assumptions'!K45*'Total Trip Tables Sup #2'!K171+'PT Assumptions'!K57*'Total Trip Tables Sup #2'!K174)</f>
        <v>19.74802865091953</v>
      </c>
    </row>
    <row r="95" spans="1:11" x14ac:dyDescent="0.2">
      <c r="A95" t="str">
        <f ca="1">OFFSET(Wellington_Reference,14,2)</f>
        <v>Light Vehicle Driver</v>
      </c>
      <c r="B95" s="4">
        <f ca="1">(B161*'Total Trip Tables Sup #1'!B95-'PT Assumptions'!B46*'Total Trip Tables Sup #2'!B171-'PT Assumptions'!B58*'Total Trip Tables Sup #2'!B174)-(B159*'Total Trip Tables Sup #1'!B93)*'Active Mode Assumptions'!B7*'Active Mode Assumptions'!B14-(B160*'Total Trip Tables Sup #1'!B94)*'Active Mode Assumptions'!B16*'Active Mode Assumptions'!B23</f>
        <v>377.93589692</v>
      </c>
      <c r="C95" s="4">
        <f ca="1">(C161*'Total Trip Tables Sup #1'!C95-'PT Assumptions'!C46*'Total Trip Tables Sup #2'!C171-'PT Assumptions'!C58*'Total Trip Tables Sup #2'!C174)-(C159*'Total Trip Tables Sup #1'!C93)*'Active Mode Assumptions'!C7*'Active Mode Assumptions'!C14-(C160*'Total Trip Tables Sup #1'!C94)*'Active Mode Assumptions'!C16*'Active Mode Assumptions'!C23</f>
        <v>414.67598448329352</v>
      </c>
      <c r="D95" s="4">
        <f ca="1">(D161*'Total Trip Tables Sup #1'!D95-'PT Assumptions'!D46*'Total Trip Tables Sup #2'!D171-'PT Assumptions'!D58*'Total Trip Tables Sup #2'!D174)-(D159*'Total Trip Tables Sup #1'!D93)*'Active Mode Assumptions'!D7*'Active Mode Assumptions'!D14-(D160*'Total Trip Tables Sup #1'!D94)*'Active Mode Assumptions'!D16*'Active Mode Assumptions'!D23</f>
        <v>434.07141166353875</v>
      </c>
      <c r="E95" s="4">
        <f ca="1">(E161*'Total Trip Tables Sup #1'!E95-'PT Assumptions'!E46*'Total Trip Tables Sup #2'!E171-'PT Assumptions'!E58*'Total Trip Tables Sup #2'!E174)-(E159*'Total Trip Tables Sup #1'!E93)*'Active Mode Assumptions'!E7*'Active Mode Assumptions'!E14-(E160*'Total Trip Tables Sup #1'!E94)*'Active Mode Assumptions'!E16*'Active Mode Assumptions'!E23</f>
        <v>451.43322147786205</v>
      </c>
      <c r="F95" s="4">
        <f ca="1">(F161*'Total Trip Tables Sup #1'!F95-'PT Assumptions'!F46*'Total Trip Tables Sup #2'!F171-'PT Assumptions'!F58*'Total Trip Tables Sup #2'!F174)-(F159*'Total Trip Tables Sup #1'!F93)*'Active Mode Assumptions'!F7*'Active Mode Assumptions'!F14-(F160*'Total Trip Tables Sup #1'!F94)*'Active Mode Assumptions'!F16*'Active Mode Assumptions'!F23</f>
        <v>466.84256531617871</v>
      </c>
      <c r="G95" s="4">
        <f ca="1">(G161*'Total Trip Tables Sup #1'!G95-'PT Assumptions'!G46*'Total Trip Tables Sup #2'!G171-'PT Assumptions'!G58*'Total Trip Tables Sup #2'!G174)-(G159*'Total Trip Tables Sup #1'!G93)*'Active Mode Assumptions'!G7*'Active Mode Assumptions'!G14-(G160*'Total Trip Tables Sup #1'!G94)*'Active Mode Assumptions'!G16*'Active Mode Assumptions'!G23</f>
        <v>476.77766906748673</v>
      </c>
      <c r="H95" s="4">
        <f ca="1">(H161*'Total Trip Tables Sup #1'!H95-'PT Assumptions'!H46*'Total Trip Tables Sup #2'!H171-'PT Assumptions'!H58*'Total Trip Tables Sup #2'!H174)-(H159*'Total Trip Tables Sup #1'!H93)*'Active Mode Assumptions'!H7*'Active Mode Assumptions'!H14-(H160*'Total Trip Tables Sup #1'!H94)*'Active Mode Assumptions'!H16*'Active Mode Assumptions'!H23</f>
        <v>484.32309846346232</v>
      </c>
      <c r="I95" s="1">
        <f ca="1">(I161*'Total Trip Tables Sup #1'!I95-'PT Assumptions'!I46*'Total Trip Tables Sup #2'!I171-'PT Assumptions'!I58*'Total Trip Tables Sup #2'!I174)-(I159*'Total Trip Tables Sup #1'!I93)*'Active Mode Assumptions'!I7*'Active Mode Assumptions'!I14-(I160*'Total Trip Tables Sup #1'!I94)*'Active Mode Assumptions'!I16*'Active Mode Assumptions'!I23</f>
        <v>494.55213707486911</v>
      </c>
      <c r="J95" s="1">
        <f ca="1">(J161*'Total Trip Tables Sup #1'!J95-'PT Assumptions'!J46*'Total Trip Tables Sup #2'!J171-'PT Assumptions'!J58*'Total Trip Tables Sup #2'!J174)-(J159*'Total Trip Tables Sup #1'!J93)*'Active Mode Assumptions'!J7*'Active Mode Assumptions'!J14-(J160*'Total Trip Tables Sup #1'!J94)*'Active Mode Assumptions'!J16*'Active Mode Assumptions'!J23</f>
        <v>503.4480125714523</v>
      </c>
      <c r="K95" s="1">
        <f ca="1">(K161*'Total Trip Tables Sup #1'!K95-'PT Assumptions'!K46*'Total Trip Tables Sup #2'!K171-'PT Assumptions'!K58*'Total Trip Tables Sup #2'!K174)-(K159*'Total Trip Tables Sup #1'!K93)*'Active Mode Assumptions'!K7*'Active Mode Assumptions'!K14-(K160*'Total Trip Tables Sup #1'!K94)*'Active Mode Assumptions'!K16*'Active Mode Assumptions'!K23</f>
        <v>511.47896055575183</v>
      </c>
    </row>
    <row r="96" spans="1:11" x14ac:dyDescent="0.2">
      <c r="A96" t="str">
        <f ca="1">OFFSET(Wellington_Reference,21,2)</f>
        <v>Light Vehicle Passenger</v>
      </c>
      <c r="B96" s="4">
        <f ca="1">(B162*'Total Trip Tables Sup #1'!B96-'PT Assumptions'!B47*'Total Trip Tables Sup #2'!B171-'PT Assumptions'!B59*'Total Trip Tables Sup #2'!B174)-(B159*'Total Trip Tables Sup #1'!B93)*'Active Mode Assumptions'!B7*'Active Mode Assumptions'!B15-(B160*'Total Trip Tables Sup #1'!B94)*'Active Mode Assumptions'!B16*'Active Mode Assumptions'!B24</f>
        <v>183.55442563000003</v>
      </c>
      <c r="C96" s="4">
        <f ca="1">(C162*'Total Trip Tables Sup #1'!C96-'PT Assumptions'!C47*'Total Trip Tables Sup #2'!C171-'PT Assumptions'!C59*'Total Trip Tables Sup #2'!C174)-(C159*'Total Trip Tables Sup #1'!C93)*'Active Mode Assumptions'!C7*'Active Mode Assumptions'!C15-(C160*'Total Trip Tables Sup #1'!C94)*'Active Mode Assumptions'!C16*'Active Mode Assumptions'!C24</f>
        <v>192.06848867954159</v>
      </c>
      <c r="D96" s="4">
        <f ca="1">(D162*'Total Trip Tables Sup #1'!D96-'PT Assumptions'!D47*'Total Trip Tables Sup #2'!D171-'PT Assumptions'!D59*'Total Trip Tables Sup #2'!D174)-(D159*'Total Trip Tables Sup #1'!D93)*'Active Mode Assumptions'!D7*'Active Mode Assumptions'!D15-(D160*'Total Trip Tables Sup #1'!D94)*'Active Mode Assumptions'!D16*'Active Mode Assumptions'!D24</f>
        <v>193.49892127152592</v>
      </c>
      <c r="E96" s="4">
        <f ca="1">(E162*'Total Trip Tables Sup #1'!E96-'PT Assumptions'!E47*'Total Trip Tables Sup #2'!E171-'PT Assumptions'!E59*'Total Trip Tables Sup #2'!E174)-(E159*'Total Trip Tables Sup #1'!E93)*'Active Mode Assumptions'!E7*'Active Mode Assumptions'!E15-(E160*'Total Trip Tables Sup #1'!E94)*'Active Mode Assumptions'!E16*'Active Mode Assumptions'!E24</f>
        <v>193.56636636980295</v>
      </c>
      <c r="F96" s="4">
        <f ca="1">(F162*'Total Trip Tables Sup #1'!F96-'PT Assumptions'!F47*'Total Trip Tables Sup #2'!F171-'PT Assumptions'!F59*'Total Trip Tables Sup #2'!F174)-(F159*'Total Trip Tables Sup #1'!F93)*'Active Mode Assumptions'!F7*'Active Mode Assumptions'!F15-(F160*'Total Trip Tables Sup #1'!F94)*'Active Mode Assumptions'!F16*'Active Mode Assumptions'!F24</f>
        <v>193.25881472491128</v>
      </c>
      <c r="G96" s="4">
        <f ca="1">(G162*'Total Trip Tables Sup #1'!G96-'PT Assumptions'!G47*'Total Trip Tables Sup #2'!G171-'PT Assumptions'!G59*'Total Trip Tables Sup #2'!G174)-(G159*'Total Trip Tables Sup #1'!G93)*'Active Mode Assumptions'!G7*'Active Mode Assumptions'!G15-(G160*'Total Trip Tables Sup #1'!G94)*'Active Mode Assumptions'!G16*'Active Mode Assumptions'!G24</f>
        <v>191.47987068615299</v>
      </c>
      <c r="H96" s="4">
        <f ca="1">(H162*'Total Trip Tables Sup #1'!H96-'PT Assumptions'!H47*'Total Trip Tables Sup #2'!H171-'PT Assumptions'!H59*'Total Trip Tables Sup #2'!H174)-(H159*'Total Trip Tables Sup #1'!H93)*'Active Mode Assumptions'!H7*'Active Mode Assumptions'!H15-(H160*'Total Trip Tables Sup #1'!H94)*'Active Mode Assumptions'!H16*'Active Mode Assumptions'!H24</f>
        <v>188.54443001952592</v>
      </c>
      <c r="I96" s="1">
        <f ca="1">(I162*'Total Trip Tables Sup #1'!I96-'PT Assumptions'!I47*'Total Trip Tables Sup #2'!I171-'PT Assumptions'!I59*'Total Trip Tables Sup #2'!I174)-(I159*'Total Trip Tables Sup #1'!I93)*'Active Mode Assumptions'!I7*'Active Mode Assumptions'!I15-(I160*'Total Trip Tables Sup #1'!I94)*'Active Mode Assumptions'!I16*'Active Mode Assumptions'!I24</f>
        <v>192.26545944023471</v>
      </c>
      <c r="J96" s="1">
        <f ca="1">(J162*'Total Trip Tables Sup #1'!J96-'PT Assumptions'!J47*'Total Trip Tables Sup #2'!J171-'PT Assumptions'!J59*'Total Trip Tables Sup #2'!J174)-(J159*'Total Trip Tables Sup #1'!J93)*'Active Mode Assumptions'!J7*'Active Mode Assumptions'!J15-(J160*'Total Trip Tables Sup #1'!J94)*'Active Mode Assumptions'!J16*'Active Mode Assumptions'!J24</f>
        <v>195.41959561017589</v>
      </c>
      <c r="K96" s="1">
        <f ca="1">(K162*'Total Trip Tables Sup #1'!K96-'PT Assumptions'!K47*'Total Trip Tables Sup #2'!K171-'PT Assumptions'!K59*'Total Trip Tables Sup #2'!K174)-(K159*'Total Trip Tables Sup #1'!K93)*'Active Mode Assumptions'!K7*'Active Mode Assumptions'!K15-(K160*'Total Trip Tables Sup #1'!K94)*'Active Mode Assumptions'!K16*'Active Mode Assumptions'!K24</f>
        <v>198.19720613973846</v>
      </c>
    </row>
    <row r="97" spans="1:11" x14ac:dyDescent="0.2">
      <c r="A97" t="str">
        <f ca="1">OFFSET(Wellington_Reference,28,2)</f>
        <v>Taxi/Vehicle Share</v>
      </c>
      <c r="B97" s="4">
        <f ca="1">B163*'Total Trip Tables Sup #1'!B97</f>
        <v>2.3579512121000001</v>
      </c>
      <c r="C97" s="4">
        <f ca="1">C163*'Total Trip Tables Sup #1'!C97</f>
        <v>2.7027531770448197</v>
      </c>
      <c r="D97" s="4">
        <f ca="1">D163*'Total Trip Tables Sup #1'!D97</f>
        <v>2.9532092164030859</v>
      </c>
      <c r="E97" s="4">
        <f ca="1">E163*'Total Trip Tables Sup #1'!E97</f>
        <v>3.1420490590422054</v>
      </c>
      <c r="F97" s="4">
        <f ca="1">F163*'Total Trip Tables Sup #1'!F97</f>
        <v>3.2965165235649998</v>
      </c>
      <c r="G97" s="4">
        <f ca="1">G163*'Total Trip Tables Sup #1'!G97</f>
        <v>3.3986291668964492</v>
      </c>
      <c r="H97" s="4">
        <f ca="1">H163*'Total Trip Tables Sup #1'!H97</f>
        <v>3.4892881215396088</v>
      </c>
      <c r="I97" s="1">
        <f ca="1">I163*'Total Trip Tables Sup #1'!I97</f>
        <v>3.5608699224400904</v>
      </c>
      <c r="J97" s="1">
        <f ca="1">J163*'Total Trip Tables Sup #1'!J97</f>
        <v>3.6230907373120096</v>
      </c>
      <c r="K97" s="1">
        <f ca="1">K163*'Total Trip Tables Sup #1'!K97</f>
        <v>3.679254745822004</v>
      </c>
    </row>
    <row r="98" spans="1:11" x14ac:dyDescent="0.2">
      <c r="A98" t="str">
        <f ca="1">OFFSET(Wellington_Reference,35,2)</f>
        <v>Motorcyclist</v>
      </c>
      <c r="B98" s="4">
        <f ca="1">B164*'Total Trip Tables Sup #1'!B98</f>
        <v>2.4968267649999998</v>
      </c>
      <c r="C98" s="4">
        <f ca="1">C164*'Total Trip Tables Sup #1'!C98</f>
        <v>2.6801439580527444</v>
      </c>
      <c r="D98" s="4">
        <f ca="1">D164*'Total Trip Tables Sup #1'!D98</f>
        <v>2.7682449917841572</v>
      </c>
      <c r="E98" s="4">
        <f ca="1">E164*'Total Trip Tables Sup #1'!E98</f>
        <v>2.8333984472523905</v>
      </c>
      <c r="F98" s="4">
        <f ca="1">F164*'Total Trip Tables Sup #1'!F98</f>
        <v>2.8778209164310136</v>
      </c>
      <c r="G98" s="4">
        <f ca="1">G164*'Total Trip Tables Sup #1'!G98</f>
        <v>2.8708919842707514</v>
      </c>
      <c r="H98" s="4">
        <f ca="1">H164*'Total Trip Tables Sup #1'!H98</f>
        <v>2.8437373849476377</v>
      </c>
      <c r="I98" s="1">
        <f ca="1">I164*'Total Trip Tables Sup #1'!I98</f>
        <v>2.9140402337137723</v>
      </c>
      <c r="J98" s="1">
        <f ca="1">J164*'Total Trip Tables Sup #1'!J98</f>
        <v>2.9772659719581518</v>
      </c>
      <c r="K98" s="1">
        <f ca="1">K164*'Total Trip Tables Sup #1'!K98</f>
        <v>3.03604245661885</v>
      </c>
    </row>
    <row r="99" spans="1:11" x14ac:dyDescent="0.2">
      <c r="A99" t="str">
        <f ca="1">OFFSET(Wellington_Reference,42,2)</f>
        <v>Local Train</v>
      </c>
      <c r="B99" s="4">
        <f ca="1">'Total Trip Tables Sup #1'!B99*(1+'PT Assumptions'!B37)</f>
        <v>12.37</v>
      </c>
      <c r="C99" s="4">
        <f ca="1">'Total Trip Tables Sup #1'!C99*(1+'PT Assumptions'!C37)</f>
        <v>13.79711369222052</v>
      </c>
      <c r="D99" s="4">
        <f ca="1">'Total Trip Tables Sup #1'!D99*(1+'PT Assumptions'!D37)</f>
        <v>15.537263366839877</v>
      </c>
      <c r="E99" s="4">
        <f ca="1">'Total Trip Tables Sup #1'!E99*(1+'PT Assumptions'!E37)</f>
        <v>16.902138366255024</v>
      </c>
      <c r="F99" s="4">
        <f ca="1">'Total Trip Tables Sup #1'!F99*(1+'PT Assumptions'!F37)</f>
        <v>17.934247414016191</v>
      </c>
      <c r="G99" s="4">
        <f ca="1">'Total Trip Tables Sup #1'!G99*(1+'PT Assumptions'!G37)</f>
        <v>18.999414299139286</v>
      </c>
      <c r="H99" s="4">
        <f ca="1">'Total Trip Tables Sup #1'!H99*(1+'PT Assumptions'!H37)</f>
        <v>20.0314184363524</v>
      </c>
      <c r="I99" s="1">
        <f ca="1">'Total Trip Tables Sup #1'!I99*(1+'PT Assumptions'!I37)</f>
        <v>21.509555460638186</v>
      </c>
      <c r="J99" s="1">
        <f ca="1">'Total Trip Tables Sup #1'!J99*(1+'PT Assumptions'!J37)</f>
        <v>23.093506466158725</v>
      </c>
      <c r="K99" s="1">
        <f ca="1">'Total Trip Tables Sup #1'!K99*(1+'PT Assumptions'!K37)</f>
        <v>24.800120091214417</v>
      </c>
    </row>
    <row r="100" spans="1:11" x14ac:dyDescent="0.2">
      <c r="A100" t="str">
        <f ca="1">OFFSET(Wellington_Reference,49,2)</f>
        <v>Local Bus</v>
      </c>
      <c r="B100" s="4">
        <f ca="1">'Total Trip Tables Sup #1'!B100*(1+'PT Assumptions'!B49)</f>
        <v>23.4</v>
      </c>
      <c r="C100" s="4">
        <f ca="1">'Total Trip Tables Sup #1'!C100*(1+'PT Assumptions'!C49)</f>
        <v>25.098634765165087</v>
      </c>
      <c r="D100" s="4">
        <f ca="1">'Total Trip Tables Sup #1'!D100*(1+'PT Assumptions'!D49)</f>
        <v>28.379933006646507</v>
      </c>
      <c r="E100" s="4">
        <f ca="1">'Total Trip Tables Sup #1'!E100*(1+'PT Assumptions'!E49)</f>
        <v>30.313883251437677</v>
      </c>
      <c r="F100" s="4">
        <f ca="1">'Total Trip Tables Sup #1'!F100*(1+'PT Assumptions'!F49)</f>
        <v>30.91391876318129</v>
      </c>
      <c r="G100" s="4">
        <f ca="1">'Total Trip Tables Sup #1'!G100*(1+'PT Assumptions'!G49)</f>
        <v>31.490893460074211</v>
      </c>
      <c r="H100" s="4">
        <f ca="1">'Total Trip Tables Sup #1'!H100*(1+'PT Assumptions'!H49)</f>
        <v>32.023362300221578</v>
      </c>
      <c r="I100" s="1">
        <f ca="1">'Total Trip Tables Sup #1'!I100*(1+'PT Assumptions'!I49)</f>
        <v>33.461518339996175</v>
      </c>
      <c r="J100" s="1">
        <f ca="1">'Total Trip Tables Sup #1'!J100*(1+'PT Assumptions'!J49)</f>
        <v>34.969074334057126</v>
      </c>
      <c r="K100" s="1">
        <f ca="1">'Total Trip Tables Sup #1'!K100*(1+'PT Assumptions'!K49)</f>
        <v>36.553425957839139</v>
      </c>
    </row>
    <row r="101" spans="1:11" x14ac:dyDescent="0.2">
      <c r="A101" t="str">
        <f ca="1">OFFSET(Wellington_Reference,56,2)</f>
        <v>Local Ferry</v>
      </c>
      <c r="B101" s="4">
        <f ca="1">B167*'Total Trip Tables Sup #1'!B101</f>
        <v>0.22615005399999999</v>
      </c>
      <c r="C101" s="4">
        <f ca="1">C167*'Total Trip Tables Sup #1'!C101</f>
        <v>0.25195852553675613</v>
      </c>
      <c r="D101" s="4">
        <f ca="1">D167*'Total Trip Tables Sup #1'!D101</f>
        <v>0.26980101078352386</v>
      </c>
      <c r="E101" s="4">
        <f ca="1">E167*'Total Trip Tables Sup #1'!E101</f>
        <v>0.27898562439055602</v>
      </c>
      <c r="F101" s="4">
        <f ca="1">F167*'Total Trip Tables Sup #1'!F101</f>
        <v>0.28418859542420299</v>
      </c>
      <c r="G101" s="4">
        <f ca="1">G167*'Total Trip Tables Sup #1'!G101</f>
        <v>0.29488067836454546</v>
      </c>
      <c r="H101" s="4">
        <f ca="1">H167*'Total Trip Tables Sup #1'!H101</f>
        <v>0.30308201762715681</v>
      </c>
      <c r="I101" s="1">
        <f ca="1">I167*'Total Trip Tables Sup #1'!I101</f>
        <v>0.30748966461600247</v>
      </c>
      <c r="J101" s="1">
        <f ca="1">J167*'Total Trip Tables Sup #1'!J101</f>
        <v>0.31106446789261072</v>
      </c>
      <c r="K101" s="1">
        <f ca="1">K167*'Total Trip Tables Sup #1'!K101</f>
        <v>0.31410399715396958</v>
      </c>
    </row>
    <row r="102" spans="1:11" x14ac:dyDescent="0.2">
      <c r="A102" t="str">
        <f ca="1">OFFSET(Wellington_Reference,63,2)</f>
        <v>Other Household Travel</v>
      </c>
      <c r="B102" s="4">
        <f ca="1">B168*'Total Trip Tables Sup #1'!B102</f>
        <v>0.33422365529999998</v>
      </c>
      <c r="C102" s="4">
        <f ca="1">C168*'Total Trip Tables Sup #1'!C102</f>
        <v>0.3622605143768366</v>
      </c>
      <c r="D102" s="4">
        <f ca="1">D168*'Total Trip Tables Sup #1'!D102</f>
        <v>0.38671592180351194</v>
      </c>
      <c r="E102" s="4">
        <f ca="1">E168*'Total Trip Tables Sup #1'!E102</f>
        <v>0.40595766136057321</v>
      </c>
      <c r="F102" s="4">
        <f ca="1">F168*'Total Trip Tables Sup #1'!F102</f>
        <v>0.42169006136371945</v>
      </c>
      <c r="G102" s="4">
        <f ca="1">G168*'Total Trip Tables Sup #1'!G102</f>
        <v>0.43395542583915858</v>
      </c>
      <c r="H102" s="4">
        <f ca="1">H168*'Total Trip Tables Sup #1'!H102</f>
        <v>0.44009836392970092</v>
      </c>
      <c r="I102" s="1">
        <f ca="1">I168*'Total Trip Tables Sup #1'!I102</f>
        <v>0.45121319627574907</v>
      </c>
      <c r="J102" s="1">
        <f ca="1">J168*'Total Trip Tables Sup #1'!J102</f>
        <v>0.46125596934517848</v>
      </c>
      <c r="K102" s="1">
        <f ca="1">K168*'Total Trip Tables Sup #1'!K102</f>
        <v>0.47063360133899496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B159*'Total Trip Tables Sup #1'!B104</f>
        <v>34.609993433</v>
      </c>
      <c r="C104" s="4">
        <f ca="1">C159*'Total Trip Tables Sup #1'!C104*(1+'Active Mode Assumptions'!C7)</f>
        <v>35.725267636315166</v>
      </c>
      <c r="D104" s="4">
        <f ca="1">D159*'Total Trip Tables Sup #1'!D104*(1+'Active Mode Assumptions'!D7)</f>
        <v>37.614842155450553</v>
      </c>
      <c r="E104" s="4">
        <f ca="1">E159*'Total Trip Tables Sup #1'!E104*(1+'Active Mode Assumptions'!E7)</f>
        <v>39.045136570507303</v>
      </c>
      <c r="F104" s="4">
        <f ca="1">F159*'Total Trip Tables Sup #1'!F104*(1+'Active Mode Assumptions'!F7)</f>
        <v>40.059977948137785</v>
      </c>
      <c r="G104" s="4">
        <f ca="1">G159*'Total Trip Tables Sup #1'!G104*(1+'Active Mode Assumptions'!G7)</f>
        <v>40.791967886679302</v>
      </c>
      <c r="H104" s="4">
        <f ca="1">H159*'Total Trip Tables Sup #1'!H104*(1+'Active Mode Assumptions'!H7)</f>
        <v>41.242290367376391</v>
      </c>
      <c r="I104" s="1">
        <f ca="1">I159*'Total Trip Tables Sup #1'!I104*(1+'Active Mode Assumptions'!I7)</f>
        <v>41.138525971470166</v>
      </c>
      <c r="J104" s="1">
        <f ca="1">J159*'Total Trip Tables Sup #1'!J104*(1+'Active Mode Assumptions'!J7)</f>
        <v>40.907083413316194</v>
      </c>
      <c r="K104" s="1">
        <f ca="1">K159*'Total Trip Tables Sup #1'!K104*(1+'Active Mode Assumptions'!K7)</f>
        <v>40.592168778851459</v>
      </c>
    </row>
    <row r="105" spans="1:11" x14ac:dyDescent="0.2">
      <c r="A105" t="str">
        <f ca="1">OFFSET(Nelson_Reference,7,2)</f>
        <v>Cyclist</v>
      </c>
      <c r="B105" s="4">
        <f ca="1">B160*'Total Trip Tables Sup #1'!B105</f>
        <v>2.9519642961999999</v>
      </c>
      <c r="C105" s="4">
        <f ca="1">C160*'Total Trip Tables Sup #1'!C105*(1+'Active Mode Assumptions'!C16)</f>
        <v>3.047018528593088</v>
      </c>
      <c r="D105" s="4">
        <f ca="1">D160*'Total Trip Tables Sup #1'!D105*(1+'Active Mode Assumptions'!D16)</f>
        <v>3.6785539917726791</v>
      </c>
      <c r="E105" s="4">
        <f ca="1">E160*'Total Trip Tables Sup #1'!E105*(1+'Active Mode Assumptions'!E16)</f>
        <v>4.2533495819663596</v>
      </c>
      <c r="F105" s="4">
        <f ca="1">F160*'Total Trip Tables Sup #1'!F105*(1+'Active Mode Assumptions'!F16)</f>
        <v>4.8083353649405263</v>
      </c>
      <c r="G105" s="4">
        <f ca="1">G160*'Total Trip Tables Sup #1'!G105*(1+'Active Mode Assumptions'!G16)</f>
        <v>5.3355269876795104</v>
      </c>
      <c r="H105" s="4">
        <f ca="1">H160*'Total Trip Tables Sup #1'!H105*(1+'Active Mode Assumptions'!H16)</f>
        <v>5.8284392044483013</v>
      </c>
      <c r="I105" s="1">
        <f ca="1">I160*'Total Trip Tables Sup #1'!I105*(1+'Active Mode Assumptions'!I16)</f>
        <v>5.8217605810109001</v>
      </c>
      <c r="J105" s="1">
        <f ca="1">J160*'Total Trip Tables Sup #1'!J105*(1+'Active Mode Assumptions'!J16)</f>
        <v>5.7969657865995776</v>
      </c>
      <c r="K105" s="1">
        <f ca="1">K160*'Total Trip Tables Sup #1'!K105*(1+'Active Mode Assumptions'!K16)</f>
        <v>5.7602581661143546</v>
      </c>
    </row>
    <row r="106" spans="1:11" x14ac:dyDescent="0.2">
      <c r="A106" t="str">
        <f ca="1">OFFSET(Nelson_Reference,14,2)</f>
        <v>Light Vehicle Driver</v>
      </c>
      <c r="B106" s="4">
        <f ca="1">B161*'Total Trip Tables Sup #1'!B106</f>
        <v>98.206986838999995</v>
      </c>
      <c r="C106" s="4">
        <f ca="1">C161*'Total Trip Tables Sup #1'!C106-(C104*'Active Mode Assumptions'!C7*'Active Mode Assumptions'!C14/(1+'Active Mode Assumptions'!C7))-(C105*'Active Mode Assumptions'!C16*'Active Mode Assumptions'!C23/(1+'Active Mode Assumptions'!C16))</f>
        <v>104.018900152399</v>
      </c>
      <c r="D106" s="4">
        <f ca="1">D161*'Total Trip Tables Sup #1'!D106-(D104*'Active Mode Assumptions'!D7*'Active Mode Assumptions'!D14/(1+'Active Mode Assumptions'!D7))-(D105*'Active Mode Assumptions'!D16*'Active Mode Assumptions'!D23/(1+'Active Mode Assumptions'!D16))</f>
        <v>106.5420909215037</v>
      </c>
      <c r="E106" s="4">
        <f ca="1">E161*'Total Trip Tables Sup #1'!E106-(E104*'Active Mode Assumptions'!E7*'Active Mode Assumptions'!E14/(1+'Active Mode Assumptions'!E7))-(E105*'Active Mode Assumptions'!E16*'Active Mode Assumptions'!E23/(1+'Active Mode Assumptions'!E16))</f>
        <v>108.81870083705768</v>
      </c>
      <c r="F106" s="4">
        <f ca="1">F161*'Total Trip Tables Sup #1'!F106-(F104*'Active Mode Assumptions'!F7*'Active Mode Assumptions'!F14/(1+'Active Mode Assumptions'!F7))-(F105*'Active Mode Assumptions'!F16*'Active Mode Assumptions'!F23/(1+'Active Mode Assumptions'!F16))</f>
        <v>110.38656719669909</v>
      </c>
      <c r="G106" s="4">
        <f ca="1">G161*'Total Trip Tables Sup #1'!G106-(G104*'Active Mode Assumptions'!G7*'Active Mode Assumptions'!G14/(1+'Active Mode Assumptions'!G7))-(G105*'Active Mode Assumptions'!G16*'Active Mode Assumptions'!G23/(1+'Active Mode Assumptions'!G16))</f>
        <v>110.54582072590635</v>
      </c>
      <c r="H106" s="4">
        <f ca="1">H161*'Total Trip Tables Sup #1'!H106-(H104*'Active Mode Assumptions'!H7*'Active Mode Assumptions'!H14/(1+'Active Mode Assumptions'!H7))-(H105*'Active Mode Assumptions'!H16*'Active Mode Assumptions'!H23/(1+'Active Mode Assumptions'!H16))</f>
        <v>109.94402744141343</v>
      </c>
      <c r="I106" s="1">
        <f ca="1">I161*'Total Trip Tables Sup #1'!I106-(I104*'Active Mode Assumptions'!I7*'Active Mode Assumptions'!I14/(1+'Active Mode Assumptions'!I7))-(I105*'Active Mode Assumptions'!I16*'Active Mode Assumptions'!I23/(1+'Active Mode Assumptions'!I16))</f>
        <v>109.78288922313165</v>
      </c>
      <c r="J106" s="1">
        <f ca="1">J161*'Total Trip Tables Sup #1'!J106-(J104*'Active Mode Assumptions'!J7*'Active Mode Assumptions'!J14/(1+'Active Mode Assumptions'!J7))-(J105*'Active Mode Assumptions'!J16*'Active Mode Assumptions'!J23/(1+'Active Mode Assumptions'!J16))</f>
        <v>109.27829760895276</v>
      </c>
      <c r="K106" s="1">
        <f ca="1">K161*'Total Trip Tables Sup #1'!K106-(K104*'Active Mode Assumptions'!K7*'Active Mode Assumptions'!K14/(1+'Active Mode Assumptions'!K7))-(K105*'Active Mode Assumptions'!K16*'Active Mode Assumptions'!K23/(1+'Active Mode Assumptions'!K16))</f>
        <v>108.54747945408197</v>
      </c>
    </row>
    <row r="107" spans="1:11" x14ac:dyDescent="0.2">
      <c r="A107" t="str">
        <f ca="1">OFFSET(Nelson_Reference,21,2)</f>
        <v>Light Vehicle Passenger</v>
      </c>
      <c r="B107" s="4">
        <f ca="1">B162*'Total Trip Tables Sup #1'!B107</f>
        <v>45.895773311000006</v>
      </c>
      <c r="C107" s="4">
        <f ca="1">C162*'Total Trip Tables Sup #1'!C107-(C104*'Active Mode Assumptions'!C7*'Active Mode Assumptions'!C15/(1+'Active Mode Assumptions'!C7))-(C105*'Active Mode Assumptions'!C16*'Active Mode Assumptions'!C24/(1+'Active Mode Assumptions'!C16))</f>
        <v>46.390640531768625</v>
      </c>
      <c r="D107" s="4">
        <f ca="1">D162*'Total Trip Tables Sup #1'!D107-(D104*'Active Mode Assumptions'!D7*'Active Mode Assumptions'!D15/(1+'Active Mode Assumptions'!D7))-(D105*'Active Mode Assumptions'!D16*'Active Mode Assumptions'!D24/(1+'Active Mode Assumptions'!D16))</f>
        <v>45.929851927649629</v>
      </c>
      <c r="E107" s="4">
        <f ca="1">E162*'Total Trip Tables Sup #1'!E107-(E104*'Active Mode Assumptions'!E7*'Active Mode Assumptions'!E15/(1+'Active Mode Assumptions'!E7))-(E105*'Active Mode Assumptions'!E16*'Active Mode Assumptions'!E24/(1+'Active Mode Assumptions'!E16))</f>
        <v>45.288935724283796</v>
      </c>
      <c r="F107" s="4">
        <f ca="1">F162*'Total Trip Tables Sup #1'!F107-(F104*'Active Mode Assumptions'!F7*'Active Mode Assumptions'!F15/(1+'Active Mode Assumptions'!F7))-(F105*'Active Mode Assumptions'!F16*'Active Mode Assumptions'!F24/(1+'Active Mode Assumptions'!F16))</f>
        <v>44.472991364953316</v>
      </c>
      <c r="G107" s="4">
        <f ca="1">G162*'Total Trip Tables Sup #1'!G107-(G104*'Active Mode Assumptions'!G7*'Active Mode Assumptions'!G15/(1+'Active Mode Assumptions'!G7))-(G105*'Active Mode Assumptions'!G16*'Active Mode Assumptions'!G24/(1+'Active Mode Assumptions'!G16))</f>
        <v>43.336572329574935</v>
      </c>
      <c r="H107" s="4">
        <f ca="1">H162*'Total Trip Tables Sup #1'!H107-(H104*'Active Mode Assumptions'!H7*'Active Mode Assumptions'!H15/(1+'Active Mode Assumptions'!H7))-(H105*'Active Mode Assumptions'!H16*'Active Mode Assumptions'!H24/(1+'Active Mode Assumptions'!H16))</f>
        <v>41.921555195489674</v>
      </c>
      <c r="I107" s="1">
        <f ca="1">I162*'Total Trip Tables Sup #1'!I107-(I104*'Active Mode Assumptions'!I7*'Active Mode Assumptions'!I15/(1+'Active Mode Assumptions'!I7))-(I105*'Active Mode Assumptions'!I16*'Active Mode Assumptions'!I24/(1+'Active Mode Assumptions'!I16))</f>
        <v>41.866856481703813</v>
      </c>
      <c r="J107" s="1">
        <f ca="1">J162*'Total Trip Tables Sup #1'!J107-(J104*'Active Mode Assumptions'!J7*'Active Mode Assumptions'!J15/(1+'Active Mode Assumptions'!J7))-(J105*'Active Mode Assumptions'!J16*'Active Mode Assumptions'!J24/(1+'Active Mode Assumptions'!J16))</f>
        <v>41.680985517963464</v>
      </c>
      <c r="K107" s="1">
        <f ca="1">K162*'Total Trip Tables Sup #1'!K107-(K104*'Active Mode Assumptions'!K7*'Active Mode Assumptions'!K15/(1+'Active Mode Assumptions'!K7))-(K105*'Active Mode Assumptions'!K16*'Active Mode Assumptions'!K24/(1+'Active Mode Assumptions'!K16))</f>
        <v>41.408598229658431</v>
      </c>
    </row>
    <row r="108" spans="1:11" x14ac:dyDescent="0.2">
      <c r="A108" t="str">
        <f ca="1">OFFSET(Nelson_Reference,28,2)</f>
        <v>Taxi/Vehicle Share</v>
      </c>
      <c r="B108" s="4">
        <f ca="1">B163*'Total Trip Tables Sup #1'!B108</f>
        <v>0.40359339709999997</v>
      </c>
      <c r="C108" s="4">
        <f ca="1">C163*'Total Trip Tables Sup #1'!C108</f>
        <v>0.4463203884045121</v>
      </c>
      <c r="D108" s="4">
        <f ca="1">D163*'Total Trip Tables Sup #1'!D108</f>
        <v>0.47537283888207438</v>
      </c>
      <c r="E108" s="4">
        <f ca="1">E163*'Total Trip Tables Sup #1'!E108</f>
        <v>0.4953064270953656</v>
      </c>
      <c r="F108" s="4">
        <f ca="1">F163*'Total Trip Tables Sup #1'!F108</f>
        <v>0.50882242634542474</v>
      </c>
      <c r="G108" s="4">
        <f ca="1">G163*'Total Trip Tables Sup #1'!G108</f>
        <v>0.51341507662952945</v>
      </c>
      <c r="H108" s="4">
        <f ca="1">H163*'Total Trip Tables Sup #1'!H108</f>
        <v>0.51504668476482618</v>
      </c>
      <c r="I108" s="1">
        <f ca="1">I163*'Total Trip Tables Sup #1'!I108</f>
        <v>0.5134890040802913</v>
      </c>
      <c r="J108" s="1">
        <f ca="1">J163*'Total Trip Tables Sup #1'!J108</f>
        <v>0.51031364328189999</v>
      </c>
      <c r="K108" s="1">
        <f ca="1">K163*'Total Trip Tables Sup #1'!K108</f>
        <v>0.50607609661326103</v>
      </c>
    </row>
    <row r="109" spans="1:11" x14ac:dyDescent="0.2">
      <c r="A109" t="str">
        <f ca="1">OFFSET(Nelson_Reference,35,2)</f>
        <v>Motorcyclist</v>
      </c>
      <c r="B109" s="4">
        <f ca="1">B164*'Total Trip Tables Sup #1'!B109</f>
        <v>1.5095151791999999</v>
      </c>
      <c r="C109" s="4">
        <f ca="1">C164*'Total Trip Tables Sup #1'!C109</f>
        <v>1.5632854922011261</v>
      </c>
      <c r="D109" s="4">
        <f ca="1">D164*'Total Trip Tables Sup #1'!D109</f>
        <v>1.5739267177965488</v>
      </c>
      <c r="E109" s="4">
        <f ca="1">E164*'Total Trip Tables Sup #1'!E109</f>
        <v>1.5776421075592244</v>
      </c>
      <c r="F109" s="4">
        <f ca="1">F164*'Total Trip Tables Sup #1'!F109</f>
        <v>1.5689698146059328</v>
      </c>
      <c r="G109" s="4">
        <f ca="1">G164*'Total Trip Tables Sup #1'!G109</f>
        <v>1.531868642243984</v>
      </c>
      <c r="H109" s="4">
        <f ca="1">H164*'Total Trip Tables Sup #1'!H109</f>
        <v>1.4826515207480258</v>
      </c>
      <c r="I109" s="1">
        <f ca="1">I164*'Total Trip Tables Sup #1'!I109</f>
        <v>1.4842614854933629</v>
      </c>
      <c r="J109" s="1">
        <f ca="1">J164*'Total Trip Tables Sup #1'!J109</f>
        <v>1.4812059171533962</v>
      </c>
      <c r="K109" s="1">
        <f ca="1">K164*'Total Trip Tables Sup #1'!K109</f>
        <v>1.475039473121091</v>
      </c>
    </row>
    <row r="110" spans="1:11" x14ac:dyDescent="0.2">
      <c r="A110" t="str">
        <f ca="1">OFFSET(Nelson_Reference,42,2)</f>
        <v>Local Train</v>
      </c>
      <c r="B110" s="4">
        <f ca="1">B165*'Total Trip Tables Sup #1'!B110</f>
        <v>0</v>
      </c>
      <c r="C110" s="4">
        <f ca="1">C165*'Total Trip Tables Sup #1'!C110</f>
        <v>0</v>
      </c>
      <c r="D110" s="4">
        <f ca="1">D165*'Total Trip Tables Sup #1'!D110</f>
        <v>0</v>
      </c>
      <c r="E110" s="4">
        <f ca="1">E165*'Total Trip Tables Sup #1'!E110</f>
        <v>0</v>
      </c>
      <c r="F110" s="4">
        <f ca="1">F165*'Total Trip Tables Sup #1'!F110</f>
        <v>0</v>
      </c>
      <c r="G110" s="4">
        <f ca="1">G165*'Total Trip Tables Sup #1'!G110</f>
        <v>0</v>
      </c>
      <c r="H110" s="4">
        <f ca="1">H165*'Total Trip Tables Sup #1'!H110</f>
        <v>0</v>
      </c>
      <c r="I110" s="1">
        <f ca="1">I165*'Total Trip Tables Sup #1'!I110</f>
        <v>0</v>
      </c>
      <c r="J110" s="1">
        <f ca="1">J165*'Total Trip Tables Sup #1'!J110</f>
        <v>0</v>
      </c>
      <c r="K110" s="1">
        <f ca="1">K165*'Total Trip Tables Sup #1'!K110</f>
        <v>0</v>
      </c>
    </row>
    <row r="111" spans="1:11" x14ac:dyDescent="0.2">
      <c r="A111" t="str">
        <f ca="1">OFFSET(Nelson_Reference,49,2)</f>
        <v>Local Bus</v>
      </c>
      <c r="B111" s="4">
        <f ca="1">B166*'Total Trip Tables Sup #1'!B111</f>
        <v>2.0764681202999999</v>
      </c>
      <c r="C111" s="4">
        <f ca="1">C166*'Total Trip Tables Sup #1'!C111</f>
        <v>2.0210275069218948</v>
      </c>
      <c r="D111" s="4">
        <f ca="1">D166*'Total Trip Tables Sup #1'!D111</f>
        <v>1.9742834403531111</v>
      </c>
      <c r="E111" s="4">
        <f ca="1">E166*'Total Trip Tables Sup #1'!E111</f>
        <v>1.9488269532711511</v>
      </c>
      <c r="F111" s="4">
        <f ca="1">F166*'Total Trip Tables Sup #1'!F111</f>
        <v>1.8964720332354343</v>
      </c>
      <c r="G111" s="4">
        <f ca="1">G166*'Total Trip Tables Sup #1'!G111</f>
        <v>1.8502513685036173</v>
      </c>
      <c r="H111" s="4">
        <f ca="1">H166*'Total Trip Tables Sup #1'!H111</f>
        <v>1.7916737575332262</v>
      </c>
      <c r="I111" s="1">
        <f ca="1">I166*'Total Trip Tables Sup #1'!I111</f>
        <v>1.7900270695109033</v>
      </c>
      <c r="J111" s="1">
        <f ca="1">J166*'Total Trip Tables Sup #1'!J111</f>
        <v>1.7827398185202814</v>
      </c>
      <c r="K111" s="1">
        <f ca="1">K166*'Total Trip Tables Sup #1'!K111</f>
        <v>1.7717157631145872</v>
      </c>
    </row>
    <row r="112" spans="1:11" x14ac:dyDescent="0.2">
      <c r="A112" t="str">
        <f ca="1">OFFSET(Wellington_Reference,56,2)</f>
        <v>Local Ferry</v>
      </c>
      <c r="B112" s="4">
        <f ca="1">B167*'Total Trip Tables Sup #1'!B112</f>
        <v>0</v>
      </c>
      <c r="C112" s="4">
        <f ca="1">C167*'Total Trip Tables Sup #1'!C112</f>
        <v>0</v>
      </c>
      <c r="D112" s="4">
        <f ca="1">D167*'Total Trip Tables Sup #1'!D112</f>
        <v>0</v>
      </c>
      <c r="E112" s="4">
        <f ca="1">E167*'Total Trip Tables Sup #1'!E112</f>
        <v>0</v>
      </c>
      <c r="F112" s="4">
        <f ca="1">F167*'Total Trip Tables Sup #1'!F112</f>
        <v>0</v>
      </c>
      <c r="G112" s="4">
        <f ca="1">G167*'Total Trip Tables Sup #1'!G112</f>
        <v>0</v>
      </c>
      <c r="H112" s="4">
        <f ca="1">H167*'Total Trip Tables Sup #1'!H112</f>
        <v>0</v>
      </c>
      <c r="I112" s="1">
        <f ca="1">I167*'Total Trip Tables Sup #1'!I112</f>
        <v>0</v>
      </c>
      <c r="J112" s="1">
        <f ca="1">J167*'Total Trip Tables Sup #1'!J112</f>
        <v>0</v>
      </c>
      <c r="K112" s="1">
        <f ca="1">K167*'Total Trip Tables Sup #1'!K112</f>
        <v>0</v>
      </c>
    </row>
    <row r="113" spans="1:11" x14ac:dyDescent="0.2">
      <c r="A113" t="str">
        <f ca="1">OFFSET(Nelson_Reference,56,2)</f>
        <v>Other Household Travel</v>
      </c>
      <c r="B113" s="4">
        <f ca="1">B168*'Total Trip Tables Sup #1'!B113</f>
        <v>1.495105957</v>
      </c>
      <c r="C113" s="4">
        <f ca="1">C168*'Total Trip Tables Sup #1'!C113</f>
        <v>1.5634604117503252</v>
      </c>
      <c r="D113" s="4">
        <f ca="1">D168*'Total Trip Tables Sup #1'!D113</f>
        <v>1.6268883597294463</v>
      </c>
      <c r="E113" s="4">
        <f ca="1">E168*'Total Trip Tables Sup #1'!E113</f>
        <v>1.6725044940796485</v>
      </c>
      <c r="F113" s="4">
        <f ca="1">F168*'Total Trip Tables Sup #1'!F113</f>
        <v>1.7011002280136591</v>
      </c>
      <c r="G113" s="4">
        <f ca="1">G168*'Total Trip Tables Sup #1'!G113</f>
        <v>1.7133082656858933</v>
      </c>
      <c r="H113" s="4">
        <f ca="1">H168*'Total Trip Tables Sup #1'!H113</f>
        <v>1.6977942869993365</v>
      </c>
      <c r="I113" s="1">
        <f ca="1">I168*'Total Trip Tables Sup #1'!I113</f>
        <v>1.7005224940629253</v>
      </c>
      <c r="J113" s="1">
        <f ca="1">J168*'Total Trip Tables Sup #1'!J113</f>
        <v>1.6979524268120958</v>
      </c>
      <c r="K113" s="1">
        <f ca="1">K168*'Total Trip Tables Sup #1'!K113</f>
        <v>1.6918600933948076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B159*'Total Trip Tables Sup #1'!B115</f>
        <v>5.2699511529</v>
      </c>
      <c r="C115" s="4">
        <f ca="1">C159*'Total Trip Tables Sup #1'!C115*(1+'Active Mode Assumptions'!C7)</f>
        <v>5.1094239326870063</v>
      </c>
      <c r="D115" s="4">
        <f ca="1">D159*'Total Trip Tables Sup #1'!D115*(1+'Active Mode Assumptions'!D7)</f>
        <v>5.2220631376956641</v>
      </c>
      <c r="E115" s="4">
        <f ca="1">E159*'Total Trip Tables Sup #1'!E115*(1+'Active Mode Assumptions'!E7)</f>
        <v>5.2706059204943214</v>
      </c>
      <c r="F115" s="4">
        <f ca="1">F159*'Total Trip Tables Sup #1'!F115*(1+'Active Mode Assumptions'!F7)</f>
        <v>5.2602187051469453</v>
      </c>
      <c r="G115" s="4">
        <f ca="1">G159*'Total Trip Tables Sup #1'!G115*(1+'Active Mode Assumptions'!G7)</f>
        <v>5.2130734888713741</v>
      </c>
      <c r="H115" s="4">
        <f ca="1">H159*'Total Trip Tables Sup #1'!H115*(1+'Active Mode Assumptions'!H7)</f>
        <v>5.1431483978417587</v>
      </c>
      <c r="I115" s="1">
        <f ca="1">I159*'Total Trip Tables Sup #1'!I115*(1+'Active Mode Assumptions'!I7)</f>
        <v>5.0058936225537112</v>
      </c>
      <c r="J115" s="1">
        <f ca="1">J159*'Total Trip Tables Sup #1'!J115*(1+'Active Mode Assumptions'!J7)</f>
        <v>4.8568815606765616</v>
      </c>
      <c r="K115" s="1">
        <f ca="1">K159*'Total Trip Tables Sup #1'!K115*(1+'Active Mode Assumptions'!K7)</f>
        <v>4.702262105751112</v>
      </c>
    </row>
    <row r="116" spans="1:11" x14ac:dyDescent="0.2">
      <c r="A116" t="str">
        <f ca="1">OFFSET(West_Coast_Reference,7,2)</f>
        <v>Cyclist</v>
      </c>
      <c r="B116" s="4">
        <f ca="1">B160*'Total Trip Tables Sup #1'!B116</f>
        <v>0.73381292249999996</v>
      </c>
      <c r="C116" s="4">
        <f ca="1">C160*'Total Trip Tables Sup #1'!C116*(1+'Active Mode Assumptions'!C16)</f>
        <v>0.7114440051052191</v>
      </c>
      <c r="D116" s="4">
        <f ca="1">D160*'Total Trip Tables Sup #1'!D116*(1+'Active Mode Assumptions'!D16)</f>
        <v>0.83373722330106714</v>
      </c>
      <c r="E116" s="4">
        <f ca="1">E160*'Total Trip Tables Sup #1'!E116*(1+'Active Mode Assumptions'!E16)</f>
        <v>0.93733289863743041</v>
      </c>
      <c r="F116" s="4">
        <f ca="1">F160*'Total Trip Tables Sup #1'!F116*(1+'Active Mode Assumptions'!F16)</f>
        <v>1.0307587451909748</v>
      </c>
      <c r="G116" s="4">
        <f ca="1">G160*'Total Trip Tables Sup #1'!G116*(1+'Active Mode Assumptions'!G16)</f>
        <v>1.1131807646477527</v>
      </c>
      <c r="H116" s="4">
        <f ca="1">H160*'Total Trip Tables Sup #1'!H116*(1+'Active Mode Assumptions'!H16)</f>
        <v>1.1866092589651982</v>
      </c>
      <c r="I116" s="1">
        <f ca="1">I160*'Total Trip Tables Sup #1'!I116*(1+'Active Mode Assumptions'!I16)</f>
        <v>1.1565286965891466</v>
      </c>
      <c r="J116" s="1">
        <f ca="1">J160*'Total Trip Tables Sup #1'!J116*(1+'Active Mode Assumptions'!J16)</f>
        <v>1.1236444627393185</v>
      </c>
      <c r="K116" s="1">
        <f ca="1">K160*'Total Trip Tables Sup #1'!K116*(1+'Active Mode Assumptions'!K16)</f>
        <v>1.0893707446259924</v>
      </c>
    </row>
    <row r="117" spans="1:11" x14ac:dyDescent="0.2">
      <c r="A117" t="str">
        <f ca="1">OFFSET(West_Coast_Reference,14,2)</f>
        <v>Light Vehicle Driver</v>
      </c>
      <c r="B117" s="4">
        <f ca="1">B161*'Total Trip Tables Sup #1'!B117</f>
        <v>21.329902885999999</v>
      </c>
      <c r="C117" s="4">
        <f ca="1">C161*'Total Trip Tables Sup #1'!C117-(C115*'Active Mode Assumptions'!C7*'Active Mode Assumptions'!C14/(1+'Active Mode Assumptions'!C7))-(C116*'Active Mode Assumptions'!C16*'Active Mode Assumptions'!C23/(1+'Active Mode Assumptions'!C16))</f>
        <v>21.220231782795029</v>
      </c>
      <c r="D117" s="4">
        <f ca="1">D161*'Total Trip Tables Sup #1'!D117-(D115*'Active Mode Assumptions'!D7*'Active Mode Assumptions'!D14/(1+'Active Mode Assumptions'!D7))-(D116*'Active Mode Assumptions'!D16*'Active Mode Assumptions'!D23/(1+'Active Mode Assumptions'!D16))</f>
        <v>21.115228694689808</v>
      </c>
      <c r="E117" s="4">
        <f ca="1">E161*'Total Trip Tables Sup #1'!E117-(E115*'Active Mode Assumptions'!E7*'Active Mode Assumptions'!E14/(1+'Active Mode Assumptions'!E7))-(E116*'Active Mode Assumptions'!E16*'Active Mode Assumptions'!E23/(1+'Active Mode Assumptions'!E16))</f>
        <v>20.985794076098749</v>
      </c>
      <c r="F117" s="4">
        <f ca="1">F161*'Total Trip Tables Sup #1'!F117-(F115*'Active Mode Assumptions'!F7*'Active Mode Assumptions'!F14/(1+'Active Mode Assumptions'!F7))-(F116*'Active Mode Assumptions'!F16*'Active Mode Assumptions'!F23/(1+'Active Mode Assumptions'!F16))</f>
        <v>20.723125042421284</v>
      </c>
      <c r="G117" s="4">
        <f ca="1">G161*'Total Trip Tables Sup #1'!G117-(G115*'Active Mode Assumptions'!G7*'Active Mode Assumptions'!G14/(1+'Active Mode Assumptions'!G7))-(G116*'Active Mode Assumptions'!G16*'Active Mode Assumptions'!G23/(1+'Active Mode Assumptions'!G16))</f>
        <v>20.212324952389562</v>
      </c>
      <c r="H117" s="4">
        <f ca="1">H161*'Total Trip Tables Sup #1'!H117-(H115*'Active Mode Assumptions'!H7*'Active Mode Assumptions'!H14/(1+'Active Mode Assumptions'!H7))-(H116*'Active Mode Assumptions'!H16*'Active Mode Assumptions'!H23/(1+'Active Mode Assumptions'!H16))</f>
        <v>19.629515655126156</v>
      </c>
      <c r="I117" s="1">
        <f ca="1">I161*'Total Trip Tables Sup #1'!I117-(I115*'Active Mode Assumptions'!I7*'Active Mode Assumptions'!I14/(1+'Active Mode Assumptions'!I7))-(I116*'Active Mode Assumptions'!I16*'Active Mode Assumptions'!I23/(1+'Active Mode Assumptions'!I16))</f>
        <v>19.125682810335022</v>
      </c>
      <c r="J117" s="1">
        <f ca="1">J161*'Total Trip Tables Sup #1'!J117-(J115*'Active Mode Assumptions'!J7*'Active Mode Assumptions'!J14/(1+'Active Mode Assumptions'!J7))-(J116*'Active Mode Assumptions'!J16*'Active Mode Assumptions'!J23/(1+'Active Mode Assumptions'!J16))</f>
        <v>18.575481953548596</v>
      </c>
      <c r="K117" s="1">
        <f ca="1">K161*'Total Trip Tables Sup #1'!K117-(K115*'Active Mode Assumptions'!K7*'Active Mode Assumptions'!K14/(1+'Active Mode Assumptions'!K7))-(K116*'Active Mode Assumptions'!K16*'Active Mode Assumptions'!K23/(1+'Active Mode Assumptions'!K16))</f>
        <v>18.002353820722927</v>
      </c>
    </row>
    <row r="118" spans="1:11" x14ac:dyDescent="0.2">
      <c r="A118" t="str">
        <f ca="1">OFFSET(West_Coast_Reference,21,2)</f>
        <v>Light Vehicle Passenger</v>
      </c>
      <c r="B118" s="4">
        <f ca="1">B162*'Total Trip Tables Sup #1'!B118</f>
        <v>11.090105215000001</v>
      </c>
      <c r="C118" s="4">
        <f ca="1">C162*'Total Trip Tables Sup #1'!C118-(C115*'Active Mode Assumptions'!C7*'Active Mode Assumptions'!C15/(1+'Active Mode Assumptions'!C7))-(C116*'Active Mode Assumptions'!C16*'Active Mode Assumptions'!C24/(1+'Active Mode Assumptions'!C16))</f>
        <v>10.528941621022344</v>
      </c>
      <c r="D118" s="4">
        <f ca="1">D162*'Total Trip Tables Sup #1'!D118-(D115*'Active Mode Assumptions'!D7*'Active Mode Assumptions'!D15/(1+'Active Mode Assumptions'!D7))-(D116*'Active Mode Assumptions'!D16*'Active Mode Assumptions'!D24/(1+'Active Mode Assumptions'!D16))</f>
        <v>10.147458753469467</v>
      </c>
      <c r="E118" s="4">
        <f ca="1">E162*'Total Trip Tables Sup #1'!E118-(E115*'Active Mode Assumptions'!E7*'Active Mode Assumptions'!E15/(1+'Active Mode Assumptions'!E7))-(E116*'Active Mode Assumptions'!E16*'Active Mode Assumptions'!E24/(1+'Active Mode Assumptions'!E16))</f>
        <v>9.7570209710448808</v>
      </c>
      <c r="F118" s="4">
        <f ca="1">F162*'Total Trip Tables Sup #1'!F118-(F115*'Active Mode Assumptions'!F7*'Active Mode Assumptions'!F15/(1+'Active Mode Assumptions'!F7))-(F116*'Active Mode Assumptions'!F16*'Active Mode Assumptions'!F24/(1+'Active Mode Assumptions'!F16))</f>
        <v>9.347171333448161</v>
      </c>
      <c r="G118" s="4">
        <f ca="1">G162*'Total Trip Tables Sup #1'!G118-(G115*'Active Mode Assumptions'!G7*'Active Mode Assumptions'!G15/(1+'Active Mode Assumptions'!G7))-(G116*'Active Mode Assumptions'!G16*'Active Mode Assumptions'!G24/(1+'Active Mode Assumptions'!G16))</f>
        <v>8.8908921470610913</v>
      </c>
      <c r="H118" s="4">
        <f ca="1">H162*'Total Trip Tables Sup #1'!H118-(H115*'Active Mode Assumptions'!H7*'Active Mode Assumptions'!H15/(1+'Active Mode Assumptions'!H7))-(H116*'Active Mode Assumptions'!H16*'Active Mode Assumptions'!H24/(1+'Active Mode Assumptions'!H16))</f>
        <v>8.4178772299554865</v>
      </c>
      <c r="I118" s="1">
        <f ca="1">I162*'Total Trip Tables Sup #1'!I118-(I115*'Active Mode Assumptions'!I7*'Active Mode Assumptions'!I15/(1+'Active Mode Assumptions'!I7))-(I116*'Active Mode Assumptions'!I16*'Active Mode Assumptions'!I24/(1+'Active Mode Assumptions'!I16))</f>
        <v>8.2030292806368621</v>
      </c>
      <c r="J118" s="1">
        <f ca="1">J162*'Total Trip Tables Sup #1'!J118-(J115*'Active Mode Assumptions'!J7*'Active Mode Assumptions'!J15/(1+'Active Mode Assumptions'!J7))-(J116*'Active Mode Assumptions'!J16*'Active Mode Assumptions'!J24/(1+'Active Mode Assumptions'!J16))</f>
        <v>7.9682000939825652</v>
      </c>
      <c r="K118" s="1">
        <f ca="1">K162*'Total Trip Tables Sup #1'!K118-(K115*'Active Mode Assumptions'!K7*'Active Mode Assumptions'!K15/(1+'Active Mode Assumptions'!K7))-(K116*'Active Mode Assumptions'!K16*'Active Mode Assumptions'!K24/(1+'Active Mode Assumptions'!K16))</f>
        <v>7.7234393127375638</v>
      </c>
    </row>
    <row r="119" spans="1:11" x14ac:dyDescent="0.2">
      <c r="A119" t="str">
        <f ca="1">OFFSET(West_Coast_Reference,28,2)</f>
        <v>Taxi/Vehicle Share</v>
      </c>
      <c r="B119" s="4">
        <f ca="1">B163*'Total Trip Tables Sup #1'!B119</f>
        <v>0.29973375209999997</v>
      </c>
      <c r="C119" s="4">
        <f ca="1">C163*'Total Trip Tables Sup #1'!C119</f>
        <v>0.31133625581654201</v>
      </c>
      <c r="D119" s="4">
        <f ca="1">D163*'Total Trip Tables Sup #1'!D119</f>
        <v>0.32188724193645102</v>
      </c>
      <c r="E119" s="4">
        <f ca="1">E163*'Total Trip Tables Sup #1'!E119</f>
        <v>0.3261024695417577</v>
      </c>
      <c r="F119" s="4">
        <f ca="1">F163*'Total Trip Tables Sup #1'!F119</f>
        <v>0.32587111374885136</v>
      </c>
      <c r="G119" s="4">
        <f ca="1">G163*'Total Trip Tables Sup #1'!G119</f>
        <v>0.32001794559966329</v>
      </c>
      <c r="H119" s="4">
        <f ca="1">H163*'Total Trip Tables Sup #1'!H119</f>
        <v>0.31327042830935908</v>
      </c>
      <c r="I119" s="1">
        <f ca="1">I163*'Total Trip Tables Sup #1'!I119</f>
        <v>0.30475480577736663</v>
      </c>
      <c r="J119" s="1">
        <f ca="1">J163*'Total Trip Tables Sup #1'!J119</f>
        <v>0.29551715763321618</v>
      </c>
      <c r="K119" s="1">
        <f ca="1">K163*'Total Trip Tables Sup #1'!K119</f>
        <v>0.28593474239649186</v>
      </c>
    </row>
    <row r="120" spans="1:11" x14ac:dyDescent="0.2">
      <c r="A120" t="str">
        <f ca="1">OFFSET(West_Coast_Reference,35,2)</f>
        <v>Motorcyclist</v>
      </c>
      <c r="B120" s="4">
        <f ca="1">B164*'Total Trip Tables Sup #1'!B120</f>
        <v>6.1723256599999998E-2</v>
      </c>
      <c r="C120" s="4">
        <f ca="1">C164*'Total Trip Tables Sup #1'!C120</f>
        <v>6.0040046370430457E-2</v>
      </c>
      <c r="D120" s="4">
        <f ca="1">D164*'Total Trip Tables Sup #1'!D120</f>
        <v>5.867777762641084E-2</v>
      </c>
      <c r="E120" s="4">
        <f ca="1">E164*'Total Trip Tables Sup #1'!E120</f>
        <v>5.7188454893907524E-2</v>
      </c>
      <c r="F120" s="4">
        <f ca="1">F164*'Total Trip Tables Sup #1'!F120</f>
        <v>5.532404911809706E-2</v>
      </c>
      <c r="G120" s="4">
        <f ca="1">G164*'Total Trip Tables Sup #1'!G120</f>
        <v>5.2571091110099555E-2</v>
      </c>
      <c r="H120" s="4">
        <f ca="1">H164*'Total Trip Tables Sup #1'!H120</f>
        <v>4.9651416365651901E-2</v>
      </c>
      <c r="I120" s="1">
        <f ca="1">I164*'Total Trip Tables Sup #1'!I120</f>
        <v>4.8500876006311332E-2</v>
      </c>
      <c r="J120" s="1">
        <f ca="1">J164*'Total Trip Tables Sup #1'!J120</f>
        <v>4.7225950707235419E-2</v>
      </c>
      <c r="K120" s="1">
        <f ca="1">K164*'Total Trip Tables Sup #1'!K120</f>
        <v>4.588539711076605E-2</v>
      </c>
    </row>
    <row r="121" spans="1:11" x14ac:dyDescent="0.2">
      <c r="A121" t="str">
        <f ca="1">OFFSET(Nelson_Reference,42,2)</f>
        <v>Local Train</v>
      </c>
      <c r="B121" s="4">
        <f ca="1">B165*'Total Trip Tables Sup #1'!B121</f>
        <v>0</v>
      </c>
      <c r="C121" s="4">
        <f ca="1">C165*'Total Trip Tables Sup #1'!C121</f>
        <v>0</v>
      </c>
      <c r="D121" s="4">
        <f ca="1">D165*'Total Trip Tables Sup #1'!D121</f>
        <v>0</v>
      </c>
      <c r="E121" s="4">
        <f ca="1">E165*'Total Trip Tables Sup #1'!E121</f>
        <v>0</v>
      </c>
      <c r="F121" s="4">
        <f ca="1">F165*'Total Trip Tables Sup #1'!F121</f>
        <v>0</v>
      </c>
      <c r="G121" s="4">
        <f ca="1">G165*'Total Trip Tables Sup #1'!G121</f>
        <v>0</v>
      </c>
      <c r="H121" s="4">
        <f ca="1">H165*'Total Trip Tables Sup #1'!H121</f>
        <v>0</v>
      </c>
      <c r="I121" s="1">
        <f ca="1">I165*'Total Trip Tables Sup #1'!I121</f>
        <v>0</v>
      </c>
      <c r="J121" s="1">
        <f ca="1">J165*'Total Trip Tables Sup #1'!J121</f>
        <v>0</v>
      </c>
      <c r="K121" s="1">
        <f ca="1">K165*'Total Trip Tables Sup #1'!K121</f>
        <v>0</v>
      </c>
    </row>
    <row r="122" spans="1:11" x14ac:dyDescent="0.2">
      <c r="A122" t="str">
        <f ca="1">OFFSET(West_Coast_Reference,42,2)</f>
        <v>Local Bus</v>
      </c>
      <c r="B122" s="4">
        <f ca="1">B166*'Total Trip Tables Sup #1'!B122</f>
        <v>0.50805546800000001</v>
      </c>
      <c r="C122" s="4">
        <f ca="1">C166*'Total Trip Tables Sup #1'!C122</f>
        <v>0.46446122205993656</v>
      </c>
      <c r="D122" s="4">
        <f ca="1">D166*'Total Trip Tables Sup #1'!D122</f>
        <v>0.44042622062029574</v>
      </c>
      <c r="E122" s="4">
        <f ca="1">E166*'Total Trip Tables Sup #1'!E122</f>
        <v>0.42271500678656282</v>
      </c>
      <c r="F122" s="4">
        <f ca="1">F166*'Total Trip Tables Sup #1'!F122</f>
        <v>0.40014770205875072</v>
      </c>
      <c r="G122" s="4">
        <f ca="1">G166*'Total Trip Tables Sup #1'!G122</f>
        <v>0.37995373095722784</v>
      </c>
      <c r="H122" s="4">
        <f ca="1">H166*'Total Trip Tables Sup #1'!H122</f>
        <v>0.35902608360964328</v>
      </c>
      <c r="I122" s="1">
        <f ca="1">I166*'Total Trip Tables Sup #1'!I122</f>
        <v>0.35000421759477301</v>
      </c>
      <c r="J122" s="1">
        <f ca="1">J166*'Total Trip Tables Sup #1'!J122</f>
        <v>0.34011653860012192</v>
      </c>
      <c r="K122" s="1">
        <f ca="1">K166*'Total Trip Tables Sup #1'!K122</f>
        <v>0.32979146798659914</v>
      </c>
    </row>
    <row r="123" spans="1:11" x14ac:dyDescent="0.2">
      <c r="A123" t="str">
        <f ca="1">OFFSET(Wellington_Reference,56,2)</f>
        <v>Local Ferry</v>
      </c>
      <c r="B123" s="4">
        <f ca="1">B167*'Total Trip Tables Sup #1'!B123</f>
        <v>0</v>
      </c>
      <c r="C123" s="4">
        <f ca="1">C167*'Total Trip Tables Sup #1'!C123</f>
        <v>0</v>
      </c>
      <c r="D123" s="4">
        <f ca="1">D167*'Total Trip Tables Sup #1'!D123</f>
        <v>0</v>
      </c>
      <c r="E123" s="4">
        <f ca="1">E167*'Total Trip Tables Sup #1'!E123</f>
        <v>0</v>
      </c>
      <c r="F123" s="4">
        <f ca="1">F167*'Total Trip Tables Sup #1'!F123</f>
        <v>0</v>
      </c>
      <c r="G123" s="4">
        <f ca="1">G167*'Total Trip Tables Sup #1'!G123</f>
        <v>0</v>
      </c>
      <c r="H123" s="4">
        <f ca="1">H167*'Total Trip Tables Sup #1'!H123</f>
        <v>0</v>
      </c>
      <c r="I123" s="1">
        <f ca="1">I167*'Total Trip Tables Sup #1'!I123</f>
        <v>0</v>
      </c>
      <c r="J123" s="1">
        <f ca="1">J167*'Total Trip Tables Sup #1'!J123</f>
        <v>0</v>
      </c>
      <c r="K123" s="1">
        <f ca="1">K167*'Total Trip Tables Sup #1'!K123</f>
        <v>0</v>
      </c>
    </row>
    <row r="124" spans="1:11" x14ac:dyDescent="0.2">
      <c r="A124" t="str">
        <f ca="1">OFFSET(West_Coast_Reference,49,2)</f>
        <v>Other Household Travel</v>
      </c>
      <c r="B124" s="4">
        <f ca="1">B168*'Total Trip Tables Sup #1'!B124</f>
        <v>2.77012627E-2</v>
      </c>
      <c r="C124" s="4">
        <f ca="1">C168*'Total Trip Tables Sup #1'!C124</f>
        <v>2.7208578761028078E-2</v>
      </c>
      <c r="D124" s="4">
        <f ca="1">D168*'Total Trip Tables Sup #1'!D124</f>
        <v>2.7482937335161807E-2</v>
      </c>
      <c r="E124" s="4">
        <f ca="1">E168*'Total Trip Tables Sup #1'!E124</f>
        <v>2.7471565811240838E-2</v>
      </c>
      <c r="F124" s="4">
        <f ca="1">F168*'Total Trip Tables Sup #1'!F124</f>
        <v>2.7179753850877581E-2</v>
      </c>
      <c r="G124" s="4">
        <f ca="1">G168*'Total Trip Tables Sup #1'!G124</f>
        <v>2.6642637842652427E-2</v>
      </c>
      <c r="H124" s="4">
        <f ca="1">H168*'Total Trip Tables Sup #1'!H124</f>
        <v>2.5762847859112668E-2</v>
      </c>
      <c r="I124" s="1">
        <f ca="1">I168*'Total Trip Tables Sup #1'!I124</f>
        <v>2.5178960242611556E-2</v>
      </c>
      <c r="J124" s="1">
        <f ca="1">J168*'Total Trip Tables Sup #1'!J124</f>
        <v>2.453053588536068E-2</v>
      </c>
      <c r="K124" s="1">
        <f ca="1">K168*'Total Trip Tables Sup #1'!K124</f>
        <v>2.3847977063478611E-2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B159*'Total Trip Tables Sup #1'!B126</f>
        <v>131.04676542000001</v>
      </c>
      <c r="C126" s="4">
        <f ca="1">C159*'Total Trip Tables Sup #1'!C126*(1+'Active Mode Assumptions'!C7)</f>
        <v>144.82805415762297</v>
      </c>
      <c r="D126" s="4">
        <f ca="1">D159*'Total Trip Tables Sup #1'!D126*(1+'Active Mode Assumptions'!D7)</f>
        <v>159.38221572384066</v>
      </c>
      <c r="E126" s="4">
        <f ca="1">E159*'Total Trip Tables Sup #1'!E126*(1+'Active Mode Assumptions'!E7)</f>
        <v>171.0324101682011</v>
      </c>
      <c r="F126" s="4">
        <f ca="1">F159*'Total Trip Tables Sup #1'!F126*(1+'Active Mode Assumptions'!F7)</f>
        <v>181.33419313802403</v>
      </c>
      <c r="G126" s="4">
        <f ca="1">G159*'Total Trip Tables Sup #1'!G126*(1+'Active Mode Assumptions'!G7)</f>
        <v>190.88664162502084</v>
      </c>
      <c r="H126" s="4">
        <f ca="1">H159*'Total Trip Tables Sup #1'!H126*(1+'Active Mode Assumptions'!H7)</f>
        <v>199.80822942688002</v>
      </c>
      <c r="I126" s="1">
        <f ca="1">I159*'Total Trip Tables Sup #1'!I126*(1+'Active Mode Assumptions'!I7)</f>
        <v>206.35038422349018</v>
      </c>
      <c r="J126" s="1">
        <f ca="1">J159*'Total Trip Tables Sup #1'!J126*(1+'Active Mode Assumptions'!J7)</f>
        <v>212.44985384648223</v>
      </c>
      <c r="K126" s="1">
        <f ca="1">K159*'Total Trip Tables Sup #1'!K126*(1+'Active Mode Assumptions'!K7)</f>
        <v>218.28110576820833</v>
      </c>
    </row>
    <row r="127" spans="1:11" x14ac:dyDescent="0.2">
      <c r="A127" t="str">
        <f ca="1">OFFSET(Canterbury_Reference,7,2)</f>
        <v>Cyclist</v>
      </c>
      <c r="B127" s="4">
        <f ca="1">B160*'Total Trip Tables Sup #1'!B127</f>
        <v>23.740018446000001</v>
      </c>
      <c r="C127" s="4">
        <f ca="1">C160*'Total Trip Tables Sup #1'!C127*(1+'Active Mode Assumptions'!C16)</f>
        <v>26.23599035207469</v>
      </c>
      <c r="D127" s="4">
        <f ca="1">D160*'Total Trip Tables Sup #1'!D127*(1+'Active Mode Assumptions'!D16)</f>
        <v>33.105710562386086</v>
      </c>
      <c r="E127" s="4">
        <f ca="1">E160*'Total Trip Tables Sup #1'!E127*(1+'Active Mode Assumptions'!E16)</f>
        <v>39.571973628107614</v>
      </c>
      <c r="F127" s="4">
        <f ca="1">F160*'Total Trip Tables Sup #1'!F127*(1+'Active Mode Assumptions'!F16)</f>
        <v>46.228405230883617</v>
      </c>
      <c r="G127" s="4">
        <f ca="1">G160*'Total Trip Tables Sup #1'!G127*(1+'Active Mode Assumptions'!G16)</f>
        <v>53.030212057899149</v>
      </c>
      <c r="H127" s="4">
        <f ca="1">H160*'Total Trip Tables Sup #1'!H127*(1+'Active Mode Assumptions'!H16)</f>
        <v>59.974692400470119</v>
      </c>
      <c r="I127" s="1">
        <f ca="1">I160*'Total Trip Tables Sup #1'!I127*(1+'Active Mode Assumptions'!I16)</f>
        <v>62.023469905616892</v>
      </c>
      <c r="J127" s="1">
        <f ca="1">J160*'Total Trip Tables Sup #1'!J127*(1+'Active Mode Assumptions'!J16)</f>
        <v>63.944591922474181</v>
      </c>
      <c r="K127" s="1">
        <f ca="1">K160*'Total Trip Tables Sup #1'!K127*(1+'Active Mode Assumptions'!K16)</f>
        <v>65.79016876661143</v>
      </c>
    </row>
    <row r="128" spans="1:11" x14ac:dyDescent="0.2">
      <c r="A128" t="str">
        <f ca="1">OFFSET(Canterbury_Reference,14,2)</f>
        <v>Light Vehicle Driver</v>
      </c>
      <c r="B128" s="4">
        <f ca="1">B161*'Total Trip Tables Sup #1'!B128</f>
        <v>417.41567177000002</v>
      </c>
      <c r="C128" s="4">
        <f ca="1">C161*'Total Trip Tables Sup #1'!C128-(C126*'Active Mode Assumptions'!C7*'Active Mode Assumptions'!C14/(1+'Active Mode Assumptions'!C7))-(C127*'Active Mode Assumptions'!C16*'Active Mode Assumptions'!C23/(1+'Active Mode Assumptions'!C16))</f>
        <v>473.35943441973114</v>
      </c>
      <c r="D128" s="4">
        <f ca="1">D161*'Total Trip Tables Sup #1'!D128-(D126*'Active Mode Assumptions'!D7*'Active Mode Assumptions'!D14/(1+'Active Mode Assumptions'!D7))-(D127*'Active Mode Assumptions'!D16*'Active Mode Assumptions'!D23/(1+'Active Mode Assumptions'!D16))</f>
        <v>506.29868400903155</v>
      </c>
      <c r="E128" s="4">
        <f ca="1">E161*'Total Trip Tables Sup #1'!E128-(E126*'Active Mode Assumptions'!E7*'Active Mode Assumptions'!E14/(1+'Active Mode Assumptions'!E7))-(E127*'Active Mode Assumptions'!E16*'Active Mode Assumptions'!E23/(1+'Active Mode Assumptions'!E16))</f>
        <v>534.13279366852419</v>
      </c>
      <c r="F128" s="4">
        <f ca="1">F161*'Total Trip Tables Sup #1'!F128-(F126*'Active Mode Assumptions'!F7*'Active Mode Assumptions'!F14/(1+'Active Mode Assumptions'!F7))-(F127*'Active Mode Assumptions'!F16*'Active Mode Assumptions'!F23/(1+'Active Mode Assumptions'!F16))</f>
        <v>559.45357244579691</v>
      </c>
      <c r="G128" s="4">
        <f ca="1">G161*'Total Trip Tables Sup #1'!G128-(G126*'Active Mode Assumptions'!G7*'Active Mode Assumptions'!G14/(1+'Active Mode Assumptions'!G7))-(G127*'Active Mode Assumptions'!G16*'Active Mode Assumptions'!G23/(1+'Active Mode Assumptions'!G16))</f>
        <v>578.71906228432249</v>
      </c>
      <c r="H128" s="4">
        <f ca="1">H161*'Total Trip Tables Sup #1'!H128-(H126*'Active Mode Assumptions'!H7*'Active Mode Assumptions'!H14/(1+'Active Mode Assumptions'!H7))-(H127*'Active Mode Assumptions'!H16*'Active Mode Assumptions'!H23/(1+'Active Mode Assumptions'!H16))</f>
        <v>595.40653619419777</v>
      </c>
      <c r="I128" s="1">
        <f ca="1">I161*'Total Trip Tables Sup #1'!I128-(I126*'Active Mode Assumptions'!I7*'Active Mode Assumptions'!I14/(1+'Active Mode Assumptions'!I7))-(I127*'Active Mode Assumptions'!I16*'Active Mode Assumptions'!I23/(1+'Active Mode Assumptions'!I16))</f>
        <v>615.54663767487625</v>
      </c>
      <c r="J128" s="1">
        <f ca="1">J161*'Total Trip Tables Sup #1'!J128-(J126*'Active Mode Assumptions'!J7*'Active Mode Assumptions'!J14/(1+'Active Mode Assumptions'!J7))-(J127*'Active Mode Assumptions'!J16*'Active Mode Assumptions'!J23/(1+'Active Mode Assumptions'!J16))</f>
        <v>634.39529015651465</v>
      </c>
      <c r="K128" s="1">
        <f ca="1">K161*'Total Trip Tables Sup #1'!K128-(K126*'Active Mode Assumptions'!K7*'Active Mode Assumptions'!K14/(1+'Active Mode Assumptions'!K7))-(K127*'Active Mode Assumptions'!K16*'Active Mode Assumptions'!K23/(1+'Active Mode Assumptions'!K16))</f>
        <v>652.46927145326765</v>
      </c>
    </row>
    <row r="129" spans="1:11" x14ac:dyDescent="0.2">
      <c r="A129" t="str">
        <f ca="1">OFFSET(Canterbury_Reference,21,2)</f>
        <v>Light Vehicle Passenger</v>
      </c>
      <c r="B129" s="4">
        <f ca="1">B162*'Total Trip Tables Sup #1'!B129</f>
        <v>189.77500578000001</v>
      </c>
      <c r="C129" s="4">
        <f ca="1">C162*'Total Trip Tables Sup #1'!C129-(C126*'Active Mode Assumptions'!C7*'Active Mode Assumptions'!C15/(1+'Active Mode Assumptions'!C7))-(C127*'Active Mode Assumptions'!C16*'Active Mode Assumptions'!C24/(1+'Active Mode Assumptions'!C16))</f>
        <v>205.37572345361579</v>
      </c>
      <c r="D129" s="4">
        <f ca="1">D162*'Total Trip Tables Sup #1'!D129-(D126*'Active Mode Assumptions'!D7*'Active Mode Assumptions'!D15/(1+'Active Mode Assumptions'!D7))-(D127*'Active Mode Assumptions'!D16*'Active Mode Assumptions'!D24/(1+'Active Mode Assumptions'!D16))</f>
        <v>211.999400100332</v>
      </c>
      <c r="E129" s="4">
        <f ca="1">E162*'Total Trip Tables Sup #1'!E129-(E126*'Active Mode Assumptions'!E7*'Active Mode Assumptions'!E15/(1+'Active Mode Assumptions'!E7))-(E127*'Active Mode Assumptions'!E16*'Active Mode Assumptions'!E24/(1+'Active Mode Assumptions'!E16))</f>
        <v>215.56149958304766</v>
      </c>
      <c r="F129" s="4">
        <f ca="1">F162*'Total Trip Tables Sup #1'!F129-(F126*'Active Mode Assumptions'!F7*'Active Mode Assumptions'!F15/(1+'Active Mode Assumptions'!F7))-(F127*'Active Mode Assumptions'!F16*'Active Mode Assumptions'!F24/(1+'Active Mode Assumptions'!F16))</f>
        <v>218.18157169239026</v>
      </c>
      <c r="G129" s="4">
        <f ca="1">G162*'Total Trip Tables Sup #1'!G129-(G126*'Active Mode Assumptions'!G7*'Active Mode Assumptions'!G15/(1+'Active Mode Assumptions'!G7))-(G127*'Active Mode Assumptions'!G16*'Active Mode Assumptions'!G24/(1+'Active Mode Assumptions'!G16))</f>
        <v>219.20403635745649</v>
      </c>
      <c r="H129" s="4">
        <f ca="1">H162*'Total Trip Tables Sup #1'!H129-(H126*'Active Mode Assumptions'!H7*'Active Mode Assumptions'!H15/(1+'Active Mode Assumptions'!H7))-(H127*'Active Mode Assumptions'!H16*'Active Mode Assumptions'!H24/(1+'Active Mode Assumptions'!H16))</f>
        <v>218.91790428649034</v>
      </c>
      <c r="I129" s="1">
        <f ca="1">I162*'Total Trip Tables Sup #1'!I129-(I126*'Active Mode Assumptions'!I7*'Active Mode Assumptions'!I15/(1+'Active Mode Assumptions'!I7))-(I127*'Active Mode Assumptions'!I16*'Active Mode Assumptions'!I24/(1+'Active Mode Assumptions'!I16))</f>
        <v>226.35871302953717</v>
      </c>
      <c r="J129" s="1">
        <f ca="1">J162*'Total Trip Tables Sup #1'!J129-(J126*'Active Mode Assumptions'!J7*'Active Mode Assumptions'!J15/(1+'Active Mode Assumptions'!J7))-(J127*'Active Mode Assumptions'!J16*'Active Mode Assumptions'!J24/(1+'Active Mode Assumptions'!J16))</f>
        <v>233.32597323065934</v>
      </c>
      <c r="K129" s="1">
        <f ca="1">K162*'Total Trip Tables Sup #1'!K129-(K126*'Active Mode Assumptions'!K7*'Active Mode Assumptions'!K15/(1+'Active Mode Assumptions'!K7))-(K127*'Active Mode Assumptions'!K16*'Active Mode Assumptions'!K24/(1+'Active Mode Assumptions'!K16))</f>
        <v>240.00945653514307</v>
      </c>
    </row>
    <row r="130" spans="1:11" x14ac:dyDescent="0.2">
      <c r="A130" t="str">
        <f ca="1">OFFSET(Canterbury_Reference,28,2)</f>
        <v>Taxi/Vehicle Share</v>
      </c>
      <c r="B130" s="4">
        <f ca="1">B163*'Total Trip Tables Sup #1'!B130</f>
        <v>2.2446435044999999</v>
      </c>
      <c r="C130" s="4">
        <f ca="1">C163*'Total Trip Tables Sup #1'!C130</f>
        <v>2.6576786376983241</v>
      </c>
      <c r="D130" s="4">
        <f ca="1">D163*'Total Trip Tables Sup #1'!D130</f>
        <v>2.9586494722247503</v>
      </c>
      <c r="E130" s="4">
        <f ca="1">E163*'Total Trip Tables Sup #1'!E130</f>
        <v>3.18686720827667</v>
      </c>
      <c r="F130" s="4">
        <f ca="1">F163*'Total Trip Tables Sup #1'!F130</f>
        <v>3.3830917602757662</v>
      </c>
      <c r="G130" s="4">
        <f ca="1">G163*'Total Trip Tables Sup #1'!G130</f>
        <v>3.5289705363459714</v>
      </c>
      <c r="H130" s="4">
        <f ca="1">H163*'Total Trip Tables Sup #1'!H130</f>
        <v>3.6651835302109279</v>
      </c>
      <c r="I130" s="1">
        <f ca="1">I163*'Total Trip Tables Sup #1'!I130</f>
        <v>3.7832604284030782</v>
      </c>
      <c r="J130" s="1">
        <f ca="1">J163*'Total Trip Tables Sup #1'!J130</f>
        <v>3.8929034635969288</v>
      </c>
      <c r="K130" s="1">
        <f ca="1">K163*'Total Trip Tables Sup #1'!K130</f>
        <v>3.9973138549955007</v>
      </c>
    </row>
    <row r="131" spans="1:11" x14ac:dyDescent="0.2">
      <c r="A131" t="str">
        <f ca="1">OFFSET(Canterbury_Reference,35,2)</f>
        <v>Motorcyclist</v>
      </c>
      <c r="B131" s="4">
        <f ca="1">B164*'Total Trip Tables Sup #1'!B131</f>
        <v>1.4451657518000001</v>
      </c>
      <c r="C131" s="4">
        <f ca="1">C164*'Total Trip Tables Sup #1'!C131</f>
        <v>1.6023998279805205</v>
      </c>
      <c r="D131" s="4">
        <f ca="1">D164*'Total Trip Tables Sup #1'!D131</f>
        <v>1.6862443653217463</v>
      </c>
      <c r="E131" s="4">
        <f ca="1">E164*'Total Trip Tables Sup #1'!E131</f>
        <v>1.7473316605656952</v>
      </c>
      <c r="F131" s="4">
        <f ca="1">F164*'Total Trip Tables Sup #1'!F131</f>
        <v>1.7957214651173428</v>
      </c>
      <c r="G131" s="4">
        <f ca="1">G164*'Total Trip Tables Sup #1'!G131</f>
        <v>1.812499075494556</v>
      </c>
      <c r="H131" s="4">
        <f ca="1">H164*'Total Trip Tables Sup #1'!H131</f>
        <v>1.8162058515911952</v>
      </c>
      <c r="I131" s="1">
        <f ca="1">I164*'Total Trip Tables Sup #1'!I131</f>
        <v>1.8824452813517438</v>
      </c>
      <c r="J131" s="1">
        <f ca="1">J164*'Total Trip Tables Sup #1'!J131</f>
        <v>1.945040935834589</v>
      </c>
      <c r="K131" s="1">
        <f ca="1">K164*'Total Trip Tables Sup #1'!K131</f>
        <v>2.0055473477678949</v>
      </c>
    </row>
    <row r="132" spans="1:11" x14ac:dyDescent="0.2">
      <c r="A132" t="str">
        <f ca="1">OFFSET(Canterbury_Reference,42,2)</f>
        <v>Local Train</v>
      </c>
      <c r="B132" s="4">
        <f ca="1" xml:space="preserve"> 'Total Trip Tables Sup #1'!B132</f>
        <v>2.1901243099999999E-2</v>
      </c>
      <c r="C132" s="4">
        <f ca="1" xml:space="preserve"> 'Total Trip Tables Sup #1'!C132</f>
        <v>2.25451279E-2</v>
      </c>
      <c r="D132" s="4">
        <f ca="1" xml:space="preserve"> 'Total Trip Tables Sup #1'!D132</f>
        <v>1.9279195900000001E-2</v>
      </c>
      <c r="E132" s="4">
        <f ca="1" xml:space="preserve"> 'Total Trip Tables Sup #1'!E132</f>
        <v>1.79855854E-2</v>
      </c>
      <c r="F132" s="4">
        <f ca="1" xml:space="preserve"> 'Total Trip Tables Sup #1'!F132</f>
        <v>1.7138687699999999E-2</v>
      </c>
      <c r="G132" s="4">
        <f ca="1" xml:space="preserve"> 'Total Trip Tables Sup #1'!G132</f>
        <v>1.45208987E-2</v>
      </c>
      <c r="H132" s="4">
        <f ca="1" xml:space="preserve"> 'Total Trip Tables Sup #1'!H132</f>
        <v>1.2069111400000001E-2</v>
      </c>
      <c r="I132" s="1">
        <f ca="1" xml:space="preserve"> 'Total Trip Tables Sup #1'!I132</f>
        <v>1.2069111400000001E-2</v>
      </c>
      <c r="J132" s="1">
        <f ca="1" xml:space="preserve"> 'Total Trip Tables Sup #1'!J132</f>
        <v>1.2069111400000001E-2</v>
      </c>
      <c r="K132" s="1">
        <f ca="1" xml:space="preserve"> 'Total Trip Tables Sup #1'!K132</f>
        <v>1.2069111400000001E-2</v>
      </c>
    </row>
    <row r="133" spans="1:11" x14ac:dyDescent="0.2">
      <c r="A133" t="str">
        <f ca="1">OFFSET(Canterbury_Reference,49,2)</f>
        <v>Local Bus</v>
      </c>
      <c r="B133" s="4">
        <f ca="1" xml:space="preserve"> 'Total Trip Tables Sup #1'!B133</f>
        <v>20.502079716000001</v>
      </c>
      <c r="C133" s="4">
        <f ca="1" xml:space="preserve"> 'Total Trip Tables Sup #1'!C133</f>
        <v>20.976049086</v>
      </c>
      <c r="D133" s="4">
        <f ca="1" xml:space="preserve"> 'Total Trip Tables Sup #1'!D133</f>
        <v>20.901951312000001</v>
      </c>
      <c r="E133" s="4">
        <f ca="1" xml:space="preserve"> 'Total Trip Tables Sup #1'!E133</f>
        <v>20.780114531999999</v>
      </c>
      <c r="F133" s="4">
        <f ca="1" xml:space="preserve"> 'Total Trip Tables Sup #1'!F133</f>
        <v>20.189459515999999</v>
      </c>
      <c r="G133" s="4">
        <f ca="1" xml:space="preserve"> 'Total Trip Tables Sup #1'!G133</f>
        <v>19.612895277</v>
      </c>
      <c r="H133" s="4">
        <f ca="1" xml:space="preserve"> 'Total Trip Tables Sup #1'!H133</f>
        <v>18.968578354999998</v>
      </c>
      <c r="I133" s="1">
        <f ca="1" xml:space="preserve"> 'Total Trip Tables Sup #1'!I133</f>
        <v>18.968578354999998</v>
      </c>
      <c r="J133" s="1">
        <f ca="1" xml:space="preserve"> 'Total Trip Tables Sup #1'!J133</f>
        <v>18.968578354999998</v>
      </c>
      <c r="K133" s="1">
        <f ca="1" xml:space="preserve"> 'Total Trip Tables Sup #1'!K133</f>
        <v>18.968578354999998</v>
      </c>
    </row>
    <row r="134" spans="1:11" x14ac:dyDescent="0.2">
      <c r="A134" t="str">
        <f ca="1">OFFSET(Wellington_Reference,56,2)</f>
        <v>Local Ferry</v>
      </c>
      <c r="B134" s="4">
        <f ca="1">B167*'Total Trip Tables Sup #1'!B134</f>
        <v>0</v>
      </c>
      <c r="C134" s="4">
        <f ca="1">C167*'Total Trip Tables Sup #1'!C134</f>
        <v>0</v>
      </c>
      <c r="D134" s="4">
        <f ca="1">D167*'Total Trip Tables Sup #1'!D134</f>
        <v>0</v>
      </c>
      <c r="E134" s="4">
        <f ca="1">E167*'Total Trip Tables Sup #1'!E134</f>
        <v>0</v>
      </c>
      <c r="F134" s="4">
        <f ca="1">F167*'Total Trip Tables Sup #1'!F134</f>
        <v>0</v>
      </c>
      <c r="G134" s="4">
        <f ca="1">G167*'Total Trip Tables Sup #1'!G134</f>
        <v>0</v>
      </c>
      <c r="H134" s="4">
        <f ca="1">H167*'Total Trip Tables Sup #1'!H134</f>
        <v>0</v>
      </c>
      <c r="I134" s="1">
        <f ca="1">I167*'Total Trip Tables Sup #1'!I134</f>
        <v>0</v>
      </c>
      <c r="J134" s="1">
        <f ca="1">J167*'Total Trip Tables Sup #1'!J134</f>
        <v>0</v>
      </c>
      <c r="K134" s="1">
        <f ca="1">K167*'Total Trip Tables Sup #1'!K134</f>
        <v>0</v>
      </c>
    </row>
    <row r="135" spans="1:11" x14ac:dyDescent="0.2">
      <c r="A135" t="str">
        <f ca="1">OFFSET(Canterbury_Reference,56,2)</f>
        <v>Other Household Travel</v>
      </c>
      <c r="B135" s="4">
        <f ca="1">B168*'Total Trip Tables Sup #1'!B135</f>
        <v>1.5386198845000001</v>
      </c>
      <c r="C135" s="4">
        <f ca="1">C168*'Total Trip Tables Sup #1'!C135</f>
        <v>1.7226564463409473</v>
      </c>
      <c r="D135" s="4">
        <f ca="1">D168*'Total Trip Tables Sup #1'!D135</f>
        <v>1.8735830472075612</v>
      </c>
      <c r="E135" s="4">
        <f ca="1">E168*'Total Trip Tables Sup #1'!E135</f>
        <v>1.991192936052556</v>
      </c>
      <c r="F135" s="4">
        <f ca="1">F168*'Total Trip Tables Sup #1'!F135</f>
        <v>2.0928277297485676</v>
      </c>
      <c r="G135" s="4">
        <f ca="1">G168*'Total Trip Tables Sup #1'!G135</f>
        <v>2.1790689390336451</v>
      </c>
      <c r="H135" s="4">
        <f ca="1">H168*'Total Trip Tables Sup #1'!H135</f>
        <v>2.2355801437845479</v>
      </c>
      <c r="I135" s="1">
        <f ca="1">I168*'Total Trip Tables Sup #1'!I135</f>
        <v>2.318320717870745</v>
      </c>
      <c r="J135" s="1">
        <f ca="1">J168*'Total Trip Tables Sup #1'!J135</f>
        <v>2.3967239640503419</v>
      </c>
      <c r="K135" s="1">
        <f ca="1">K168*'Total Trip Tables Sup #1'!K135</f>
        <v>2.4727084679605733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B159*'Total Trip Tables Sup #1'!B137</f>
        <v>58.261736425999999</v>
      </c>
      <c r="C137" s="4">
        <f ca="1">C159*'Total Trip Tables Sup #1'!C137*(1+'Active Mode Assumptions'!C7)</f>
        <v>64.245088656299259</v>
      </c>
      <c r="D137" s="4">
        <f ca="1">D159*'Total Trip Tables Sup #1'!D137*(1+'Active Mode Assumptions'!D7)</f>
        <v>70.511723573699996</v>
      </c>
      <c r="E137" s="4">
        <f ca="1">E159*'Total Trip Tables Sup #1'!E137*(1+'Active Mode Assumptions'!E7)</f>
        <v>75.292179592994884</v>
      </c>
      <c r="F137" s="4">
        <f ca="1">F159*'Total Trip Tables Sup #1'!F137*(1+'Active Mode Assumptions'!F7)</f>
        <v>79.456140345038634</v>
      </c>
      <c r="G137" s="4">
        <f ca="1">G159*'Total Trip Tables Sup #1'!G137*(1+'Active Mode Assumptions'!G7)</f>
        <v>83.221464365010164</v>
      </c>
      <c r="H137" s="4">
        <f ca="1">H159*'Total Trip Tables Sup #1'!H137*(1+'Active Mode Assumptions'!H7)</f>
        <v>86.701481504201752</v>
      </c>
      <c r="I137" s="1">
        <f ca="1">I159*'Total Trip Tables Sup #1'!I137*(1+'Active Mode Assumptions'!I7)</f>
        <v>89.114779641581237</v>
      </c>
      <c r="J137" s="1">
        <f ca="1">J159*'Total Trip Tables Sup #1'!J137*(1+'Active Mode Assumptions'!J7)</f>
        <v>91.308950695451998</v>
      </c>
      <c r="K137" s="1">
        <f ca="1">K159*'Total Trip Tables Sup #1'!K137*(1+'Active Mode Assumptions'!K7)</f>
        <v>93.361911383276421</v>
      </c>
    </row>
    <row r="138" spans="1:11" x14ac:dyDescent="0.2">
      <c r="A138" t="str">
        <f ca="1">OFFSET(Otago_Reference,7,2)</f>
        <v>Cyclist</v>
      </c>
      <c r="B138" s="4">
        <f ca="1">B160*'Total Trip Tables Sup #1'!B138</f>
        <v>4.5847179276999999</v>
      </c>
      <c r="C138" s="4">
        <f ca="1">C160*'Total Trip Tables Sup #1'!C138*(1+'Active Mode Assumptions'!C16)</f>
        <v>5.055442211002255</v>
      </c>
      <c r="D138" s="4">
        <f ca="1">D160*'Total Trip Tables Sup #1'!D138*(1+'Active Mode Assumptions'!D16)</f>
        <v>6.3620757404031014</v>
      </c>
      <c r="E138" s="4">
        <f ca="1">E160*'Total Trip Tables Sup #1'!E138*(1+'Active Mode Assumptions'!E16)</f>
        <v>7.5671721732210671</v>
      </c>
      <c r="F138" s="4">
        <f ca="1">F160*'Total Trip Tables Sup #1'!F138*(1+'Active Mode Assumptions'!F16)</f>
        <v>8.7989555367019729</v>
      </c>
      <c r="G138" s="4">
        <f ca="1">G160*'Total Trip Tables Sup #1'!G138*(1+'Active Mode Assumptions'!G16)</f>
        <v>10.042865136402275</v>
      </c>
      <c r="H138" s="4">
        <f ca="1">H160*'Total Trip Tables Sup #1'!H138*(1+'Active Mode Assumptions'!H16)</f>
        <v>11.304611118978022</v>
      </c>
      <c r="I138" s="1">
        <f ca="1">I160*'Total Trip Tables Sup #1'!I138*(1+'Active Mode Assumptions'!I16)</f>
        <v>11.635229812060588</v>
      </c>
      <c r="J138" s="1">
        <f ca="1">J160*'Total Trip Tables Sup #1'!J138*(1+'Active Mode Assumptions'!J16)</f>
        <v>11.938099279564584</v>
      </c>
      <c r="K138" s="1">
        <f ca="1">K160*'Total Trip Tables Sup #1'!K138*(1+'Active Mode Assumptions'!K16)</f>
        <v>12.223316029277751</v>
      </c>
    </row>
    <row r="139" spans="1:11" x14ac:dyDescent="0.2">
      <c r="A139" t="str">
        <f ca="1">OFFSET(Otago_Reference,14,2)</f>
        <v>Light Vehicle Driver</v>
      </c>
      <c r="B139" s="4">
        <f ca="1">B161*'Total Trip Tables Sup #1'!B139</f>
        <v>150.49144967999999</v>
      </c>
      <c r="C139" s="4">
        <f ca="1">C161*'Total Trip Tables Sup #1'!C139-(C137*'Active Mode Assumptions'!C7*'Active Mode Assumptions'!C14/(1+'Active Mode Assumptions'!C7))-(C138*'Active Mode Assumptions'!C16*'Active Mode Assumptions'!C23/(1+'Active Mode Assumptions'!C16))</f>
        <v>170.28023127688576</v>
      </c>
      <c r="D139" s="4">
        <f ca="1">D161*'Total Trip Tables Sup #1'!D139-(D137*'Active Mode Assumptions'!D7*'Active Mode Assumptions'!D14/(1+'Active Mode Assumptions'!D7))-(D138*'Active Mode Assumptions'!D16*'Active Mode Assumptions'!D23/(1+'Active Mode Assumptions'!D16))</f>
        <v>181.74274990841707</v>
      </c>
      <c r="E139" s="4">
        <f ca="1">E161*'Total Trip Tables Sup #1'!E139-(E137*'Active Mode Assumptions'!E7*'Active Mode Assumptions'!E14/(1+'Active Mode Assumptions'!E7))-(E138*'Active Mode Assumptions'!E16*'Active Mode Assumptions'!E23/(1+'Active Mode Assumptions'!E16))</f>
        <v>190.8855974952109</v>
      </c>
      <c r="F139" s="4">
        <f ca="1">F161*'Total Trip Tables Sup #1'!F139-(F137*'Active Mode Assumptions'!F7*'Active Mode Assumptions'!F14/(1+'Active Mode Assumptions'!F7))-(F138*'Active Mode Assumptions'!F16*'Active Mode Assumptions'!F23/(1+'Active Mode Assumptions'!F16))</f>
        <v>199.10416932766299</v>
      </c>
      <c r="G139" s="4">
        <f ca="1">G161*'Total Trip Tables Sup #1'!G139-(G137*'Active Mode Assumptions'!G7*'Active Mode Assumptions'!G14/(1+'Active Mode Assumptions'!G7))-(G138*'Active Mode Assumptions'!G16*'Active Mode Assumptions'!G23/(1+'Active Mode Assumptions'!G16))</f>
        <v>205.02848051981624</v>
      </c>
      <c r="H139" s="4">
        <f ca="1">H161*'Total Trip Tables Sup #1'!H139-(H137*'Active Mode Assumptions'!H7*'Active Mode Assumptions'!H14/(1+'Active Mode Assumptions'!H7))-(H138*'Active Mode Assumptions'!H16*'Active Mode Assumptions'!H23/(1+'Active Mode Assumptions'!H16))</f>
        <v>210.05576122700222</v>
      </c>
      <c r="I139" s="1">
        <f ca="1">I161*'Total Trip Tables Sup #1'!I139-(I137*'Active Mode Assumptions'!I7*'Active Mode Assumptions'!I14/(1+'Active Mode Assumptions'!I7))-(I138*'Active Mode Assumptions'!I16*'Active Mode Assumptions'!I23/(1+'Active Mode Assumptions'!I16))</f>
        <v>216.13025810237184</v>
      </c>
      <c r="J139" s="1">
        <f ca="1">J161*'Total Trip Tables Sup #1'!J139-(J137*'Active Mode Assumptions'!J7*'Active Mode Assumptions'!J14/(1+'Active Mode Assumptions'!J7))-(J138*'Active Mode Assumptions'!J16*'Active Mode Assumptions'!J23/(1+'Active Mode Assumptions'!J16))</f>
        <v>221.68144327502162</v>
      </c>
      <c r="K139" s="1">
        <f ca="1">K161*'Total Trip Tables Sup #1'!K139-(K137*'Active Mode Assumptions'!K7*'Active Mode Assumptions'!K14/(1+'Active Mode Assumptions'!K7))-(K138*'Active Mode Assumptions'!K16*'Active Mode Assumptions'!K23/(1+'Active Mode Assumptions'!K16))</f>
        <v>226.89685288455993</v>
      </c>
    </row>
    <row r="140" spans="1:11" x14ac:dyDescent="0.2">
      <c r="A140" t="str">
        <f ca="1">OFFSET(Otago_Reference,21,2)</f>
        <v>Light Vehicle Passenger</v>
      </c>
      <c r="B140" s="4">
        <f ca="1">B162*'Total Trip Tables Sup #1'!B140</f>
        <v>71.232164202000021</v>
      </c>
      <c r="C140" s="4">
        <f ca="1">C162*'Total Trip Tables Sup #1'!C140-(C137*'Active Mode Assumptions'!C7*'Active Mode Assumptions'!C15/(1+'Active Mode Assumptions'!C7))-(C138*'Active Mode Assumptions'!C16*'Active Mode Assumptions'!C24/(1+'Active Mode Assumptions'!C16))</f>
        <v>76.915939854633649</v>
      </c>
      <c r="D140" s="4">
        <f ca="1">D162*'Total Trip Tables Sup #1'!D140-(D137*'Active Mode Assumptions'!D7*'Active Mode Assumptions'!D15/(1+'Active Mode Assumptions'!D7))-(D138*'Active Mode Assumptions'!D16*'Active Mode Assumptions'!D24/(1+'Active Mode Assumptions'!D16))</f>
        <v>79.328305943083024</v>
      </c>
      <c r="E140" s="4">
        <f ca="1">E162*'Total Trip Tables Sup #1'!E140-(E137*'Active Mode Assumptions'!E7*'Active Mode Assumptions'!E15/(1+'Active Mode Assumptions'!E7))-(E138*'Active Mode Assumptions'!E16*'Active Mode Assumptions'!E24/(1+'Active Mode Assumptions'!E16))</f>
        <v>80.409513421925297</v>
      </c>
      <c r="F140" s="4">
        <f ca="1">F162*'Total Trip Tables Sup #1'!F140-(F137*'Active Mode Assumptions'!F7*'Active Mode Assumptions'!F15/(1+'Active Mode Assumptions'!F7))-(F138*'Active Mode Assumptions'!F16*'Active Mode Assumptions'!F24/(1+'Active Mode Assumptions'!F16))</f>
        <v>81.160364346881835</v>
      </c>
      <c r="G140" s="4">
        <f ca="1">G162*'Total Trip Tables Sup #1'!G140-(G137*'Active Mode Assumptions'!G7*'Active Mode Assumptions'!G15/(1+'Active Mode Assumptions'!G7))-(G138*'Active Mode Assumptions'!G16*'Active Mode Assumptions'!G24/(1+'Active Mode Assumptions'!G16))</f>
        <v>81.290201680797225</v>
      </c>
      <c r="H140" s="4">
        <f ca="1">H162*'Total Trip Tables Sup #1'!H140-(H137*'Active Mode Assumptions'!H7*'Active Mode Assumptions'!H15/(1+'Active Mode Assumptions'!H7))-(H138*'Active Mode Assumptions'!H16*'Active Mode Assumptions'!H24/(1+'Active Mode Assumptions'!H16))</f>
        <v>80.97078941223532</v>
      </c>
      <c r="I140" s="1">
        <f ca="1">I162*'Total Trip Tables Sup #1'!I140-(I137*'Active Mode Assumptions'!I7*'Active Mode Assumptions'!I15/(1+'Active Mode Assumptions'!I7))-(I138*'Active Mode Assumptions'!I16*'Active Mode Assumptions'!I24/(1+'Active Mode Assumptions'!I16))</f>
        <v>83.325982299815223</v>
      </c>
      <c r="J140" s="1">
        <f ca="1">J162*'Total Trip Tables Sup #1'!J140-(J137*'Active Mode Assumptions'!J7*'Active Mode Assumptions'!J15/(1+'Active Mode Assumptions'!J7))-(J138*'Active Mode Assumptions'!J16*'Active Mode Assumptions'!J24/(1+'Active Mode Assumptions'!J16))</f>
        <v>85.479837985435722</v>
      </c>
      <c r="K140" s="1">
        <f ca="1">K162*'Total Trip Tables Sup #1'!K140-(K137*'Active Mode Assumptions'!K7*'Active Mode Assumptions'!K15/(1+'Active Mode Assumptions'!K7))-(K138*'Active Mode Assumptions'!K16*'Active Mode Assumptions'!K24/(1+'Active Mode Assumptions'!K16))</f>
        <v>87.504552495375421</v>
      </c>
    </row>
    <row r="141" spans="1:11" x14ac:dyDescent="0.2">
      <c r="A141" t="str">
        <f ca="1">OFFSET(Otago_Reference,28,2)</f>
        <v>Taxi/Vehicle Share</v>
      </c>
      <c r="B141" s="4">
        <f ca="1">B163*'Total Trip Tables Sup #1'!B141</f>
        <v>0.85820748670000002</v>
      </c>
      <c r="C141" s="4">
        <f ca="1">C163*'Total Trip Tables Sup #1'!C141</f>
        <v>1.013858875142521</v>
      </c>
      <c r="D141" s="4">
        <f ca="1">D163*'Total Trip Tables Sup #1'!D141</f>
        <v>1.1256484822040249</v>
      </c>
      <c r="E141" s="4">
        <f ca="1">E163*'Total Trip Tables Sup #1'!E141</f>
        <v>1.2064886087995801</v>
      </c>
      <c r="F141" s="4">
        <f ca="1">F163*'Total Trip Tables Sup #1'!F141</f>
        <v>1.2748213929589569</v>
      </c>
      <c r="G141" s="4">
        <f ca="1">G163*'Total Trip Tables Sup #1'!G141</f>
        <v>1.3231090902026736</v>
      </c>
      <c r="H141" s="4">
        <f ca="1">H163*'Total Trip Tables Sup #1'!H141</f>
        <v>1.36771836405273</v>
      </c>
      <c r="I141" s="1">
        <f ca="1">I163*'Total Trip Tables Sup #1'!I141</f>
        <v>1.4050717374398418</v>
      </c>
      <c r="J141" s="1">
        <f ca="1">J163*'Total Trip Tables Sup #1'!J141</f>
        <v>1.438859386109987</v>
      </c>
      <c r="K141" s="1">
        <f ca="1">K163*'Total Trip Tables Sup #1'!K141</f>
        <v>1.4703124772499645</v>
      </c>
    </row>
    <row r="142" spans="1:11" x14ac:dyDescent="0.2">
      <c r="A142" t="str">
        <f ca="1">OFFSET(Otago_Reference,35,2)</f>
        <v>Motorcyclist</v>
      </c>
      <c r="B142" s="4">
        <f ca="1">B164*'Total Trip Tables Sup #1'!B142</f>
        <v>2.0937246197000001</v>
      </c>
      <c r="C142" s="4">
        <f ca="1">C164*'Total Trip Tables Sup #1'!C142</f>
        <v>2.3163432026441892</v>
      </c>
      <c r="D142" s="4">
        <f ca="1">D164*'Total Trip Tables Sup #1'!D142</f>
        <v>2.4310100971868667</v>
      </c>
      <c r="E142" s="4">
        <f ca="1">E164*'Total Trip Tables Sup #1'!E142</f>
        <v>2.5066377767812065</v>
      </c>
      <c r="F142" s="4">
        <f ca="1">F164*'Total Trip Tables Sup #1'!F142</f>
        <v>2.5640796711382796</v>
      </c>
      <c r="G142" s="4">
        <f ca="1">G164*'Total Trip Tables Sup #1'!G142</f>
        <v>2.5750305778039686</v>
      </c>
      <c r="H142" s="4">
        <f ca="1">H164*'Total Trip Tables Sup #1'!H142</f>
        <v>2.5681654462431585</v>
      </c>
      <c r="I142" s="1">
        <f ca="1">I164*'Total Trip Tables Sup #1'!I142</f>
        <v>2.6491807912769456</v>
      </c>
      <c r="J142" s="1">
        <f ca="1">J164*'Total Trip Tables Sup #1'!J142</f>
        <v>2.7241463905543788</v>
      </c>
      <c r="K142" s="1">
        <f ca="1">K164*'Total Trip Tables Sup #1'!K142</f>
        <v>2.7953184391929664</v>
      </c>
    </row>
    <row r="143" spans="1:11" x14ac:dyDescent="0.2">
      <c r="A143" t="str">
        <f ca="1">OFFSET(Canterbury_Reference,42,2)</f>
        <v>Local Train</v>
      </c>
      <c r="B143" s="4">
        <f ca="1">B165*'Total Trip Tables Sup #1'!B143</f>
        <v>0</v>
      </c>
      <c r="C143" s="4">
        <f ca="1">C165*'Total Trip Tables Sup #1'!C143</f>
        <v>0</v>
      </c>
      <c r="D143" s="4">
        <f ca="1">D165*'Total Trip Tables Sup #1'!D143</f>
        <v>0</v>
      </c>
      <c r="E143" s="4">
        <f ca="1">E165*'Total Trip Tables Sup #1'!E143</f>
        <v>0</v>
      </c>
      <c r="F143" s="4">
        <f ca="1">F165*'Total Trip Tables Sup #1'!F143</f>
        <v>0</v>
      </c>
      <c r="G143" s="4">
        <f ca="1">G165*'Total Trip Tables Sup #1'!G143</f>
        <v>0</v>
      </c>
      <c r="H143" s="4">
        <f ca="1">H165*'Total Trip Tables Sup #1'!H143</f>
        <v>0</v>
      </c>
      <c r="I143" s="1">
        <f ca="1">I165*'Total Trip Tables Sup #1'!I143</f>
        <v>0</v>
      </c>
      <c r="J143" s="1">
        <f ca="1">J165*'Total Trip Tables Sup #1'!J143</f>
        <v>0</v>
      </c>
      <c r="K143" s="1">
        <f ca="1">K165*'Total Trip Tables Sup #1'!K143</f>
        <v>0</v>
      </c>
    </row>
    <row r="144" spans="1:11" x14ac:dyDescent="0.2">
      <c r="A144" t="str">
        <f ca="1">OFFSET(Otago_Reference,42,2)</f>
        <v>Local Bus</v>
      </c>
      <c r="B144" s="4">
        <f ca="1">B166*'Total Trip Tables Sup #1'!B144</f>
        <v>4.2627057848999996</v>
      </c>
      <c r="C144" s="4">
        <f ca="1">C166*'Total Trip Tables Sup #1'!C144</f>
        <v>4.4321540762708418</v>
      </c>
      <c r="D144" s="4">
        <f ca="1">D166*'Total Trip Tables Sup #1'!D144</f>
        <v>4.5132539713131443</v>
      </c>
      <c r="E144" s="4">
        <f ca="1">E166*'Total Trip Tables Sup #1'!E144</f>
        <v>4.5828367179123983</v>
      </c>
      <c r="F144" s="4">
        <f ca="1">F166*'Total Trip Tables Sup #1'!F144</f>
        <v>4.5871335565965996</v>
      </c>
      <c r="G144" s="4">
        <f ca="1">G166*'Total Trip Tables Sup #1'!G144</f>
        <v>4.6033035466033736</v>
      </c>
      <c r="H144" s="4">
        <f ca="1">H166*'Total Trip Tables Sup #1'!H144</f>
        <v>4.5932581982545377</v>
      </c>
      <c r="I144" s="1">
        <f ca="1">I166*'Total Trip Tables Sup #1'!I144</f>
        <v>4.7286676695718626</v>
      </c>
      <c r="J144" s="1">
        <f ca="1">J166*'Total Trip Tables Sup #1'!J144</f>
        <v>4.8526725147856888</v>
      </c>
      <c r="K144" s="1">
        <f ca="1">K166*'Total Trip Tables Sup #1'!K144</f>
        <v>4.9693514324859045</v>
      </c>
    </row>
    <row r="145" spans="1:11" x14ac:dyDescent="0.2">
      <c r="A145" t="str">
        <f ca="1">OFFSET(Wellington_Reference,56,2)</f>
        <v>Local Ferry</v>
      </c>
      <c r="B145" s="4">
        <f ca="1">B167*'Total Trip Tables Sup #1'!B145</f>
        <v>0</v>
      </c>
      <c r="C145" s="4">
        <f ca="1">C167*'Total Trip Tables Sup #1'!C145</f>
        <v>0</v>
      </c>
      <c r="D145" s="4">
        <f ca="1">D167*'Total Trip Tables Sup #1'!D145</f>
        <v>0</v>
      </c>
      <c r="E145" s="4">
        <f ca="1">E167*'Total Trip Tables Sup #1'!E145</f>
        <v>0</v>
      </c>
      <c r="F145" s="4">
        <f ca="1">F167*'Total Trip Tables Sup #1'!F145</f>
        <v>0</v>
      </c>
      <c r="G145" s="4">
        <f ca="1">G167*'Total Trip Tables Sup #1'!G145</f>
        <v>0</v>
      </c>
      <c r="H145" s="4">
        <f ca="1">H167*'Total Trip Tables Sup #1'!H145</f>
        <v>0</v>
      </c>
      <c r="I145" s="1">
        <f ca="1">I167*'Total Trip Tables Sup #1'!I145</f>
        <v>0</v>
      </c>
      <c r="J145" s="1">
        <f ca="1">J167*'Total Trip Tables Sup #1'!J145</f>
        <v>0</v>
      </c>
      <c r="K145" s="1">
        <f ca="1">K167*'Total Trip Tables Sup #1'!K145</f>
        <v>0</v>
      </c>
    </row>
    <row r="146" spans="1:11" x14ac:dyDescent="0.2">
      <c r="A146" t="str">
        <f ca="1">OFFSET(Otago_Reference,49,2)</f>
        <v>Other Household Travel</v>
      </c>
      <c r="B146" s="4">
        <f ca="1">B168*'Total Trip Tables Sup #1'!B146</f>
        <v>0.77539158779999995</v>
      </c>
      <c r="C146" s="4">
        <f ca="1">C168*'Total Trip Tables Sup #1'!C146</f>
        <v>0.86620071260720199</v>
      </c>
      <c r="D146" s="4">
        <f ca="1">D168*'Total Trip Tables Sup #1'!D146</f>
        <v>0.93956546354353743</v>
      </c>
      <c r="E146" s="4">
        <f ca="1">E168*'Total Trip Tables Sup #1'!E146</f>
        <v>0.99361336057029903</v>
      </c>
      <c r="F146" s="4">
        <f ca="1">F168*'Total Trip Tables Sup #1'!F146</f>
        <v>1.0394745669149648</v>
      </c>
      <c r="G146" s="4">
        <f ca="1">G168*'Total Trip Tables Sup #1'!G146</f>
        <v>1.0768703322780218</v>
      </c>
      <c r="H146" s="4">
        <f ca="1">H168*'Total Trip Tables Sup #1'!H146</f>
        <v>1.0996032549242367</v>
      </c>
      <c r="I146" s="1">
        <f ca="1">I168*'Total Trip Tables Sup #1'!I146</f>
        <v>1.1348817129276458</v>
      </c>
      <c r="J146" s="1">
        <f ca="1">J168*'Total Trip Tables Sup #1'!J146</f>
        <v>1.1676362234454751</v>
      </c>
      <c r="K146" s="1">
        <f ca="1">K168*'Total Trip Tables Sup #1'!K146</f>
        <v>1.1988342205222318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B159*'Total Trip Tables Sup #1'!B148</f>
        <v>12.52065131</v>
      </c>
      <c r="C148" s="4">
        <f ca="1">C159*'Total Trip Tables Sup #1'!C148*(1+'Active Mode Assumptions'!C7)</f>
        <v>12.736886745023151</v>
      </c>
      <c r="D148" s="4">
        <f ca="1">D159*'Total Trip Tables Sup #1'!D148*(1+'Active Mode Assumptions'!D7)</f>
        <v>13.135780203231926</v>
      </c>
      <c r="E148" s="4">
        <f ca="1">E159*'Total Trip Tables Sup #1'!E148*(1+'Active Mode Assumptions'!E7)</f>
        <v>13.406612040010634</v>
      </c>
      <c r="F148" s="4">
        <f ca="1">F159*'Total Trip Tables Sup #1'!F148*(1+'Active Mode Assumptions'!F7)</f>
        <v>13.547967213906249</v>
      </c>
      <c r="G148" s="4">
        <f ca="1">G159*'Total Trip Tables Sup #1'!G148*(1+'Active Mode Assumptions'!G7)</f>
        <v>13.602306223633363</v>
      </c>
      <c r="H148" s="4">
        <f ca="1">H159*'Total Trip Tables Sup #1'!H148*(1+'Active Mode Assumptions'!H7)</f>
        <v>13.589574585247323</v>
      </c>
      <c r="I148" s="1">
        <f ca="1">I159*'Total Trip Tables Sup #1'!I148*(1+'Active Mode Assumptions'!I7)</f>
        <v>13.394192252015804</v>
      </c>
      <c r="J148" s="1">
        <f ca="1">J159*'Total Trip Tables Sup #1'!J148*(1+'Active Mode Assumptions'!J7)</f>
        <v>13.159837617159269</v>
      </c>
      <c r="K148" s="1">
        <f ca="1">K159*'Total Trip Tables Sup #1'!K148*(1+'Active Mode Assumptions'!K7)</f>
        <v>12.902027295059934</v>
      </c>
    </row>
    <row r="149" spans="1:11" x14ac:dyDescent="0.2">
      <c r="A149" t="str">
        <f ca="1">OFFSET(Southland_Reference,7,2)</f>
        <v>Cyclist</v>
      </c>
      <c r="B149" s="4">
        <f ca="1">B160*'Total Trip Tables Sup #1'!B149</f>
        <v>1.0312878256</v>
      </c>
      <c r="C149" s="4">
        <f ca="1">C160*'Total Trip Tables Sup #1'!C149*(1+'Active Mode Assumptions'!C16)</f>
        <v>1.0490743719151316</v>
      </c>
      <c r="D149" s="4">
        <f ca="1">D160*'Total Trip Tables Sup #1'!D149*(1+'Active Mode Assumptions'!D16)</f>
        <v>1.2405582190032372</v>
      </c>
      <c r="E149" s="4">
        <f ca="1">E160*'Total Trip Tables Sup #1'!E149*(1+'Active Mode Assumptions'!E16)</f>
        <v>1.4103488895135152</v>
      </c>
      <c r="F149" s="4">
        <f ca="1">F160*'Total Trip Tables Sup #1'!F149*(1+'Active Mode Assumptions'!F16)</f>
        <v>1.5703684744681774</v>
      </c>
      <c r="G149" s="4">
        <f ca="1">G160*'Total Trip Tables Sup #1'!G149*(1+'Active Mode Assumptions'!G16)</f>
        <v>1.7181401949708524</v>
      </c>
      <c r="H149" s="4">
        <f ca="1">H160*'Total Trip Tables Sup #1'!H149*(1+'Active Mode Assumptions'!H16)</f>
        <v>1.8546362461660455</v>
      </c>
      <c r="I149" s="1">
        <f ca="1">I160*'Total Trip Tables Sup #1'!I149*(1+'Active Mode Assumptions'!I16)</f>
        <v>1.8304822812387245</v>
      </c>
      <c r="J149" s="1">
        <f ca="1">J160*'Total Trip Tables Sup #1'!J149*(1+'Active Mode Assumptions'!J16)</f>
        <v>1.8009271182282023</v>
      </c>
      <c r="K149" s="1">
        <f ca="1">K160*'Total Trip Tables Sup #1'!K149*(1+'Active Mode Assumptions'!K16)</f>
        <v>1.7680764329809124</v>
      </c>
    </row>
    <row r="150" spans="1:11" x14ac:dyDescent="0.2">
      <c r="A150" t="str">
        <f ca="1">OFFSET(Southland_Reference,14,2)</f>
        <v>Light Vehicle Driver</v>
      </c>
      <c r="B150" s="4">
        <f ca="1">B161*'Total Trip Tables Sup #1'!B150</f>
        <v>66.981547285000005</v>
      </c>
      <c r="C150" s="4">
        <f ca="1">C161*'Total Trip Tables Sup #1'!C150-(C148*'Active Mode Assumptions'!C7*'Active Mode Assumptions'!C14/(1+'Active Mode Assumptions'!C7))-(C149*'Active Mode Assumptions'!C16*'Active Mode Assumptions'!C23/(1+'Active Mode Assumptions'!C16))</f>
        <v>69.917749160193907</v>
      </c>
      <c r="D150" s="4">
        <f ca="1">D161*'Total Trip Tables Sup #1'!D150-(D148*'Active Mode Assumptions'!D7*'Active Mode Assumptions'!D14/(1+'Active Mode Assumptions'!D7))-(D149*'Active Mode Assumptions'!D16*'Active Mode Assumptions'!D23/(1+'Active Mode Assumptions'!D16))</f>
        <v>70.307420435316075</v>
      </c>
      <c r="E150" s="4">
        <f ca="1">E161*'Total Trip Tables Sup #1'!E150-(E148*'Active Mode Assumptions'!E7*'Active Mode Assumptions'!E14/(1+'Active Mode Assumptions'!E7))-(E149*'Active Mode Assumptions'!E16*'Active Mode Assumptions'!E23/(1+'Active Mode Assumptions'!E16))</f>
        <v>70.759573485124349</v>
      </c>
      <c r="F150" s="4">
        <f ca="1">F161*'Total Trip Tables Sup #1'!F150-(F148*'Active Mode Assumptions'!F7*'Active Mode Assumptions'!F14/(1+'Active Mode Assumptions'!F7))-(F149*'Active Mode Assumptions'!F16*'Active Mode Assumptions'!F23/(1+'Active Mode Assumptions'!F16))</f>
        <v>70.844358705872366</v>
      </c>
      <c r="G150" s="4">
        <f ca="1">G161*'Total Trip Tables Sup #1'!G150-(G148*'Active Mode Assumptions'!G7*'Active Mode Assumptions'!G14/(1+'Active Mode Assumptions'!G7))-(G149*'Active Mode Assumptions'!G16*'Active Mode Assumptions'!G23/(1+'Active Mode Assumptions'!G16))</f>
        <v>70.094303276362439</v>
      </c>
      <c r="H150" s="4">
        <f ca="1">H161*'Total Trip Tables Sup #1'!H150-(H148*'Active Mode Assumptions'!H7*'Active Mode Assumptions'!H14/(1+'Active Mode Assumptions'!H7))-(H149*'Active Mode Assumptions'!H16*'Active Mode Assumptions'!H23/(1+'Active Mode Assumptions'!H16))</f>
        <v>69.022292684393008</v>
      </c>
      <c r="I150" s="1">
        <f ca="1">I161*'Total Trip Tables Sup #1'!I150-(I148*'Active Mode Assumptions'!I7*'Active Mode Assumptions'!I14/(1+'Active Mode Assumptions'!I7))-(I149*'Active Mode Assumptions'!I16*'Active Mode Assumptions'!I23/(1+'Active Mode Assumptions'!I16))</f>
        <v>68.101117422303773</v>
      </c>
      <c r="J150" s="1">
        <f ca="1">J161*'Total Trip Tables Sup #1'!J150-(J148*'Active Mode Assumptions'!J7*'Active Mode Assumptions'!J14/(1+'Active Mode Assumptions'!J7))-(J149*'Active Mode Assumptions'!J16*'Active Mode Assumptions'!J23/(1+'Active Mode Assumptions'!J16))</f>
        <v>66.978424297929067</v>
      </c>
      <c r="K150" s="1">
        <f ca="1">K161*'Total Trip Tables Sup #1'!K150-(K148*'Active Mode Assumptions'!K7*'Active Mode Assumptions'!K14/(1+'Active Mode Assumptions'!K7))-(K149*'Active Mode Assumptions'!K16*'Active Mode Assumptions'!K23/(1+'Active Mode Assumptions'!K16))</f>
        <v>65.732739186043645</v>
      </c>
    </row>
    <row r="151" spans="1:11" x14ac:dyDescent="0.2">
      <c r="A151" t="str">
        <f ca="1">OFFSET(Southland_Reference,21,2)</f>
        <v>Light Vehicle Passenger</v>
      </c>
      <c r="B151" s="4">
        <f ca="1">B162*'Total Trip Tables Sup #1'!B151</f>
        <v>28.419434702000007</v>
      </c>
      <c r="C151" s="4">
        <f ca="1">C162*'Total Trip Tables Sup #1'!C151-(C148*'Active Mode Assumptions'!C7*'Active Mode Assumptions'!C15/(1+'Active Mode Assumptions'!C7))-(C149*'Active Mode Assumptions'!C16*'Active Mode Assumptions'!C24/(1+'Active Mode Assumptions'!C16))</f>
        <v>28.309715458371475</v>
      </c>
      <c r="D151" s="4">
        <f ca="1">D162*'Total Trip Tables Sup #1'!D151-(D148*'Active Mode Assumptions'!D7*'Active Mode Assumptions'!D15/(1+'Active Mode Assumptions'!D7))-(D149*'Active Mode Assumptions'!D16*'Active Mode Assumptions'!D24/(1+'Active Mode Assumptions'!D16))</f>
        <v>27.58402836266157</v>
      </c>
      <c r="E151" s="4">
        <f ca="1">E162*'Total Trip Tables Sup #1'!E151-(E148*'Active Mode Assumptions'!E7*'Active Mode Assumptions'!E15/(1+'Active Mode Assumptions'!E7))-(E149*'Active Mode Assumptions'!E16*'Active Mode Assumptions'!E24/(1+'Active Mode Assumptions'!E16))</f>
        <v>26.871649942405615</v>
      </c>
      <c r="F151" s="4">
        <f ca="1">F162*'Total Trip Tables Sup #1'!F151-(F148*'Active Mode Assumptions'!F7*'Active Mode Assumptions'!F15/(1+'Active Mode Assumptions'!F7))-(F149*'Active Mode Assumptions'!F16*'Active Mode Assumptions'!F24/(1+'Active Mode Assumptions'!F16))</f>
        <v>26.116041471697589</v>
      </c>
      <c r="G151" s="4">
        <f ca="1">G162*'Total Trip Tables Sup #1'!G151-(G148*'Active Mode Assumptions'!G7*'Active Mode Assumptions'!G15/(1+'Active Mode Assumptions'!G7))-(G149*'Active Mode Assumptions'!G16*'Active Mode Assumptions'!G24/(1+'Active Mode Assumptions'!G16))</f>
        <v>25.216143292033401</v>
      </c>
      <c r="H151" s="4">
        <f ca="1">H162*'Total Trip Tables Sup #1'!H151-(H148*'Active Mode Assumptions'!H7*'Active Mode Assumptions'!H15/(1+'Active Mode Assumptions'!H7))-(H149*'Active Mode Assumptions'!H16*'Active Mode Assumptions'!H24/(1+'Active Mode Assumptions'!H16))</f>
        <v>24.225870236742733</v>
      </c>
      <c r="I151" s="1">
        <f ca="1">I162*'Total Trip Tables Sup #1'!I151-(I148*'Active Mode Assumptions'!I7*'Active Mode Assumptions'!I15/(1+'Active Mode Assumptions'!I7))-(I149*'Active Mode Assumptions'!I16*'Active Mode Assumptions'!I24/(1+'Active Mode Assumptions'!I16))</f>
        <v>23.906104870075186</v>
      </c>
      <c r="J151" s="1">
        <f ca="1">J162*'Total Trip Tables Sup #1'!J151-(J148*'Active Mode Assumptions'!J7*'Active Mode Assumptions'!J15/(1+'Active Mode Assumptions'!J7))-(J149*'Active Mode Assumptions'!J16*'Active Mode Assumptions'!J24/(1+'Active Mode Assumptions'!J16))</f>
        <v>23.515414711548686</v>
      </c>
      <c r="K151" s="1">
        <f ca="1">K162*'Total Trip Tables Sup #1'!K151-(K148*'Active Mode Assumptions'!K7*'Active Mode Assumptions'!K15/(1+'Active Mode Assumptions'!K7))-(K149*'Active Mode Assumptions'!K16*'Active Mode Assumptions'!K24/(1+'Active Mode Assumptions'!K16))</f>
        <v>23.081344123716445</v>
      </c>
    </row>
    <row r="152" spans="1:11" x14ac:dyDescent="0.2">
      <c r="A152" t="str">
        <f ca="1">OFFSET(Southland_Reference,28,2)</f>
        <v>Taxi/Vehicle Share</v>
      </c>
      <c r="B152" s="4">
        <f ca="1">B163*'Total Trip Tables Sup #1'!B152</f>
        <v>0.47613164409999997</v>
      </c>
      <c r="C152" s="4">
        <f ca="1">C163*'Total Trip Tables Sup #1'!C152</f>
        <v>0.5189100858103769</v>
      </c>
      <c r="D152" s="4">
        <f ca="1">D163*'Total Trip Tables Sup #1'!D152</f>
        <v>0.54136301570006062</v>
      </c>
      <c r="E152" s="4">
        <f ca="1">E163*'Total Trip Tables Sup #1'!E152</f>
        <v>0.5546048314788935</v>
      </c>
      <c r="F152" s="4">
        <f ca="1">F163*'Total Trip Tables Sup #1'!F152</f>
        <v>0.56116072179027388</v>
      </c>
      <c r="G152" s="4">
        <f ca="1">G163*'Total Trip Tables Sup #1'!G152</f>
        <v>0.55829546214132364</v>
      </c>
      <c r="H152" s="4">
        <f ca="1">H163*'Total Trip Tables Sup #1'!H152</f>
        <v>0.55343582892719823</v>
      </c>
      <c r="I152" s="1">
        <f ca="1">I163*'Total Trip Tables Sup #1'!I152</f>
        <v>0.54520086879098362</v>
      </c>
      <c r="J152" s="1">
        <f ca="1">J163*'Total Trip Tables Sup #1'!J152</f>
        <v>0.53536106466674638</v>
      </c>
      <c r="K152" s="1">
        <f ca="1">K163*'Total Trip Tables Sup #1'!K152</f>
        <v>0.52455268579453507</v>
      </c>
    </row>
    <row r="153" spans="1:11" x14ac:dyDescent="0.2">
      <c r="A153" t="str">
        <f ca="1">OFFSET(Southland_Reference,35,2)</f>
        <v>Motorcyclist</v>
      </c>
      <c r="B153" s="4">
        <f ca="1">B164*'Total Trip Tables Sup #1'!B153</f>
        <v>0.62652592730000001</v>
      </c>
      <c r="C153" s="4">
        <f ca="1">C164*'Total Trip Tables Sup #1'!C153</f>
        <v>0.63944361180075271</v>
      </c>
      <c r="D153" s="4">
        <f ca="1">D164*'Total Trip Tables Sup #1'!D153</f>
        <v>0.63060483502337683</v>
      </c>
      <c r="E153" s="4">
        <f ca="1">E164*'Total Trip Tables Sup #1'!E153</f>
        <v>0.62149371953687049</v>
      </c>
      <c r="F153" s="4">
        <f ca="1">F164*'Total Trip Tables Sup #1'!F153</f>
        <v>0.60877131253002326</v>
      </c>
      <c r="G153" s="4">
        <f ca="1">G164*'Total Trip Tables Sup #1'!G153</f>
        <v>0.58605122244387331</v>
      </c>
      <c r="H153" s="4">
        <f ca="1">H164*'Total Trip Tables Sup #1'!H153</f>
        <v>0.56050350503464508</v>
      </c>
      <c r="I153" s="1">
        <f ca="1">I164*'Total Trip Tables Sup #1'!I153</f>
        <v>0.55443977598887306</v>
      </c>
      <c r="J153" s="1">
        <f ca="1">J164*'Total Trip Tables Sup #1'!J153</f>
        <v>0.54669312420033833</v>
      </c>
      <c r="K153" s="1">
        <f ca="1">K164*'Total Trip Tables Sup #1'!K153</f>
        <v>0.53789251702900043</v>
      </c>
    </row>
    <row r="154" spans="1:11" x14ac:dyDescent="0.2">
      <c r="A154" t="str">
        <f ca="1">OFFSET(Canterbury_Reference,42,2)</f>
        <v>Local Train</v>
      </c>
      <c r="B154" s="4">
        <f ca="1">B165*'Total Trip Tables Sup #1'!B154</f>
        <v>0</v>
      </c>
      <c r="C154" s="4">
        <f ca="1">C165*'Total Trip Tables Sup #1'!C154</f>
        <v>0</v>
      </c>
      <c r="D154" s="4">
        <f ca="1">D165*'Total Trip Tables Sup #1'!D154</f>
        <v>0</v>
      </c>
      <c r="E154" s="4">
        <f ca="1">E165*'Total Trip Tables Sup #1'!E154</f>
        <v>0</v>
      </c>
      <c r="F154" s="4">
        <f ca="1">F165*'Total Trip Tables Sup #1'!F154</f>
        <v>0</v>
      </c>
      <c r="G154" s="4">
        <f ca="1">G165*'Total Trip Tables Sup #1'!G154</f>
        <v>0</v>
      </c>
      <c r="H154" s="4">
        <f ca="1">H165*'Total Trip Tables Sup #1'!H154</f>
        <v>0</v>
      </c>
      <c r="I154" s="1">
        <f ca="1">I165*'Total Trip Tables Sup #1'!I154</f>
        <v>0</v>
      </c>
      <c r="J154" s="1">
        <f ca="1">J165*'Total Trip Tables Sup #1'!J154</f>
        <v>0</v>
      </c>
      <c r="K154" s="1">
        <f ca="1">K165*'Total Trip Tables Sup #1'!K154</f>
        <v>0</v>
      </c>
    </row>
    <row r="155" spans="1:11" x14ac:dyDescent="0.2">
      <c r="A155" t="str">
        <f ca="1">OFFSET(Southland_Reference,42,2)</f>
        <v>Local Bus</v>
      </c>
      <c r="B155" s="4">
        <f ca="1">B166*'Total Trip Tables Sup #1'!B155</f>
        <v>2.6369167839999998</v>
      </c>
      <c r="C155" s="4">
        <f ca="1">C166*'Total Trip Tables Sup #1'!C155</f>
        <v>2.5293316193017077</v>
      </c>
      <c r="D155" s="4">
        <f ca="1">D166*'Total Trip Tables Sup #1'!D155</f>
        <v>2.4202034998013269</v>
      </c>
      <c r="E155" s="4">
        <f ca="1">E166*'Total Trip Tables Sup #1'!E155</f>
        <v>2.3489356855510972</v>
      </c>
      <c r="F155" s="4">
        <f ca="1">F166*'Total Trip Tables Sup #1'!F155</f>
        <v>2.2514153686457656</v>
      </c>
      <c r="G155" s="4">
        <f ca="1">G166*'Total Trip Tables Sup #1'!G155</f>
        <v>2.1657801919073383</v>
      </c>
      <c r="H155" s="4">
        <f ca="1">H166*'Total Trip Tables Sup #1'!H155</f>
        <v>2.0723722643574298</v>
      </c>
      <c r="I155" s="1">
        <f ca="1">I166*'Total Trip Tables Sup #1'!I155</f>
        <v>2.045847006388763</v>
      </c>
      <c r="J155" s="1">
        <f ca="1">J166*'Total Trip Tables Sup #1'!J155</f>
        <v>2.0131944826312163</v>
      </c>
      <c r="K155" s="1">
        <f ca="1">K166*'Total Trip Tables Sup #1'!K155</f>
        <v>1.976767091333631</v>
      </c>
    </row>
    <row r="156" spans="1:11" x14ac:dyDescent="0.2">
      <c r="A156" t="str">
        <f ca="1">OFFSET(Wellington_Reference,56,2)</f>
        <v>Local Ferry</v>
      </c>
      <c r="B156" s="4">
        <f ca="1">B167*'Total Trip Tables Sup #1'!B156</f>
        <v>0</v>
      </c>
      <c r="C156" s="4">
        <f ca="1">C167*'Total Trip Tables Sup #1'!C156</f>
        <v>0</v>
      </c>
      <c r="D156" s="4">
        <f ca="1">D167*'Total Trip Tables Sup #1'!D156</f>
        <v>0</v>
      </c>
      <c r="E156" s="4">
        <f ca="1">E167*'Total Trip Tables Sup #1'!E156</f>
        <v>0</v>
      </c>
      <c r="F156" s="4">
        <f ca="1">F167*'Total Trip Tables Sup #1'!F156</f>
        <v>0</v>
      </c>
      <c r="G156" s="4">
        <f ca="1">G167*'Total Trip Tables Sup #1'!G156</f>
        <v>0</v>
      </c>
      <c r="H156" s="4">
        <f ca="1">H167*'Total Trip Tables Sup #1'!H156</f>
        <v>0</v>
      </c>
      <c r="I156" s="1">
        <f ca="1">I167*'Total Trip Tables Sup #1'!I156</f>
        <v>0</v>
      </c>
      <c r="J156" s="1">
        <f ca="1">J167*'Total Trip Tables Sup #1'!J156</f>
        <v>0</v>
      </c>
      <c r="K156" s="1">
        <f ca="1">K167*'Total Trip Tables Sup #1'!K156</f>
        <v>0</v>
      </c>
    </row>
    <row r="157" spans="1:11" x14ac:dyDescent="0.2">
      <c r="A157" t="str">
        <f ca="1">OFFSET(Southland_Reference,49,2)</f>
        <v>Other Household Travel</v>
      </c>
      <c r="B157" s="4">
        <f ca="1">B168*'Total Trip Tables Sup #1'!B157</f>
        <v>0.42937289560000003</v>
      </c>
      <c r="C157" s="4">
        <f ca="1">C168*'Total Trip Tables Sup #1'!C157</f>
        <v>0.44249863471376111</v>
      </c>
      <c r="D157" s="4">
        <f ca="1">D168*'Total Trip Tables Sup #1'!D157</f>
        <v>0.45101566979126517</v>
      </c>
      <c r="E157" s="4">
        <f ca="1">E168*'Total Trip Tables Sup #1'!E157</f>
        <v>0.45588640269705044</v>
      </c>
      <c r="F157" s="4">
        <f ca="1">F168*'Total Trip Tables Sup #1'!F157</f>
        <v>0.45669955015117492</v>
      </c>
      <c r="G157" s="4">
        <f ca="1">G168*'Total Trip Tables Sup #1'!G157</f>
        <v>0.45353483588320864</v>
      </c>
      <c r="H157" s="4">
        <f ca="1">H168*'Total Trip Tables Sup #1'!H157</f>
        <v>0.44410473521261079</v>
      </c>
      <c r="I157" s="1">
        <f ca="1">I168*'Total Trip Tables Sup #1'!I157</f>
        <v>0.43952889651780597</v>
      </c>
      <c r="J157" s="1">
        <f ca="1">J168*'Total Trip Tables Sup #1'!J157</f>
        <v>0.4336254684897391</v>
      </c>
      <c r="K157" s="1">
        <f ca="1">K168*'Total Trip Tables Sup #1'!K157</f>
        <v>0.42689139169312457</v>
      </c>
    </row>
    <row r="158" spans="1:11" x14ac:dyDescent="0.2">
      <c r="A158" t="s">
        <v>18</v>
      </c>
    </row>
    <row r="159" spans="1:11" x14ac:dyDescent="0.2">
      <c r="A159" t="str">
        <f ca="1">'Total Trip Tables'!A16</f>
        <v>Pedestrian</v>
      </c>
      <c r="B159" s="58">
        <f ca="1">('Total Trip Tables Sup #1'!B170*'Updated Population'!B$158)/('Total Trip Tables Sup #1'!B159*1000000)</f>
        <v>1</v>
      </c>
      <c r="C159" s="58">
        <f ca="1">('Total Trip Tables Sup #1'!C170*'Updated Population'!C$158)/('Total Trip Tables Sup #1'!C159*1000000)</f>
        <v>0.99877243399498594</v>
      </c>
      <c r="D159" s="58">
        <f ca="1">('Total Trip Tables Sup #1'!D170*'Updated Population'!D$158)/('Total Trip Tables Sup #1'!D159*1000000)</f>
        <v>0.99750449054807089</v>
      </c>
      <c r="E159" s="58">
        <f ca="1">('Total Trip Tables Sup #1'!E170*'Updated Population'!E$158)/('Total Trip Tables Sup #1'!E159*1000000)</f>
        <v>0.99646056931012916</v>
      </c>
      <c r="F159" s="58">
        <f ca="1">('Total Trip Tables Sup #1'!F170*'Updated Population'!F$158)/('Total Trip Tables Sup #1'!F159*1000000)</f>
        <v>0.99542080224099494</v>
      </c>
      <c r="G159" s="58">
        <f ca="1">('Total Trip Tables Sup #1'!G170*'Updated Population'!G$158)/('Total Trip Tables Sup #1'!G159*1000000)</f>
        <v>0.99439538664159211</v>
      </c>
      <c r="H159" s="58">
        <f ca="1">('Total Trip Tables Sup #1'!H170*'Updated Population'!H$158)/('Total Trip Tables Sup #1'!H159*1000000)</f>
        <v>0.99338711560014048</v>
      </c>
      <c r="I159" s="58">
        <f ca="1">('Total Trip Tables Sup #1'!I170*'Updated Population'!I$158)/('Total Trip Tables Sup #1'!I159*1000000)</f>
        <v>0.99239859653429574</v>
      </c>
      <c r="J159" s="58">
        <f ca="1">('Total Trip Tables Sup #1'!J170*'Updated Population'!J$158)/('Total Trip Tables Sup #1'!J159*1000000)</f>
        <v>0.99142926587659441</v>
      </c>
      <c r="K159" s="58">
        <f ca="1">('Total Trip Tables Sup #1'!K170*'Updated Population'!K$158)/('Total Trip Tables Sup #1'!K159*1000000)</f>
        <v>0.9904785682326972</v>
      </c>
    </row>
    <row r="160" spans="1:11" x14ac:dyDescent="0.2">
      <c r="A160" t="str">
        <f ca="1">'Total Trip Tables'!A17</f>
        <v>Cyclist</v>
      </c>
      <c r="B160" s="58">
        <f ca="1">('Total Trip Tables Sup #1'!B171*'Updated Population'!B$158)/('Total Trip Tables Sup #1'!B160*1000000)</f>
        <v>1</v>
      </c>
      <c r="C160" s="58">
        <f ca="1">('Total Trip Tables Sup #1'!C171*'Updated Population'!C$158)/('Total Trip Tables Sup #1'!C160*1000000)</f>
        <v>0.99878548850540239</v>
      </c>
      <c r="D160" s="58">
        <f ca="1">('Total Trip Tables Sup #1'!D171*'Updated Population'!D$158)/('Total Trip Tables Sup #1'!D160*1000000)</f>
        <v>0.99889833812863937</v>
      </c>
      <c r="E160" s="58">
        <f ca="1">('Total Trip Tables Sup #1'!E171*'Updated Population'!E$158)/('Total Trip Tables Sup #1'!E160*1000000)</f>
        <v>0.99924679438742037</v>
      </c>
      <c r="F160" s="58">
        <f ca="1">('Total Trip Tables Sup #1'!F171*'Updated Population'!F$158)/('Total Trip Tables Sup #1'!F160*1000000)</f>
        <v>0.99967157015236696</v>
      </c>
      <c r="G160" s="58">
        <f ca="1">('Total Trip Tables Sup #1'!G171*'Updated Population'!G$158)/('Total Trip Tables Sup #1'!G160*1000000)</f>
        <v>1.0000442251209434</v>
      </c>
      <c r="H160" s="58">
        <f ca="1">('Total Trip Tables Sup #1'!H171*'Updated Population'!H$158)/('Total Trip Tables Sup #1'!H160*1000000)</f>
        <v>1.0004022475002239</v>
      </c>
      <c r="I160" s="58">
        <f ca="1">('Total Trip Tables Sup #1'!I171*'Updated Population'!I$158)/('Total Trip Tables Sup #1'!I160*1000000)</f>
        <v>1.0007794911369066</v>
      </c>
      <c r="J160" s="58">
        <f ca="1">('Total Trip Tables Sup #1'!J171*'Updated Population'!J$158)/('Total Trip Tables Sup #1'!J160*1000000)</f>
        <v>1.0011763826502387</v>
      </c>
      <c r="K160" s="58">
        <f ca="1">('Total Trip Tables Sup #1'!K171*'Updated Population'!K$158)/('Total Trip Tables Sup #1'!K160*1000000)</f>
        <v>1.0015933125604617</v>
      </c>
    </row>
    <row r="161" spans="1:11" x14ac:dyDescent="0.2">
      <c r="A161" t="str">
        <f ca="1">'Total Trip Tables'!A18</f>
        <v>Light Vehicle Driver</v>
      </c>
      <c r="B161" s="58">
        <f ca="1">('Total Trip Tables Sup #1'!B172*'Updated Population'!B$158)/('Total Trip Tables Sup #1'!B161*1000000)</f>
        <v>1</v>
      </c>
      <c r="C161" s="58">
        <f ca="1">('Total Trip Tables Sup #1'!C172*'Updated Population'!C$158)/('Total Trip Tables Sup #1'!C161*1000000)</f>
        <v>1.0000381286843039</v>
      </c>
      <c r="D161" s="58">
        <f ca="1">('Total Trip Tables Sup #1'!D172*'Updated Population'!D$158)/('Total Trip Tables Sup #1'!D161*1000000)</f>
        <v>1.0001320439415953</v>
      </c>
      <c r="E161" s="58">
        <f ca="1">('Total Trip Tables Sup #1'!E172*'Updated Population'!E$158)/('Total Trip Tables Sup #1'!E161*1000000)</f>
        <v>1.0002002927758211</v>
      </c>
      <c r="F161" s="58">
        <f ca="1">('Total Trip Tables Sup #1'!F172*'Updated Population'!F$158)/('Total Trip Tables Sup #1'!F161*1000000)</f>
        <v>1.00026047030077</v>
      </c>
      <c r="G161" s="58">
        <f ca="1">('Total Trip Tables Sup #1'!G172*'Updated Population'!G$158)/('Total Trip Tables Sup #1'!G161*1000000)</f>
        <v>1.0003097220935362</v>
      </c>
      <c r="H161" s="58">
        <f ca="1">('Total Trip Tables Sup #1'!H172*'Updated Population'!H$158)/('Total Trip Tables Sup #1'!H161*1000000)</f>
        <v>1.0003512102780669</v>
      </c>
      <c r="I161" s="58">
        <f ca="1">('Total Trip Tables Sup #1'!I172*'Updated Population'!I$158)/('Total Trip Tables Sup #1'!I161*1000000)</f>
        <v>1.0003940515261907</v>
      </c>
      <c r="J161" s="58">
        <f ca="1">('Total Trip Tables Sup #1'!J172*'Updated Population'!J$158)/('Total Trip Tables Sup #1'!J161*1000000)</f>
        <v>1.000438188469313</v>
      </c>
      <c r="K161" s="58">
        <f ca="1">('Total Trip Tables Sup #1'!K172*'Updated Population'!K$158)/('Total Trip Tables Sup #1'!K161*1000000)</f>
        <v>1.0004835646317334</v>
      </c>
    </row>
    <row r="162" spans="1:11" x14ac:dyDescent="0.2">
      <c r="A162" t="str">
        <f ca="1">'Total Trip Tables'!A19</f>
        <v>Light Vehicle Passenger</v>
      </c>
      <c r="B162" s="58">
        <f ca="1">('Total Trip Tables Sup #1'!B173*'Updated Population'!B$158)/('Total Trip Tables Sup #1'!B162*1000000)</f>
        <v>1.0000000000000002</v>
      </c>
      <c r="C162" s="58">
        <f ca="1">('Total Trip Tables Sup #1'!C173*'Updated Population'!C$158)/('Total Trip Tables Sup #1'!C162*1000000)</f>
        <v>1.0004025215810937</v>
      </c>
      <c r="D162" s="58">
        <f ca="1">('Total Trip Tables Sup #1'!D173*'Updated Population'!D$158)/('Total Trip Tables Sup #1'!D162*1000000)</f>
        <v>1.0006687362131186</v>
      </c>
      <c r="E162" s="58">
        <f ca="1">('Total Trip Tables Sup #1'!E173*'Updated Population'!E$158)/('Total Trip Tables Sup #1'!E162*1000000)</f>
        <v>1.0008629496789805</v>
      </c>
      <c r="F162" s="58">
        <f ca="1">('Total Trip Tables Sup #1'!F173*'Updated Population'!F$158)/('Total Trip Tables Sup #1'!F162*1000000)</f>
        <v>1.001052613267388</v>
      </c>
      <c r="G162" s="58">
        <f ca="1">('Total Trip Tables Sup #1'!G173*'Updated Population'!G$158)/('Total Trip Tables Sup #1'!G162*1000000)</f>
        <v>1.0012388684519153</v>
      </c>
      <c r="H162" s="58">
        <f ca="1">('Total Trip Tables Sup #1'!H173*'Updated Population'!H$158)/('Total Trip Tables Sup #1'!H162*1000000)</f>
        <v>1.0014140299333394</v>
      </c>
      <c r="I162" s="58">
        <f ca="1">('Total Trip Tables Sup #1'!I173*'Updated Population'!I$158)/('Total Trip Tables Sup #1'!I162*1000000)</f>
        <v>1.0015878378247483</v>
      </c>
      <c r="J162" s="58">
        <f ca="1">('Total Trip Tables Sup #1'!J173*'Updated Population'!J$158)/('Total Trip Tables Sup #1'!J162*1000000)</f>
        <v>1.001760131929947</v>
      </c>
      <c r="K162" s="58">
        <f ca="1">('Total Trip Tables Sup #1'!K173*'Updated Population'!K$158)/('Total Trip Tables Sup #1'!K162*1000000)</f>
        <v>1.0019307582391792</v>
      </c>
    </row>
    <row r="163" spans="1:11" x14ac:dyDescent="0.2">
      <c r="A163" t="str">
        <f ca="1">'Total Trip Tables'!A20</f>
        <v>Taxi/Vehicle Share</v>
      </c>
      <c r="B163" s="58">
        <f ca="1">('Total Trip Tables Sup #1'!B174*'Updated Population'!B$158)/('Total Trip Tables Sup #1'!B163*1000000)</f>
        <v>1</v>
      </c>
      <c r="C163" s="58">
        <f ca="1">('Total Trip Tables Sup #1'!C174*'Updated Population'!C$158)/('Total Trip Tables Sup #1'!C163*1000000)</f>
        <v>0.99911101431617222</v>
      </c>
      <c r="D163" s="58">
        <f ca="1">('Total Trip Tables Sup #1'!D174*'Updated Population'!D$158)/('Total Trip Tables Sup #1'!D163*1000000)</f>
        <v>0.99762185468862785</v>
      </c>
      <c r="E163" s="58">
        <f ca="1">('Total Trip Tables Sup #1'!E174*'Updated Population'!E$158)/('Total Trip Tables Sup #1'!E163*1000000)</f>
        <v>0.9964210086978017</v>
      </c>
      <c r="F163" s="58">
        <f ca="1">('Total Trip Tables Sup #1'!F174*'Updated Population'!F$158)/('Total Trip Tables Sup #1'!F163*1000000)</f>
        <v>0.99510854127391124</v>
      </c>
      <c r="G163" s="58">
        <f ca="1">('Total Trip Tables Sup #1'!G174*'Updated Population'!G$158)/('Total Trip Tables Sup #1'!G163*1000000)</f>
        <v>0.99370961680484471</v>
      </c>
      <c r="H163" s="58">
        <f ca="1">('Total Trip Tables Sup #1'!H174*'Updated Population'!H$158)/('Total Trip Tables Sup #1'!H163*1000000)</f>
        <v>0.99224952936702604</v>
      </c>
      <c r="I163" s="58">
        <f ca="1">('Total Trip Tables Sup #1'!I174*'Updated Population'!I$158)/('Total Trip Tables Sup #1'!I163*1000000)</f>
        <v>0.99075693557119238</v>
      </c>
      <c r="J163" s="58">
        <f ca="1">('Total Trip Tables Sup #1'!J174*'Updated Population'!J$158)/('Total Trip Tables Sup #1'!J163*1000000)</f>
        <v>0.98923382076863553</v>
      </c>
      <c r="K163" s="58">
        <f ca="1">('Total Trip Tables Sup #1'!K174*'Updated Population'!K$158)/('Total Trip Tables Sup #1'!K163*1000000)</f>
        <v>0.98768216204341297</v>
      </c>
    </row>
    <row r="164" spans="1:11" x14ac:dyDescent="0.2">
      <c r="A164" t="str">
        <f ca="1">'Total Trip Tables'!A21</f>
        <v>Motorcyclist</v>
      </c>
      <c r="B164" s="58">
        <f ca="1">('Total Trip Tables Sup #1'!B175*'Updated Population'!B$158)/('Total Trip Tables Sup #1'!B164*1000000)</f>
        <v>1</v>
      </c>
      <c r="C164" s="58">
        <f ca="1">('Total Trip Tables Sup #1'!C175*'Updated Population'!C$158)/('Total Trip Tables Sup #1'!C164*1000000)</f>
        <v>1.0040428849269594</v>
      </c>
      <c r="D164" s="58">
        <f ca="1">('Total Trip Tables Sup #1'!D175*'Updated Population'!D$158)/('Total Trip Tables Sup #1'!D164*1000000)</f>
        <v>1.0072225112222555</v>
      </c>
      <c r="E164" s="58">
        <f ca="1">('Total Trip Tables Sup #1'!E175*'Updated Population'!E$158)/('Total Trip Tables Sup #1'!E164*1000000)</f>
        <v>1.0098194755762329</v>
      </c>
      <c r="F164" s="58">
        <f ca="1">('Total Trip Tables Sup #1'!F175*'Updated Population'!F$158)/('Total Trip Tables Sup #1'!F164*1000000)</f>
        <v>1.0124187532236797</v>
      </c>
      <c r="G164" s="58">
        <f ca="1">('Total Trip Tables Sup #1'!G175*'Updated Population'!G$158)/('Total Trip Tables Sup #1'!G164*1000000)</f>
        <v>1.0150193518861799</v>
      </c>
      <c r="H164" s="58">
        <f ca="1">('Total Trip Tables Sup #1'!H175*'Updated Population'!H$158)/('Total Trip Tables Sup #1'!H164*1000000)</f>
        <v>1.0176739231167713</v>
      </c>
      <c r="I164" s="58">
        <f ca="1">('Total Trip Tables Sup #1'!I175*'Updated Population'!I$158)/('Total Trip Tables Sup #1'!I164*1000000)</f>
        <v>1.0203323230550199</v>
      </c>
      <c r="J164" s="58">
        <f ca="1">('Total Trip Tables Sup #1'!J175*'Updated Population'!J$158)/('Total Trip Tables Sup #1'!J164*1000000)</f>
        <v>1.0229925437326699</v>
      </c>
      <c r="K164" s="58">
        <f ca="1">('Total Trip Tables Sup #1'!K175*'Updated Population'!K$158)/('Total Trip Tables Sup #1'!K164*1000000)</f>
        <v>1.0256525906917666</v>
      </c>
    </row>
    <row r="165" spans="1:11" x14ac:dyDescent="0.2">
      <c r="A165" t="str">
        <f ca="1">'Total Trip Tables'!A22</f>
        <v>Local Train</v>
      </c>
      <c r="B165" s="58">
        <f ca="1">('Total Trip Tables Sup #1'!B176*'Updated Population'!B$158)/('Total Trip Tables Sup #1'!B165*1000000)</f>
        <v>1</v>
      </c>
      <c r="C165" s="58">
        <f ca="1">('Total Trip Tables Sup #1'!C176*'Updated Population'!C$158)/('Total Trip Tables Sup #1'!C165*1000000)</f>
        <v>1.0265940606597861</v>
      </c>
      <c r="D165" s="58">
        <f ca="1">('Total Trip Tables Sup #1'!D176*'Updated Population'!D$158)/('Total Trip Tables Sup #1'!D165*1000000)</f>
        <v>1.0422788545098116</v>
      </c>
      <c r="E165" s="58">
        <f ca="1">('Total Trip Tables Sup #1'!E176*'Updated Population'!E$158)/('Total Trip Tables Sup #1'!E165*1000000)</f>
        <v>1.0459194565744785</v>
      </c>
      <c r="F165" s="58">
        <f ca="1">('Total Trip Tables Sup #1'!F176*'Updated Population'!F$158)/('Total Trip Tables Sup #1'!F165*1000000)</f>
        <v>1.0480526049570054</v>
      </c>
      <c r="G165" s="58">
        <f ca="1">('Total Trip Tables Sup #1'!G176*'Updated Population'!G$158)/('Total Trip Tables Sup #1'!G165*1000000)</f>
        <v>1.0492125268250099</v>
      </c>
      <c r="H165" s="58">
        <f ca="1">('Total Trip Tables Sup #1'!H176*'Updated Population'!H$158)/('Total Trip Tables Sup #1'!H165*1000000)</f>
        <v>1.0503121231467687</v>
      </c>
      <c r="I165" s="58">
        <f ca="1">('Total Trip Tables Sup #1'!I176*'Updated Population'!I$158)/('Total Trip Tables Sup #1'!I165*1000000)</f>
        <v>1.0461688106195064</v>
      </c>
      <c r="J165" s="58">
        <f ca="1">('Total Trip Tables Sup #1'!J176*'Updated Population'!J$158)/('Total Trip Tables Sup #1'!J165*1000000)</f>
        <v>1.0421111689832296</v>
      </c>
      <c r="K165" s="58">
        <f ca="1">('Total Trip Tables Sup #1'!K176*'Updated Population'!K$158)/('Total Trip Tables Sup #1'!K165*1000000)</f>
        <v>1.0381350362635899</v>
      </c>
    </row>
    <row r="166" spans="1:11" x14ac:dyDescent="0.2">
      <c r="A166" t="str">
        <f ca="1">'Total Trip Tables'!A23</f>
        <v>Local Bus</v>
      </c>
      <c r="B166" s="58">
        <f ca="1">('Total Trip Tables Sup #1'!B177*'Updated Population'!B$169)/('Total Trip Tables Sup #1'!B166*1000000)</f>
        <v>1</v>
      </c>
      <c r="C166" s="58">
        <f ca="1">('Total Trip Tables Sup #1'!C177*'Updated Population'!C$169)/('Total Trip Tables Sup #1'!C166*1000000)</f>
        <v>1.0008466266443037</v>
      </c>
      <c r="D166" s="58">
        <f ca="1">('Total Trip Tables Sup #1'!D177*'Updated Population'!D$169)/('Total Trip Tables Sup #1'!D166*1000000)</f>
        <v>1.0016569829888584</v>
      </c>
      <c r="E166" s="58">
        <f ca="1">('Total Trip Tables Sup #1'!E177*'Updated Population'!E$169)/('Total Trip Tables Sup #1'!E166*1000000)</f>
        <v>1.0023345993990433</v>
      </c>
      <c r="F166" s="58">
        <f ca="1">('Total Trip Tables Sup #1'!F177*'Updated Population'!F$169)/('Total Trip Tables Sup #1'!F166*1000000)</f>
        <v>1.0030194715362468</v>
      </c>
      <c r="G166" s="58">
        <f ca="1">('Total Trip Tables Sup #1'!G177*'Updated Population'!G$169)/('Total Trip Tables Sup #1'!G166*1000000)</f>
        <v>1.0036824582333133</v>
      </c>
      <c r="H166" s="58">
        <f ca="1">('Total Trip Tables Sup #1'!H177*'Updated Population'!H$169)/('Total Trip Tables Sup #1'!H166*1000000)</f>
        <v>1.0043070569158188</v>
      </c>
      <c r="I166" s="58">
        <f ca="1">('Total Trip Tables Sup #1'!I177*'Updated Population'!I$169)/('Total Trip Tables Sup #1'!I166*1000000)</f>
        <v>1.0049138873026</v>
      </c>
      <c r="J166" s="58">
        <f ca="1">('Total Trip Tables Sup #1'!J177*'Updated Population'!J$169)/('Total Trip Tables Sup #1'!J166*1000000)</f>
        <v>1.0055021823675589</v>
      </c>
      <c r="K166" s="58">
        <f ca="1">('Total Trip Tables Sup #1'!K177*'Updated Population'!K$169)/('Total Trip Tables Sup #1'!K166*1000000)</f>
        <v>1.0060711855494462</v>
      </c>
    </row>
    <row r="167" spans="1:11" x14ac:dyDescent="0.2">
      <c r="A167" t="str">
        <f ca="1">'Total Trip Tables'!A24</f>
        <v>Local Ferry</v>
      </c>
      <c r="B167" s="58">
        <f ca="1">('Total Trip Tables Sup #1'!B178*'Updated Population'!B$158)/('Total Trip Tables Sup #1'!B167*1000000)</f>
        <v>1</v>
      </c>
      <c r="C167" s="58">
        <f ca="1">('Total Trip Tables Sup #1'!C178*'Updated Population'!C$158)/('Total Trip Tables Sup #1'!C167*1000000)</f>
        <v>0.98958977500402501</v>
      </c>
      <c r="D167" s="58">
        <f ca="1">('Total Trip Tables Sup #1'!D178*'Updated Population'!D$158)/('Total Trip Tables Sup #1'!D167*1000000)</f>
        <v>0.98011634507431222</v>
      </c>
      <c r="E167" s="58">
        <f ca="1">('Total Trip Tables Sup #1'!E178*'Updated Population'!E$158)/('Total Trip Tables Sup #1'!E167*1000000)</f>
        <v>0.97260637638817293</v>
      </c>
      <c r="F167" s="58">
        <f ca="1">('Total Trip Tables Sup #1'!F178*'Updated Population'!F$158)/('Total Trip Tables Sup #1'!F167*1000000)</f>
        <v>0.96514873944784696</v>
      </c>
      <c r="G167" s="58">
        <f ca="1">('Total Trip Tables Sup #1'!G178*'Updated Population'!G$158)/('Total Trip Tables Sup #1'!G167*1000000)</f>
        <v>0.95790033033693878</v>
      </c>
      <c r="H167" s="58">
        <f ca="1">('Total Trip Tables Sup #1'!H178*'Updated Population'!H$158)/('Total Trip Tables Sup #1'!H167*1000000)</f>
        <v>0.95079538790749474</v>
      </c>
      <c r="I167" s="58">
        <f ca="1">('Total Trip Tables Sup #1'!I178*'Updated Population'!I$158)/('Total Trip Tables Sup #1'!I167*1000000)</f>
        <v>0.94380953764727094</v>
      </c>
      <c r="J167" s="58">
        <f ca="1">('Total Trip Tables Sup #1'!J178*'Updated Population'!J$158)/('Total Trip Tables Sup #1'!J167*1000000)</f>
        <v>0.93694258373510875</v>
      </c>
      <c r="K167" s="58">
        <f ca="1">('Total Trip Tables Sup #1'!K178*'Updated Population'!K$158)/('Total Trip Tables Sup #1'!K167*1000000)</f>
        <v>0.93019423104771892</v>
      </c>
    </row>
    <row r="168" spans="1:11" x14ac:dyDescent="0.2">
      <c r="A168" t="str">
        <f ca="1">'Total Trip Tables'!A25</f>
        <v>Other Household Travel</v>
      </c>
      <c r="B168" s="58">
        <f ca="1">('Total Trip Tables Sup #1'!B179*'Updated Population'!B$158)/('Total Trip Tables Sup #1'!B168*1000000)</f>
        <v>1</v>
      </c>
      <c r="C168" s="58">
        <f ca="1">('Total Trip Tables Sup #1'!C179*'Updated Population'!C$158)/('Total Trip Tables Sup #1'!C168*1000000)</f>
        <v>1.0037130058805288</v>
      </c>
      <c r="D168" s="58">
        <f ca="1">('Total Trip Tables Sup #1'!D179*'Updated Population'!D$158)/('Total Trip Tables Sup #1'!D168*1000000)</f>
        <v>1.0073573181990485</v>
      </c>
      <c r="E168" s="58">
        <f ca="1">('Total Trip Tables Sup #1'!E179*'Updated Population'!E$158)/('Total Trip Tables Sup #1'!E168*1000000)</f>
        <v>1.0103621964903906</v>
      </c>
      <c r="F168" s="58">
        <f ca="1">('Total Trip Tables Sup #1'!F179*'Updated Population'!F$158)/('Total Trip Tables Sup #1'!F168*1000000)</f>
        <v>1.013374792740505</v>
      </c>
      <c r="G168" s="58">
        <f ca="1">('Total Trip Tables Sup #1'!G179*'Updated Population'!G$158)/('Total Trip Tables Sup #1'!G168*1000000)</f>
        <v>1.0164141088742773</v>
      </c>
      <c r="H168" s="58">
        <f ca="1">('Total Trip Tables Sup #1'!H179*'Updated Population'!H$158)/('Total Trip Tables Sup #1'!H168*1000000)</f>
        <v>1.0195754197310951</v>
      </c>
      <c r="I168" s="58">
        <f ca="1">('Total Trip Tables Sup #1'!I179*'Updated Population'!I$158)/('Total Trip Tables Sup #1'!I168*1000000)</f>
        <v>1.0227708404741109</v>
      </c>
      <c r="J168" s="58">
        <f ca="1">('Total Trip Tables Sup #1'!J179*'Updated Population'!J$158)/('Total Trip Tables Sup #1'!J168*1000000)</f>
        <v>1.0259998044986471</v>
      </c>
      <c r="K168" s="58">
        <f ca="1">('Total Trip Tables Sup #1'!K179*'Updated Population'!K$158)/('Total Trip Tables Sup #1'!K168*1000000)</f>
        <v>1.0292617071874637</v>
      </c>
    </row>
    <row r="169" spans="1:11" x14ac:dyDescent="0.2">
      <c r="A169" t="s">
        <v>123</v>
      </c>
    </row>
    <row r="170" spans="1:11" x14ac:dyDescent="0.2">
      <c r="A170" t="s">
        <v>34</v>
      </c>
      <c r="B170" s="4">
        <f>'[1]Transition '!B$38</f>
        <v>0</v>
      </c>
      <c r="C170" s="4">
        <f>'[1]Transition '!C$38</f>
        <v>11.712251088164892</v>
      </c>
      <c r="D170" s="4">
        <f>'[1]Transition '!D$38</f>
        <v>28.000682979208626</v>
      </c>
      <c r="E170" s="4">
        <f>'[1]Transition '!E$38</f>
        <v>44.25966355655089</v>
      </c>
      <c r="F170" s="4">
        <f>'[1]Transition '!F$38</f>
        <v>51.980302712231953</v>
      </c>
      <c r="G170" s="4">
        <f>'[1]Transition '!G$38</f>
        <v>59.922255752793333</v>
      </c>
      <c r="H170" s="4">
        <f>'[1]Transition '!H$38</f>
        <v>67.953214092293521</v>
      </c>
      <c r="I170" s="1">
        <f>'[1]Transition '!I$38</f>
        <v>75.847254183959393</v>
      </c>
      <c r="J170" s="1">
        <f>'[1]Transition '!J$38</f>
        <v>84.265331378817223</v>
      </c>
      <c r="K170" s="1">
        <f>'[1]Transition '!K$38</f>
        <v>93.587997994290433</v>
      </c>
    </row>
    <row r="171" spans="1:11" x14ac:dyDescent="0.2">
      <c r="A171" t="s">
        <v>41</v>
      </c>
      <c r="B171" s="4">
        <f>'[2]Transition '!B$38</f>
        <v>0</v>
      </c>
      <c r="C171" s="4">
        <f>'[2]Transition '!C$38</f>
        <v>0.28854635749980773</v>
      </c>
      <c r="D171" s="4">
        <f>'[2]Transition '!D$38</f>
        <v>1.2724689095795387</v>
      </c>
      <c r="E171" s="4">
        <f>'[2]Transition '!E$38</f>
        <v>2.2172709087787457</v>
      </c>
      <c r="F171" s="4">
        <f>'[2]Transition '!F$38</f>
        <v>3.005092854551604</v>
      </c>
      <c r="G171" s="4">
        <f>'[2]Transition '!G$38</f>
        <v>3.7246262519093296</v>
      </c>
      <c r="H171" s="4">
        <f>'[2]Transition '!H$38</f>
        <v>4.497124307268372</v>
      </c>
      <c r="I171" s="1">
        <f>'[2]Transition '!I$38</f>
        <v>5.5516150990482043</v>
      </c>
      <c r="J171" s="1">
        <f>'[2]Transition '!J$38</f>
        <v>6.713934060584716</v>
      </c>
      <c r="K171" s="1">
        <f>'[2]Transition '!K$38</f>
        <v>7.9795899905257315</v>
      </c>
    </row>
    <row r="172" spans="1:11" x14ac:dyDescent="0.2">
      <c r="A172" t="s">
        <v>124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">
      <c r="A173" t="s">
        <v>34</v>
      </c>
      <c r="B173" s="4">
        <f>'[1]Transition '!B$41</f>
        <v>0</v>
      </c>
      <c r="C173" s="4">
        <f>'[1]Transition '!C$41</f>
        <v>5.87829619751016</v>
      </c>
      <c r="D173" s="4">
        <f>'[1]Transition '!D$41</f>
        <v>10.861423076137818</v>
      </c>
      <c r="E173" s="4">
        <f>'[1]Transition '!E$41</f>
        <v>15.097914622730613</v>
      </c>
      <c r="F173" s="4">
        <f>'[1]Transition '!F$41</f>
        <v>20.372765188747607</v>
      </c>
      <c r="G173" s="4">
        <f>'[1]Transition '!G$41</f>
        <v>25.756648355021383</v>
      </c>
      <c r="H173" s="4">
        <f>'[1]Transition '!H$41</f>
        <v>31.575560302421323</v>
      </c>
      <c r="I173" s="1">
        <f>'[1]Transition '!I$41</f>
        <v>36.401937959674001</v>
      </c>
      <c r="J173" s="1">
        <f>'[1]Transition '!J$41</f>
        <v>41.694102138376337</v>
      </c>
      <c r="K173" s="1">
        <f>'[1]Transition '!K$41</f>
        <v>47.656216567004762</v>
      </c>
    </row>
    <row r="174" spans="1:11" x14ac:dyDescent="0.2">
      <c r="A174" t="s">
        <v>41</v>
      </c>
      <c r="B174" s="4">
        <f>'[2]Transition '!B$41</f>
        <v>0</v>
      </c>
      <c r="C174" s="4">
        <f>'[2]Transition '!C$41</f>
        <v>0.41188752627259362</v>
      </c>
      <c r="D174" s="4">
        <f>'[2]Transition '!D$41</f>
        <v>3.0562724795702536</v>
      </c>
      <c r="E174" s="4">
        <f>'[2]Transition '!E$41</f>
        <v>4.9048596751611662</v>
      </c>
      <c r="F174" s="4">
        <f>'[2]Transition '!F$41</f>
        <v>5.849175684566692</v>
      </c>
      <c r="G174" s="4">
        <f>'[2]Transition '!G$41</f>
        <v>6.9538134562679588</v>
      </c>
      <c r="H174" s="4">
        <f>'[2]Transition '!H$41</f>
        <v>8.1774492106575707</v>
      </c>
      <c r="I174" s="1">
        <f>'[2]Transition '!I$41</f>
        <v>8.9683522881181439</v>
      </c>
      <c r="J174" s="1">
        <f>'[2]Transition '!J$41</f>
        <v>9.8617007749256409</v>
      </c>
      <c r="K174" s="1">
        <f>'[2]Transition '!K$41</f>
        <v>10.836612184069303</v>
      </c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0" spans="2:8" x14ac:dyDescent="0.2">
      <c r="B180" s="4"/>
      <c r="C180" s="4"/>
      <c r="D180" s="4"/>
      <c r="E180" s="4"/>
      <c r="F180" s="4"/>
      <c r="G180" s="4"/>
      <c r="H180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  <row r="191" spans="2:8" x14ac:dyDescent="0.2">
      <c r="B191" s="4"/>
      <c r="C191" s="4"/>
      <c r="D191" s="4"/>
      <c r="E191" s="4"/>
      <c r="F191" s="4"/>
      <c r="G191" s="4"/>
      <c r="H191" s="4"/>
    </row>
    <row r="193" spans="2:8" x14ac:dyDescent="0.2">
      <c r="B193" s="4"/>
      <c r="C193" s="4"/>
      <c r="D193" s="4"/>
      <c r="E193" s="4"/>
      <c r="F193" s="4"/>
      <c r="G193" s="4"/>
      <c r="H193" s="4"/>
    </row>
    <row r="194" spans="2:8" x14ac:dyDescent="0.2">
      <c r="B194" s="4"/>
      <c r="C194" s="4"/>
      <c r="D194" s="4"/>
      <c r="E194" s="4"/>
      <c r="F194" s="4"/>
      <c r="G194" s="4"/>
      <c r="H194" s="4"/>
    </row>
    <row r="195" spans="2:8" x14ac:dyDescent="0.2">
      <c r="B195" s="4"/>
      <c r="C195" s="4"/>
      <c r="D195" s="4"/>
      <c r="E195" s="4"/>
      <c r="F195" s="4"/>
      <c r="G195" s="4"/>
      <c r="H195" s="4"/>
    </row>
    <row r="196" spans="2:8" x14ac:dyDescent="0.2">
      <c r="B196" s="4"/>
      <c r="C196" s="4"/>
      <c r="D196" s="4"/>
      <c r="E196" s="4"/>
      <c r="F196" s="4"/>
      <c r="G196" s="4"/>
      <c r="H196" s="4"/>
    </row>
    <row r="197" spans="2:8" x14ac:dyDescent="0.2">
      <c r="B197" s="4"/>
      <c r="C197" s="4"/>
      <c r="D197" s="4"/>
      <c r="E197" s="4"/>
      <c r="F197" s="4"/>
      <c r="G197" s="4"/>
      <c r="H197" s="4"/>
    </row>
    <row r="198" spans="2:8" x14ac:dyDescent="0.2">
      <c r="B198" s="4"/>
      <c r="C198" s="4"/>
      <c r="D198" s="4"/>
      <c r="E198" s="4"/>
      <c r="F198" s="4"/>
      <c r="G198" s="4"/>
      <c r="H198" s="4"/>
    </row>
    <row r="199" spans="2:8" x14ac:dyDescent="0.2">
      <c r="B199" s="4"/>
      <c r="C199" s="4"/>
      <c r="D199" s="4"/>
      <c r="E199" s="4"/>
      <c r="F199" s="4"/>
      <c r="G199" s="4"/>
      <c r="H199" s="4"/>
    </row>
    <row r="200" spans="2:8" x14ac:dyDescent="0.2">
      <c r="B200" s="4"/>
      <c r="C200" s="4"/>
      <c r="D200" s="4"/>
      <c r="E200" s="4"/>
      <c r="F200" s="4"/>
      <c r="G200" s="4"/>
      <c r="H200" s="4"/>
    </row>
    <row r="201" spans="2:8" x14ac:dyDescent="0.2">
      <c r="B201" s="4"/>
      <c r="C201" s="4"/>
      <c r="D201" s="4"/>
      <c r="E201" s="4"/>
      <c r="F201" s="4"/>
      <c r="G201" s="4"/>
      <c r="H201" s="4"/>
    </row>
    <row r="202" spans="2:8" x14ac:dyDescent="0.2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T19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4" sqref="K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17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OFFSET(Northland_Reference,0,5)</f>
        <v>23.706864376999999</v>
      </c>
      <c r="C5" s="4">
        <f ca="1">$B5*('Updated Population'!C$4/'Updated Population'!$B$4)*('Total Trip Tables Sup #1'!C170/'Total Trip Tables Sup #1'!$B170)</f>
        <v>25.311142672476482</v>
      </c>
      <c r="D5" s="4">
        <f ca="1">$B5*('Updated Population'!D$4/'Updated Population'!$B$4)*('Total Trip Tables Sup #1'!D170/'Total Trip Tables Sup #1'!$B170)</f>
        <v>26.180244461273556</v>
      </c>
      <c r="E5" s="4">
        <f ca="1">$B5*('Updated Population'!E$4/'Updated Population'!$B$4)*('Total Trip Tables Sup #1'!E170/'Total Trip Tables Sup #1'!$B170)</f>
        <v>26.600316163159548</v>
      </c>
      <c r="F5" s="4">
        <f ca="1">$B5*('Updated Population'!F$4/'Updated Population'!$B$4)*('Total Trip Tables Sup #1'!F170/'Total Trip Tables Sup #1'!$B170)</f>
        <v>26.718502044335583</v>
      </c>
      <c r="G5" s="4">
        <f ca="1">$B5*('Updated Population'!G$4/'Updated Population'!$B$4)*('Total Trip Tables Sup #1'!G170/'Total Trip Tables Sup #1'!$B170)</f>
        <v>26.673770671534196</v>
      </c>
      <c r="H5" s="4">
        <f ca="1">$B5*('Updated Population'!H$4/'Updated Population'!$B$4)*('Total Trip Tables Sup #1'!H170/'Total Trip Tables Sup #1'!$B170)</f>
        <v>26.48833080957381</v>
      </c>
      <c r="I5" s="1">
        <f ca="1">$B5*('Updated Population'!I$4/'Updated Population'!$B$4)*('Total Trip Tables Sup #1'!I170/'Total Trip Tables Sup #1'!$B170)</f>
        <v>26.85517563821551</v>
      </c>
      <c r="J5" s="1">
        <f ca="1">$B5*('Updated Population'!J$4/'Updated Population'!$B$4)*('Total Trip Tables Sup #1'!J170/'Total Trip Tables Sup #1'!$B170)</f>
        <v>27.151318458517796</v>
      </c>
      <c r="K5" s="1">
        <f ca="1">$B5*('Updated Population'!K$4/'Updated Population'!$B$4)*('Total Trip Tables Sup #1'!K170/'Total Trip Tables Sup #1'!$B170)</f>
        <v>27.402925459347195</v>
      </c>
    </row>
    <row r="6" spans="1:11" x14ac:dyDescent="0.2">
      <c r="A6" t="str">
        <f ca="1">OFFSET(Northland_Reference,7,2)</f>
        <v>Cyclist</v>
      </c>
      <c r="B6" s="4">
        <f ca="1">OFFSET(Northland_Reference,7,5)</f>
        <v>0.66592947719999995</v>
      </c>
      <c r="C6" s="4">
        <f ca="1">$B6*('Updated Population'!C$4/'Updated Population'!$B$4)*('Total Trip Tables Sup #1'!C171/'Total Trip Tables Sup #1'!$B171)</f>
        <v>0.71096827190548573</v>
      </c>
      <c r="D6" s="4">
        <f ca="1">$B6*('Updated Population'!D$4/'Updated Population'!$B$4)*('Total Trip Tables Sup #1'!D171/'Total Trip Tables Sup #1'!$B171)</f>
        <v>0.72976291760513434</v>
      </c>
      <c r="E6" s="4">
        <f ca="1">$B6*('Updated Population'!E$4/'Updated Population'!$B$4)*('Total Trip Tables Sup #1'!E171/'Total Trip Tables Sup #1'!$B171)</f>
        <v>0.7341394223326253</v>
      </c>
      <c r="F6" s="4">
        <f ca="1">$B6*('Updated Population'!F$4/'Updated Population'!$B$4)*('Total Trip Tables Sup #1'!F171/'Total Trip Tables Sup #1'!$B171)</f>
        <v>0.73618692915495476</v>
      </c>
      <c r="G6" s="4">
        <f ca="1">$B6*('Updated Population'!G$4/'Updated Population'!$B$4)*('Total Trip Tables Sup #1'!G171/'Total Trip Tables Sup #1'!$B171)</f>
        <v>0.73630372234772734</v>
      </c>
      <c r="H6" s="4">
        <f ca="1">$B6*('Updated Population'!H$4/'Updated Population'!$B$4)*('Total Trip Tables Sup #1'!H171/'Total Trip Tables Sup #1'!$B171)</f>
        <v>0.73452019665282398</v>
      </c>
      <c r="I6" s="1">
        <f ca="1">$B6*('Updated Population'!I$4/'Updated Population'!$B$4)*('Total Trip Tables Sup #1'!I171/'Total Trip Tables Sup #1'!$B171)</f>
        <v>0.74469278690066176</v>
      </c>
      <c r="J6" s="1">
        <f ca="1">$B6*('Updated Population'!J$4/'Updated Population'!$B$4)*('Total Trip Tables Sup #1'!J171/'Total Trip Tables Sup #1'!$B171)</f>
        <v>0.75290481370482487</v>
      </c>
      <c r="K6" s="1">
        <f ca="1">$B6*('Updated Population'!K$4/'Updated Population'!$B$4)*('Total Trip Tables Sup #1'!K171/'Total Trip Tables Sup #1'!$B171)</f>
        <v>0.75988186428068227</v>
      </c>
    </row>
    <row r="7" spans="1:11" x14ac:dyDescent="0.2">
      <c r="A7" t="str">
        <f ca="1">OFFSET(Northland_Reference,14,2)</f>
        <v>Light Vehicle Driver</v>
      </c>
      <c r="B7" s="4">
        <f ca="1">OFFSET(Northland_Reference,14,5)</f>
        <v>86.333691700000003</v>
      </c>
      <c r="C7" s="4">
        <f ca="1">$B7*('Updated Population'!C$4/'Updated Population'!$B$4)*('Total Trip Tables Sup #1'!C172/'Total Trip Tables Sup #1'!$B172)</f>
        <v>94.463456849498399</v>
      </c>
      <c r="D7" s="4">
        <f ca="1">$B7*('Updated Population'!D$4/'Updated Population'!$B$4)*('Total Trip Tables Sup #1'!D172/'Total Trip Tables Sup #1'!$B172)</f>
        <v>99.194111188010865</v>
      </c>
      <c r="E7" s="4">
        <f ca="1">$B7*('Updated Population'!E$4/'Updated Population'!$B$4)*('Total Trip Tables Sup #1'!E172/'Total Trip Tables Sup #1'!$B172)</f>
        <v>103.33908722964937</v>
      </c>
      <c r="F7" s="4">
        <f ca="1">$B7*('Updated Population'!F$4/'Updated Population'!$B$4)*('Total Trip Tables Sup #1'!F172/'Total Trip Tables Sup #1'!$B172)</f>
        <v>106.76987679658045</v>
      </c>
      <c r="G7" s="4">
        <f ca="1">$B7*('Updated Population'!G$4/'Updated Population'!$B$4)*('Total Trip Tables Sup #1'!G172/'Total Trip Tables Sup #1'!$B172)</f>
        <v>108.91431306158205</v>
      </c>
      <c r="H7" s="4">
        <f ca="1">$B7*('Updated Population'!H$4/'Updated Population'!$B$4)*('Total Trip Tables Sup #1'!H172/'Total Trip Tables Sup #1'!$B172)</f>
        <v>110.39667386853375</v>
      </c>
      <c r="I7" s="1">
        <f ca="1">$B7*('Updated Population'!I$4/'Updated Population'!$B$4)*('Total Trip Tables Sup #1'!I172/'Total Trip Tables Sup #1'!$B172)</f>
        <v>111.92559047709855</v>
      </c>
      <c r="J7" s="1">
        <f ca="1">$B7*('Updated Population'!J$4/'Updated Population'!$B$4)*('Total Trip Tables Sup #1'!J172/'Total Trip Tables Sup #1'!$B172)</f>
        <v>113.15983896887604</v>
      </c>
      <c r="K7" s="1">
        <f ca="1">$B7*('Updated Population'!K$4/'Updated Population'!$B$4)*('Total Trip Tables Sup #1'!K172/'Total Trip Tables Sup #1'!$B172)</f>
        <v>114.20847341146475</v>
      </c>
    </row>
    <row r="8" spans="1:11" x14ac:dyDescent="0.2">
      <c r="A8" t="str">
        <f ca="1">OFFSET(Northland_Reference,21,2)</f>
        <v>Light Vehicle Passenger</v>
      </c>
      <c r="B8" s="4">
        <f ca="1">OFFSET(Northland_Reference,21,5)</f>
        <v>50.299563868</v>
      </c>
      <c r="C8" s="4">
        <f ca="1">$B8*('Updated Population'!C$4/'Updated Population'!$B$4)*('Total Trip Tables Sup #1'!C173/'Total Trip Tables Sup #1'!$B173)</f>
        <v>52.502179062268191</v>
      </c>
      <c r="D8" s="4">
        <f ca="1">$B8*('Updated Population'!D$4/'Updated Population'!$B$4)*('Total Trip Tables Sup #1'!D173/'Total Trip Tables Sup #1'!$B173)</f>
        <v>53.620197021882731</v>
      </c>
      <c r="E8" s="4">
        <f ca="1">$B8*('Updated Population'!E$4/'Updated Population'!$B$4)*('Total Trip Tables Sup #1'!E173/'Total Trip Tables Sup #1'!$B173)</f>
        <v>54.284676558022319</v>
      </c>
      <c r="F8" s="4">
        <f ca="1">$B8*('Updated Population'!F$4/'Updated Population'!$B$4)*('Total Trip Tables Sup #1'!F173/'Total Trip Tables Sup #1'!$B173)</f>
        <v>54.665818428713422</v>
      </c>
      <c r="G8" s="4">
        <f ca="1">$B8*('Updated Population'!G$4/'Updated Population'!$B$4)*('Total Trip Tables Sup #1'!G173/'Total Trip Tables Sup #1'!$B173)</f>
        <v>54.645140225741166</v>
      </c>
      <c r="H8" s="4">
        <f ca="1">$B8*('Updated Population'!H$4/'Updated Population'!$B$4)*('Total Trip Tables Sup #1'!H173/'Total Trip Tables Sup #1'!$B173)</f>
        <v>54.274017389184678</v>
      </c>
      <c r="I8" s="1">
        <f ca="1">$B8*('Updated Population'!I$4/'Updated Population'!$B$4)*('Total Trip Tables Sup #1'!I173/'Total Trip Tables Sup #1'!$B173)</f>
        <v>55.02567451518356</v>
      </c>
      <c r="J8" s="1">
        <f ca="1">$B8*('Updated Population'!J$4/'Updated Population'!$B$4)*('Total Trip Tables Sup #1'!J173/'Total Trip Tables Sup #1'!$B173)</f>
        <v>55.632464754036945</v>
      </c>
      <c r="K8" s="1">
        <f ca="1">$B8*('Updated Population'!K$4/'Updated Population'!$B$4)*('Total Trip Tables Sup #1'!K173/'Total Trip Tables Sup #1'!$B173)</f>
        <v>56.148002061254495</v>
      </c>
    </row>
    <row r="9" spans="1:11" x14ac:dyDescent="0.2">
      <c r="A9" t="str">
        <f ca="1">OFFSET(Northland_Reference,28,2)</f>
        <v>Taxi/Vehicle Share</v>
      </c>
      <c r="B9" s="4">
        <f ca="1">OFFSET(Northland_Reference,28,5)</f>
        <v>0.18126348840000001</v>
      </c>
      <c r="C9" s="4">
        <f ca="1">$B9*('Updated Population'!C$4/'Updated Population'!$B$4)*('Total Trip Tables Sup #1'!C174/'Total Trip Tables Sup #1'!$B174)</f>
        <v>0.20726667039475216</v>
      </c>
      <c r="D9" s="4">
        <f ca="1">$B9*('Updated Population'!D$4/'Updated Population'!$B$4)*('Total Trip Tables Sup #1'!D174/'Total Trip Tables Sup #1'!$B174)</f>
        <v>0.22559254566574044</v>
      </c>
      <c r="E9" s="4">
        <f ca="1">$B9*('Updated Population'!E$4/'Updated Population'!$B$4)*('Total Trip Tables Sup #1'!E174/'Total Trip Tables Sup #1'!$B174)</f>
        <v>0.23896180855709839</v>
      </c>
      <c r="F9" s="4">
        <f ca="1">$B9*('Updated Population'!F$4/'Updated Population'!$B$4)*('Total Trip Tables Sup #1'!F174/'Total Trip Tables Sup #1'!$B174)</f>
        <v>0.24929617139850466</v>
      </c>
      <c r="G9" s="4">
        <f ca="1">$B9*('Updated Population'!G$4/'Updated Population'!$B$4)*('Total Trip Tables Sup #1'!G174/'Total Trip Tables Sup #1'!$B174)</f>
        <v>0.25552279768185537</v>
      </c>
      <c r="H9" s="4">
        <f ca="1">$B9*('Updated Population'!H$4/'Updated Population'!$B$4)*('Total Trip Tables Sup #1'!H174/'Total Trip Tables Sup #1'!$B174)</f>
        <v>0.26057392955710812</v>
      </c>
      <c r="I9" s="1">
        <f ca="1">$B9*('Updated Population'!I$4/'Updated Population'!$B$4)*('Total Trip Tables Sup #1'!I174/'Total Trip Tables Sup #1'!$B174)</f>
        <v>0.26418269596915855</v>
      </c>
      <c r="J9" s="1">
        <f ca="1">$B9*('Updated Population'!J$4/'Updated Population'!$B$4)*('Total Trip Tables Sup #1'!J174/'Total Trip Tables Sup #1'!$B174)</f>
        <v>0.26709594478619619</v>
      </c>
      <c r="K9" s="1">
        <f ca="1">$B9*('Updated Population'!K$4/'Updated Population'!$B$4)*('Total Trip Tables Sup #1'!K174/'Total Trip Tables Sup #1'!$B174)</f>
        <v>0.26957108092752297</v>
      </c>
    </row>
    <row r="10" spans="1:11" x14ac:dyDescent="0.2">
      <c r="A10" t="str">
        <f ca="1">OFFSET(Northland_Reference,35,2)</f>
        <v>Motorcyclist</v>
      </c>
      <c r="B10" s="4">
        <f ca="1">OFFSET(Northland_Reference,35,5)</f>
        <v>1.4141085707000001</v>
      </c>
      <c r="C10" s="4">
        <f ca="1">$B10*('Updated Population'!C$4/'Updated Population'!$B$4)*('Total Trip Tables Sup #1'!C175/'Total Trip Tables Sup #1'!$B175)</f>
        <v>1.506820480676897</v>
      </c>
      <c r="D10" s="4">
        <f ca="1">$B10*('Updated Population'!D$4/'Updated Population'!$B$4)*('Total Trip Tables Sup #1'!D175/'Total Trip Tables Sup #1'!$B175)</f>
        <v>1.543101197619005</v>
      </c>
      <c r="E10" s="4">
        <f ca="1">$B10*('Updated Population'!E$4/'Updated Population'!$B$4)*('Total Trip Tables Sup #1'!E175/'Total Trip Tables Sup #1'!$B175)</f>
        <v>1.5665387580848582</v>
      </c>
      <c r="F10" s="4">
        <f ca="1">$B10*('Updated Population'!F$4/'Updated Population'!$B$4)*('Total Trip Tables Sup #1'!F175/'Total Trip Tables Sup #1'!$B175)</f>
        <v>1.5759891166959463</v>
      </c>
      <c r="G10" s="4">
        <f ca="1">$B10*('Updated Population'!G$4/'Updated Population'!$B$4)*('Total Trip Tables Sup #1'!G175/'Total Trip Tables Sup #1'!$B175)</f>
        <v>1.556849822061628</v>
      </c>
      <c r="H10" s="4">
        <f ca="1">$B10*('Updated Population'!H$4/'Updated Population'!$B$4)*('Total Trip Tables Sup #1'!H175/'Total Trip Tables Sup #1'!$B175)</f>
        <v>1.5255087312424869</v>
      </c>
      <c r="I10" s="1">
        <f ca="1">$B10*('Updated Population'!I$4/'Updated Population'!$B$4)*('Total Trip Tables Sup #1'!I175/'Total Trip Tables Sup #1'!$B175)</f>
        <v>1.5466359586667908</v>
      </c>
      <c r="J10" s="1">
        <f ca="1">$B10*('Updated Population'!J$4/'Updated Population'!$B$4)*('Total Trip Tables Sup #1'!J175/'Total Trip Tables Sup #1'!$B175)</f>
        <v>1.5636913352895652</v>
      </c>
      <c r="K10" s="1">
        <f ca="1">$B10*('Updated Population'!K$4/'Updated Population'!$B$4)*('Total Trip Tables Sup #1'!K175/'Total Trip Tables Sup #1'!$B175)</f>
        <v>1.5781818171310351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Trip Tables Sup #1'!C176/'Total Trip Tables Sup #1'!$B176)</f>
        <v>0</v>
      </c>
      <c r="D11" s="4">
        <f ca="1">$B11*('Updated Population'!D$4/'Updated Population'!$B$4)*('Total Trip Tables Sup #1'!D176/'Total Trip Tables Sup #1'!$B176)</f>
        <v>0</v>
      </c>
      <c r="E11" s="4">
        <f ca="1">$B11*('Updated Population'!E$4/'Updated Population'!$B$4)*('Total Trip Tables Sup #1'!E176/'Total Trip Tables Sup #1'!$B176)</f>
        <v>0</v>
      </c>
      <c r="F11" s="4">
        <f ca="1">$B11*('Updated Population'!F$4/'Updated Population'!$B$4)*('Total Trip Tables Sup #1'!F176/'Total Trip Tables Sup #1'!$B176)</f>
        <v>0</v>
      </c>
      <c r="G11" s="4">
        <f ca="1">$B11*('Updated Population'!G$4/'Updated Population'!$B$4)*('Total Trip Tables Sup #1'!G176/'Total Trip Tables Sup #1'!$B176)</f>
        <v>0</v>
      </c>
      <c r="H11" s="4">
        <f ca="1">$B11*('Updated Population'!H$4/'Updated Population'!$B$4)*('Total Trip Tables Sup #1'!H176/'Total Trip Tables Sup #1'!$B176)</f>
        <v>0</v>
      </c>
      <c r="I11" s="1">
        <f ca="1">$B11*('Updated Population'!I$4/'Updated Population'!$B$4)*('Total Trip Tables Sup #1'!I176/'Total Trip Tables Sup #1'!$B176)</f>
        <v>0</v>
      </c>
      <c r="J11" s="1">
        <f ca="1">$B11*('Updated Population'!J$4/'Updated Population'!$B$4)*('Total Trip Tables Sup #1'!J176/'Total Trip Tables Sup #1'!$B176)</f>
        <v>0</v>
      </c>
      <c r="K11" s="1">
        <f ca="1">$B11*('Updated Population'!K$4/'Updated Population'!$B$4)*('Total Trip Tables Sup #1'!K176/'Total Trip Tables Sup #1'!$B176)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OFFSET(Northland_Reference,42,5)</f>
        <v>3.6339219343</v>
      </c>
      <c r="C12" s="4">
        <f ca="1">$B12*('Updated Population'!C$4/'Updated Population'!$B$4)*('Total Trip Tables Sup #1'!C177/'Total Trip Tables Sup #1'!$B177)</f>
        <v>3.6507763641715862</v>
      </c>
      <c r="D12" s="4">
        <f ca="1">$B12*('Updated Population'!D$4/'Updated Population'!$B$4)*('Total Trip Tables Sup #1'!D177/'Total Trip Tables Sup #1'!$B177)</f>
        <v>3.6360584803401741</v>
      </c>
      <c r="E12" s="4">
        <f ca="1">$B12*('Updated Population'!E$4/'Updated Population'!$B$4)*('Total Trip Tables Sup #1'!E177/'Total Trip Tables Sup #1'!$B177)</f>
        <v>3.6420173351713401</v>
      </c>
      <c r="F12" s="4">
        <f ca="1">$B12*('Updated Population'!F$4/'Updated Population'!$B$4)*('Total Trip Tables Sup #1'!F177/'Total Trip Tables Sup #1'!$B177)</f>
        <v>3.592038154101052</v>
      </c>
      <c r="G12" s="4">
        <f ca="1">$B12*('Updated Population'!G$4/'Updated Population'!$B$4)*('Total Trip Tables Sup #1'!G177/'Total Trip Tables Sup #1'!$B177)</f>
        <v>3.5525399737867005</v>
      </c>
      <c r="H12" s="4">
        <f ca="1">$B12*('Updated Population'!H$4/'Updated Population'!$B$4)*('Total Trip Tables Sup #1'!H177/'Total Trip Tables Sup #1'!$B177)</f>
        <v>3.4896488716296949</v>
      </c>
      <c r="I12" s="1">
        <f ca="1">$B12*('Updated Population'!I$4/'Updated Population'!$B$4)*('Total Trip Tables Sup #1'!I177/'Total Trip Tables Sup #1'!$B177)</f>
        <v>3.5379780642668543</v>
      </c>
      <c r="J12" s="1">
        <f ca="1">$B12*('Updated Population'!J$4/'Updated Population'!$B$4)*('Total Trip Tables Sup #1'!J177/'Total Trip Tables Sup #1'!$B177)</f>
        <v>3.576992771012196</v>
      </c>
      <c r="K12" s="1">
        <f ca="1">$B12*('Updated Population'!K$4/'Updated Population'!$B$4)*('Total Trip Tables Sup #1'!K177/'Total Trip Tables Sup #1'!$B177)</f>
        <v>3.6101402008314092</v>
      </c>
    </row>
    <row r="13" spans="1:11" x14ac:dyDescent="0.2">
      <c r="A13" t="str">
        <f ca="1">OFFSET(Northland_Reference,49,2)</f>
        <v>Local Ferry</v>
      </c>
      <c r="B13" s="4">
        <f ca="1">OFFSET(Northland_Reference,49,5)</f>
        <v>4.69171767E-2</v>
      </c>
      <c r="C13" s="4">
        <f ca="1">$B13*('Updated Population'!C$4/'Updated Population'!$B$4)*('Total Trip Tables Sup #1'!C178/'Total Trip Tables Sup #1'!$B178)</f>
        <v>5.264660198577905E-2</v>
      </c>
      <c r="D13" s="4">
        <f ca="1">$B13*('Updated Population'!D$4/'Updated Population'!$B$4)*('Total Trip Tables Sup #1'!D178/'Total Trip Tables Sup #1'!$B178)</f>
        <v>5.6613770560223799E-2</v>
      </c>
      <c r="E13" s="4">
        <f ca="1">$B13*('Updated Population'!E$4/'Updated Population'!$B$4)*('Total Trip Tables Sup #1'!E178/'Total Trip Tables Sup #1'!$B178)</f>
        <v>5.8662798756794303E-2</v>
      </c>
      <c r="F13" s="4">
        <f ca="1">$B13*('Updated Population'!F$4/'Updated Population'!$B$4)*('Total Trip Tables Sup #1'!F178/'Total Trip Tables Sup #1'!$B178)</f>
        <v>5.9800230645796044E-2</v>
      </c>
      <c r="G13" s="4">
        <f ca="1">$B13*('Updated Population'!G$4/'Updated Population'!$B$4)*('Total Trip Tables Sup #1'!G178/'Total Trip Tables Sup #1'!$B178)</f>
        <v>6.2068466542275699E-2</v>
      </c>
      <c r="H13" s="4">
        <f ca="1">$B13*('Updated Population'!H$4/'Updated Population'!$B$4)*('Total Trip Tables Sup #1'!H178/'Total Trip Tables Sup #1'!$B178)</f>
        <v>6.3745244426882272E-2</v>
      </c>
      <c r="I13" s="1">
        <f ca="1">$B13*('Updated Population'!I$4/'Updated Population'!$B$4)*('Total Trip Tables Sup #1'!I178/'Total Trip Tables Sup #1'!$B178)</f>
        <v>6.4628071413475582E-2</v>
      </c>
      <c r="J13" s="1">
        <f ca="1">$B13*('Updated Population'!J$4/'Updated Population'!$B$4)*('Total Trip Tables Sup #1'!J178/'Total Trip Tables Sup #1'!$B178)</f>
        <v>6.5340751144076517E-2</v>
      </c>
      <c r="K13" s="1">
        <f ca="1">$B13*('Updated Population'!K$4/'Updated Population'!$B$4)*('Total Trip Tables Sup #1'!K178/'Total Trip Tables Sup #1'!$B178)</f>
        <v>6.5946253615436004E-2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OFFSET(Northland_Reference,56,5)</f>
        <v>0.1184310407</v>
      </c>
      <c r="C14" s="4">
        <f ca="1">$B14*('Updated Population'!C$4/'Updated Population'!$B$4)*('Total Trip Tables Sup #1'!C179/'Total Trip Tables Sup #1'!$B179)</f>
        <v>0.12746798511488569</v>
      </c>
      <c r="D14" s="4">
        <f ca="1">$B14*('Updated Population'!D$4/'Updated Population'!$B$4)*('Total Trip Tables Sup #1'!D179/'Total Trip Tables Sup #1'!$B179)</f>
        <v>0.13485213728227999</v>
      </c>
      <c r="E14" s="4">
        <f ca="1">$B14*('Updated Population'!E$4/'Updated Population'!$B$4)*('Total Trip Tables Sup #1'!E179/'Total Trip Tables Sup #1'!$B179)</f>
        <v>0.14035080447923889</v>
      </c>
      <c r="F14" s="4">
        <f ca="1">$B14*('Updated Population'!F$4/'Updated Population'!$B$4)*('Total Trip Tables Sup #1'!F179/'Total Trip Tables Sup #1'!$B179)</f>
        <v>0.14434671880392558</v>
      </c>
      <c r="G14" s="4">
        <f ca="1">$B14*('Updated Population'!G$4/'Updated Population'!$B$4)*('Total Trip Tables Sup #1'!G179/'Total Trip Tables Sup #1'!$B179)</f>
        <v>0.14703226470599826</v>
      </c>
      <c r="H14" s="4">
        <f ca="1">$B14*('Updated Population'!H$4/'Updated Population'!$B$4)*('Total Trip Tables Sup #1'!H179/'Total Trip Tables Sup #1'!$B179)</f>
        <v>0.14743421149207192</v>
      </c>
      <c r="I14" s="1">
        <f ca="1">$B14*('Updated Population'!I$4/'Updated Population'!$B$4)*('Total Trip Tables Sup #1'!I179/'Total Trip Tables Sup #1'!$B179)</f>
        <v>0.14947607205473085</v>
      </c>
      <c r="J14" s="1">
        <f ca="1">$B14*('Updated Population'!J$4/'Updated Population'!$B$4)*('Total Trip Tables Sup #1'!J179/'Total Trip Tables Sup #1'!$B179)</f>
        <v>0.15112440480601641</v>
      </c>
      <c r="K14" s="1">
        <f ca="1">$B14*('Updated Population'!K$4/'Updated Population'!$B$4)*('Total Trip Tables Sup #1'!K179/'Total Trip Tables Sup #1'!$B179)</f>
        <v>0.15252485091339285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OFFSET(Auckland_Reference,0,5)</f>
        <v>324.81096006000001</v>
      </c>
      <c r="C16" s="4">
        <f ca="1">$B16*('Updated Population'!C$15/'Updated Population'!$B$15)*('Total Trip Tables Sup #1'!C170/'Total Trip Tables Sup #1'!$B170)</f>
        <v>355.35609181394892</v>
      </c>
      <c r="D16" s="4">
        <f ca="1">$B16*('Updated Population'!D$15/'Updated Population'!$B$15)*('Total Trip Tables Sup #1'!D170/'Total Trip Tables Sup #1'!$B170)</f>
        <v>375.36816955848303</v>
      </c>
      <c r="E16" s="4">
        <f ca="1">$B16*('Updated Population'!E$15/'Updated Population'!$B$15)*('Total Trip Tables Sup #1'!E170/'Total Trip Tables Sup #1'!$B170)</f>
        <v>387.75198579075567</v>
      </c>
      <c r="F16" s="4">
        <f ca="1">$B16*('Updated Population'!F$15/'Updated Population'!$B$15)*('Total Trip Tables Sup #1'!F170/'Total Trip Tables Sup #1'!$B170)</f>
        <v>396.50234004141311</v>
      </c>
      <c r="G16" s="4">
        <f ca="1">$B16*('Updated Population'!G$15/'Updated Population'!$B$15)*('Total Trip Tables Sup #1'!G170/'Total Trip Tables Sup #1'!$B170)</f>
        <v>402.99986726168055</v>
      </c>
      <c r="H16" s="4">
        <f ca="1">$B16*('Updated Population'!H$15/'Updated Population'!$B$15)*('Total Trip Tables Sup #1'!H170/'Total Trip Tables Sup #1'!$B170)</f>
        <v>407.82559086759159</v>
      </c>
      <c r="I16" s="1">
        <f ca="1">$B16*('Updated Population'!I$15/'Updated Population'!$B$15)*('Total Trip Tables Sup #1'!I170/'Total Trip Tables Sup #1'!$B170)</f>
        <v>421.28382076484235</v>
      </c>
      <c r="J16" s="1">
        <f ca="1">$B16*('Updated Population'!J$15/'Updated Population'!$B$15)*('Total Trip Tables Sup #1'!J170/'Total Trip Tables Sup #1'!$B170)</f>
        <v>433.89717408722851</v>
      </c>
      <c r="K16" s="1">
        <f ca="1">$B16*('Updated Population'!K$15/'Updated Population'!$B$15)*('Total Trip Tables Sup #1'!K170/'Total Trip Tables Sup #1'!$B170)</f>
        <v>446.02476595834628</v>
      </c>
    </row>
    <row r="17" spans="1:11" x14ac:dyDescent="0.2">
      <c r="A17" t="str">
        <f ca="1">OFFSET(Auckland_Reference,7,2)</f>
        <v>Cyclist</v>
      </c>
      <c r="B17" s="4">
        <f ca="1">OFFSET(Auckland_Reference,7,5)</f>
        <v>7.0506319707999996</v>
      </c>
      <c r="C17" s="4">
        <f ca="1">$B17*('Updated Population'!C$15/'Updated Population'!$B$15)*('Total Trip Tables Sup #1'!C171/'Total Trip Tables Sup #1'!$B171)</f>
        <v>7.7133933632462162</v>
      </c>
      <c r="D17" s="4">
        <f ca="1">$B17*('Updated Population'!D$15/'Updated Population'!$B$15)*('Total Trip Tables Sup #1'!D171/'Total Trip Tables Sup #1'!$B171)</f>
        <v>8.085535402105398</v>
      </c>
      <c r="E17" s="4">
        <f ca="1">$B17*('Updated Population'!E$15/'Updated Population'!$B$15)*('Total Trip Tables Sup #1'!E171/'Total Trip Tables Sup #1'!$B171)</f>
        <v>8.2696860921785209</v>
      </c>
      <c r="F17" s="4">
        <f ca="1">$B17*('Updated Population'!F$15/'Updated Population'!$B$15)*('Total Trip Tables Sup #1'!F171/'Total Trip Tables Sup #1'!$B171)</f>
        <v>8.4423819728537293</v>
      </c>
      <c r="G17" s="4">
        <f ca="1">$B17*('Updated Population'!G$15/'Updated Population'!$B$15)*('Total Trip Tables Sup #1'!G171/'Total Trip Tables Sup #1'!$B171)</f>
        <v>8.5964814990899594</v>
      </c>
      <c r="H17" s="4">
        <f ca="1">$B17*('Updated Population'!H$15/'Updated Population'!$B$15)*('Total Trip Tables Sup #1'!H171/'Total Trip Tables Sup #1'!$B171)</f>
        <v>8.7391032607332289</v>
      </c>
      <c r="I17" s="1">
        <f ca="1">$B17*('Updated Population'!I$15/'Updated Population'!$B$15)*('Total Trip Tables Sup #1'!I171/'Total Trip Tables Sup #1'!$B171)</f>
        <v>9.0274933554513073</v>
      </c>
      <c r="J17" s="1">
        <f ca="1">$B17*('Updated Population'!J$15/'Updated Population'!$B$15)*('Total Trip Tables Sup #1'!J171/'Total Trip Tables Sup #1'!$B171)</f>
        <v>9.2977789864092557</v>
      </c>
      <c r="K17" s="1">
        <f ca="1">$B17*('Updated Population'!K$15/'Updated Population'!$B$15)*('Total Trip Tables Sup #1'!K171/'Total Trip Tables Sup #1'!$B171)</f>
        <v>9.557655463116518</v>
      </c>
    </row>
    <row r="18" spans="1:11" x14ac:dyDescent="0.2">
      <c r="A18" t="str">
        <f ca="1">OFFSET(Auckland_Reference,14,2)</f>
        <v>Light Vehicle Driver</v>
      </c>
      <c r="B18" s="4">
        <f ca="1">OFFSET(Auckland_Reference,14,5)</f>
        <v>981.24355252999999</v>
      </c>
      <c r="C18" s="4">
        <f ca="1">$B18*('Updated Population'!C$15/'Updated Population'!$B$15)*('Total Trip Tables Sup #1'!C172/'Total Trip Tables Sup #1'!$B172)</f>
        <v>1100.1598499812176</v>
      </c>
      <c r="D18" s="4">
        <f ca="1">$B18*('Updated Population'!D$15/'Updated Population'!$B$15)*('Total Trip Tables Sup #1'!D172/'Total Trip Tables Sup #1'!$B172)</f>
        <v>1179.8032263405719</v>
      </c>
      <c r="E18" s="4">
        <f ca="1">$B18*('Updated Population'!E$15/'Updated Population'!$B$15)*('Total Trip Tables Sup #1'!E172/'Total Trip Tables Sup #1'!$B172)</f>
        <v>1249.6022466456814</v>
      </c>
      <c r="F18" s="4">
        <f ca="1">$B18*('Updated Population'!F$15/'Updated Population'!$B$15)*('Total Trip Tables Sup #1'!F172/'Total Trip Tables Sup #1'!$B172)</f>
        <v>1314.3842135043305</v>
      </c>
      <c r="G18" s="4">
        <f ca="1">$B18*('Updated Population'!G$15/'Updated Population'!$B$15)*('Total Trip Tables Sup #1'!G172/'Total Trip Tables Sup #1'!$B172)</f>
        <v>1365.0400410240341</v>
      </c>
      <c r="H18" s="4">
        <f ca="1">$B18*('Updated Population'!H$15/'Updated Population'!$B$15)*('Total Trip Tables Sup #1'!H172/'Total Trip Tables Sup #1'!$B172)</f>
        <v>1409.9892946102837</v>
      </c>
      <c r="I18" s="1">
        <f ca="1">$B18*('Updated Population'!I$15/'Updated Population'!$B$15)*('Total Trip Tables Sup #1'!I172/'Total Trip Tables Sup #1'!$B172)</f>
        <v>1456.5188908505756</v>
      </c>
      <c r="J18" s="1">
        <f ca="1">$B18*('Updated Population'!J$15/'Updated Population'!$B$15)*('Total Trip Tables Sup #1'!J172/'Total Trip Tables Sup #1'!$B172)</f>
        <v>1500.1274665553694</v>
      </c>
      <c r="K18" s="1">
        <f ca="1">$B18*('Updated Population'!K$15/'Updated Population'!$B$15)*('Total Trip Tables Sup #1'!K172/'Total Trip Tables Sup #1'!$B172)</f>
        <v>1542.0566026630408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OFFSET(Auckland_Reference,21,5)</f>
        <v>488.06073574999999</v>
      </c>
      <c r="C19" s="4">
        <f ca="1">$B19*('Updated Population'!C$15/'Updated Population'!$B$15)*('Total Trip Tables Sup #1'!C173/'Total Trip Tables Sup #1'!$B173)</f>
        <v>522.01433913639153</v>
      </c>
      <c r="D19" s="4">
        <f ca="1">$B19*('Updated Population'!D$15/'Updated Population'!$B$15)*('Total Trip Tables Sup #1'!D173/'Total Trip Tables Sup #1'!$B173)</f>
        <v>544.45907544437841</v>
      </c>
      <c r="E19" s="4">
        <f ca="1">$B19*('Updated Population'!E$15/'Updated Population'!$B$15)*('Total Trip Tables Sup #1'!E173/'Total Trip Tables Sup #1'!$B173)</f>
        <v>560.39929141645212</v>
      </c>
      <c r="F19" s="4">
        <f ca="1">$B19*('Updated Population'!F$15/'Updated Population'!$B$15)*('Total Trip Tables Sup #1'!F173/'Total Trip Tables Sup #1'!$B173)</f>
        <v>574.51661644581418</v>
      </c>
      <c r="G19" s="4">
        <f ca="1">$B19*('Updated Population'!G$15/'Updated Population'!$B$15)*('Total Trip Tables Sup #1'!G173/'Total Trip Tables Sup #1'!$B173)</f>
        <v>584.68927243658368</v>
      </c>
      <c r="H19" s="4">
        <f ca="1">$B19*('Updated Population'!H$15/'Updated Population'!$B$15)*('Total Trip Tables Sup #1'!H173/'Total Trip Tables Sup #1'!$B173)</f>
        <v>591.78634884735163</v>
      </c>
      <c r="I19" s="1">
        <f ca="1">$B19*('Updated Population'!I$15/'Updated Population'!$B$15)*('Total Trip Tables Sup #1'!I173/'Total Trip Tables Sup #1'!$B173)</f>
        <v>611.31527717158747</v>
      </c>
      <c r="J19" s="1">
        <f ca="1">$B19*('Updated Population'!J$15/'Updated Population'!$B$15)*('Total Trip Tables Sup #1'!J173/'Total Trip Tables Sup #1'!$B173)</f>
        <v>629.61822450134423</v>
      </c>
      <c r="K19" s="1">
        <f ca="1">$B19*('Updated Population'!K$15/'Updated Population'!$B$15)*('Total Trip Tables Sup #1'!K173/'Total Trip Tables Sup #1'!$B173)</f>
        <v>647.21629454508945</v>
      </c>
    </row>
    <row r="20" spans="1:11" x14ac:dyDescent="0.2">
      <c r="A20" t="str">
        <f ca="1">OFFSET(Auckland_Reference,28,2)</f>
        <v>Taxi/Vehicle Share</v>
      </c>
      <c r="B20" s="4">
        <f ca="1">OFFSET(Auckland_Reference,28,5)</f>
        <v>6.0232688673999997</v>
      </c>
      <c r="C20" s="4">
        <f ca="1">$B20*('Updated Population'!C$15/'Updated Population'!$B$15)*('Total Trip Tables Sup #1'!C174/'Total Trip Tables Sup #1'!$B174)</f>
        <v>7.0574342351450801</v>
      </c>
      <c r="D20" s="4">
        <f ca="1">$B20*('Updated Population'!D$15/'Updated Population'!$B$15)*('Total Trip Tables Sup #1'!D174/'Total Trip Tables Sup #1'!$B174)</f>
        <v>7.8446549560811203</v>
      </c>
      <c r="E20" s="4">
        <f ca="1">$B20*('Updated Population'!E$15/'Updated Population'!$B$15)*('Total Trip Tables Sup #1'!E174/'Total Trip Tables Sup #1'!$B174)</f>
        <v>8.448139657158853</v>
      </c>
      <c r="F20" s="4">
        <f ca="1">$B20*('Updated Population'!F$15/'Updated Population'!$B$15)*('Total Trip Tables Sup #1'!F174/'Total Trip Tables Sup #1'!$B174)</f>
        <v>8.9725236870534708</v>
      </c>
      <c r="G20" s="4">
        <f ca="1">$B20*('Updated Population'!G$15/'Updated Population'!$B$15)*('Total Trip Tables Sup #1'!G174/'Total Trip Tables Sup #1'!$B174)</f>
        <v>9.3630102745732753</v>
      </c>
      <c r="H20" s="4">
        <f ca="1">$B20*('Updated Population'!H$15/'Updated Population'!$B$15)*('Total Trip Tables Sup #1'!H174/'Total Trip Tables Sup #1'!$B174)</f>
        <v>9.7300752903935788</v>
      </c>
      <c r="I20" s="1">
        <f ca="1">$B20*('Updated Population'!I$15/'Updated Population'!$B$15)*('Total Trip Tables Sup #1'!I174/'Total Trip Tables Sup #1'!$B174)</f>
        <v>10.051167426610677</v>
      </c>
      <c r="J20" s="1">
        <f ca="1">$B20*('Updated Population'!J$15/'Updated Population'!$B$15)*('Total Trip Tables Sup #1'!J174/'Total Trip Tables Sup #1'!$B174)</f>
        <v>10.352102140467316</v>
      </c>
      <c r="K20" s="1">
        <f ca="1">$B20*('Updated Population'!K$15/'Updated Population'!$B$15)*('Total Trip Tables Sup #1'!K174/'Total Trip Tables Sup #1'!$B174)</f>
        <v>10.641447352341116</v>
      </c>
    </row>
    <row r="21" spans="1:11" x14ac:dyDescent="0.2">
      <c r="A21" t="str">
        <f ca="1">OFFSET(Auckland_Reference,35,2)</f>
        <v>Motorcyclist</v>
      </c>
      <c r="B21" s="4">
        <f ca="1">OFFSET(Auckland_Reference,35,5)</f>
        <v>4.1170216905999997</v>
      </c>
      <c r="C21" s="4">
        <f ca="1">$B21*('Updated Population'!C$15/'Updated Population'!$B$15)*('Total Trip Tables Sup #1'!C175/'Total Trip Tables Sup #1'!$B175)</f>
        <v>4.4952864187276234</v>
      </c>
      <c r="D21" s="4">
        <f ca="1">$B21*('Updated Population'!D$15/'Updated Population'!$B$15)*('Total Trip Tables Sup #1'!D175/'Total Trip Tables Sup #1'!$B175)</f>
        <v>4.7013436113649014</v>
      </c>
      <c r="E21" s="4">
        <f ca="1">$B21*('Updated Population'!E$15/'Updated Population'!$B$15)*('Total Trip Tables Sup #1'!E175/'Total Trip Tables Sup #1'!$B175)</f>
        <v>4.8523510956916489</v>
      </c>
      <c r="F21" s="4">
        <f ca="1">$B21*('Updated Population'!F$15/'Updated Population'!$B$15)*('Total Trip Tables Sup #1'!F175/'Total Trip Tables Sup #1'!$B175)</f>
        <v>4.9697060695298481</v>
      </c>
      <c r="G21" s="4">
        <f ca="1">$B21*('Updated Population'!G$15/'Updated Population'!$B$15)*('Total Trip Tables Sup #1'!G175/'Total Trip Tables Sup #1'!$B175)</f>
        <v>4.9981703296959985</v>
      </c>
      <c r="H21" s="4">
        <f ca="1">$B21*('Updated Population'!H$15/'Updated Population'!$B$15)*('Total Trip Tables Sup #1'!H175/'Total Trip Tables Sup #1'!$B175)</f>
        <v>4.9908948576210541</v>
      </c>
      <c r="I21" s="1">
        <f ca="1">$B21*('Updated Population'!I$15/'Updated Population'!$B$15)*('Total Trip Tables Sup #1'!I175/'Total Trip Tables Sup #1'!$B175)</f>
        <v>5.1555942092335387</v>
      </c>
      <c r="J21" s="1">
        <f ca="1">$B21*('Updated Population'!J$15/'Updated Population'!$B$15)*('Total Trip Tables Sup #1'!J175/'Total Trip Tables Sup #1'!$B175)</f>
        <v>5.3099541161244552</v>
      </c>
      <c r="K21" s="1">
        <f ca="1">$B21*('Updated Population'!K$15/'Updated Population'!$B$15)*('Total Trip Tables Sup #1'!K175/'Total Trip Tables Sup #1'!$B175)</f>
        <v>5.4583693633778818</v>
      </c>
    </row>
    <row r="22" spans="1:11" x14ac:dyDescent="0.2">
      <c r="A22" t="str">
        <f ca="1">OFFSET(Auckland_Reference,42,2)</f>
        <v>Local Train</v>
      </c>
      <c r="B22" s="4">
        <f ca="1">OFFSET(Auckland_Reference,42,5)</f>
        <v>10.588451037</v>
      </c>
      <c r="C22" s="4">
        <f ca="1">OFFSET(Auckland_Reference,43,5)</f>
        <v>11.420578711999999</v>
      </c>
      <c r="D22" s="4">
        <f ca="1">OFFSET(Auckland_Reference,44,5)</f>
        <v>11.879401543</v>
      </c>
      <c r="E22" s="4">
        <f ca="1">OFFSET(Auckland_Reference,45,5)</f>
        <v>12.234843393</v>
      </c>
      <c r="F22" s="4">
        <f ca="1">OFFSET(Auckland_Reference,46,5)</f>
        <v>12.444639186</v>
      </c>
      <c r="G22" s="4">
        <f ca="1">OFFSET(Auckland_Reference,47,5)</f>
        <v>12.455475623</v>
      </c>
      <c r="H22" s="4">
        <f ca="1">OFFSET(Auckland_Reference,48,5)</f>
        <v>12.377482091999999</v>
      </c>
      <c r="I22" s="1">
        <f ca="1">OFFSET(Auckland_Reference,48,5)*('Updated Population'!I15/'Updated Population'!H15)</f>
        <v>12.785938557885002</v>
      </c>
      <c r="J22" s="1">
        <f ca="1">OFFSET(Auckland_Reference,48,5)*('Updated Population'!J15/'Updated Population'!H15)</f>
        <v>13.168753070666746</v>
      </c>
      <c r="K22" s="1">
        <f ca="1">OFFSET(Auckland_Reference,48,5)*('Updated Population'!K15/'Updated Population'!H15)</f>
        <v>13.536824752692654</v>
      </c>
    </row>
    <row r="23" spans="1:11" x14ac:dyDescent="0.2">
      <c r="A23" t="str">
        <f ca="1">OFFSET(Auckland_Reference,49,2)</f>
        <v>Local Bus</v>
      </c>
      <c r="B23" s="4">
        <f ca="1">OFFSET(Auckland_Reference,49,5)</f>
        <v>54.403429504999998</v>
      </c>
      <c r="C23" s="4">
        <f ca="1">OFFSET(Auckland_Reference,50,5)</f>
        <v>56.901281644000001</v>
      </c>
      <c r="D23" s="4">
        <f ca="1">OFFSET(Auckland_Reference,51,5)</f>
        <v>57.704774139000001</v>
      </c>
      <c r="E23" s="4">
        <f ca="1">OFFSET(Auckland_Reference,52,5)</f>
        <v>57.34791817</v>
      </c>
      <c r="F23" s="4">
        <f ca="1">OFFSET(Auckland_Reference,53,5)</f>
        <v>55.954404328000003</v>
      </c>
      <c r="G23" s="4">
        <f ca="1">OFFSET(Auckland_Reference,54,5)</f>
        <v>54.367114821999998</v>
      </c>
      <c r="H23" s="4">
        <f ca="1">OFFSET(Auckland_Reference,55,5)</f>
        <v>52.396734487000003</v>
      </c>
      <c r="I23" s="1">
        <f ca="1">OFFSET(Auckland_Reference,55,5)*('Updated Population'!I15/'Updated Population'!H15)</f>
        <v>54.1258248491107</v>
      </c>
      <c r="J23" s="1">
        <f ca="1">OFFSET(Auckland_Reference,55,5)*('Updated Population'!J15/'Updated Population'!H15)</f>
        <v>55.746366913716841</v>
      </c>
      <c r="K23" s="1">
        <f ca="1">OFFSET(Auckland_Reference,55,5)*('Updated Population'!K15/'Updated Population'!H15)</f>
        <v>57.304499177770779</v>
      </c>
    </row>
    <row r="24" spans="1:11" x14ac:dyDescent="0.2">
      <c r="A24" t="str">
        <f ca="1">OFFSET(Auckland_Reference,56,2)</f>
        <v>Local Ferry</v>
      </c>
      <c r="B24" s="4">
        <f ca="1">OFFSET(Auckland_Reference,56,5)</f>
        <v>4.3086283299000003</v>
      </c>
      <c r="C24" s="4">
        <f ca="1">$B24*('Updated Population'!C$15/'Updated Population'!$B$15)*('Total Trip Tables Sup #1'!C178/'Total Trip Tables Sup #1'!$B178)</f>
        <v>4.9541934535989247</v>
      </c>
      <c r="D24" s="4">
        <f ca="1">$B24*('Updated Population'!D$15/'Updated Population'!$B$15)*('Total Trip Tables Sup #1'!D178/'Total Trip Tables Sup #1'!$B178)</f>
        <v>5.4407206538431288</v>
      </c>
      <c r="E24" s="4">
        <f ca="1">$B24*('Updated Population'!E$15/'Updated Population'!$B$15)*('Total Trip Tables Sup #1'!E178/'Total Trip Tables Sup #1'!$B178)</f>
        <v>5.731662553207534</v>
      </c>
      <c r="F24" s="4">
        <f ca="1">$B24*('Updated Population'!F$15/'Updated Population'!$B$15)*('Total Trip Tables Sup #1'!F178/'Total Trip Tables Sup #1'!$B178)</f>
        <v>5.9482211985854647</v>
      </c>
      <c r="G24" s="4">
        <f ca="1">$B24*('Updated Population'!G$15/'Updated Population'!$B$15)*('Total Trip Tables Sup #1'!G178/'Total Trip Tables Sup #1'!$B178)</f>
        <v>6.2855329683561036</v>
      </c>
      <c r="H24" s="4">
        <f ca="1">$B24*('Updated Population'!H$15/'Updated Population'!$B$15)*('Total Trip Tables Sup #1'!H178/'Total Trip Tables Sup #1'!$B178)</f>
        <v>6.5783696842985195</v>
      </c>
      <c r="I24" s="1">
        <f ca="1">$B24*('Updated Population'!I$15/'Updated Population'!$B$15)*('Total Trip Tables Sup #1'!I178/'Total Trip Tables Sup #1'!$B178)</f>
        <v>6.7954556483549986</v>
      </c>
      <c r="J24" s="1">
        <f ca="1">$B24*('Updated Population'!J$15/'Updated Population'!$B$15)*('Total Trip Tables Sup #1'!J178/'Total Trip Tables Sup #1'!$B178)</f>
        <v>6.9989134572110165</v>
      </c>
      <c r="K24" s="1">
        <f ca="1">$B24*('Updated Population'!K$15/'Updated Population'!$B$15)*('Total Trip Tables Sup #1'!K178/'Total Trip Tables Sup #1'!$B178)</f>
        <v>7.1945357636454563</v>
      </c>
    </row>
    <row r="25" spans="1:11" x14ac:dyDescent="0.2">
      <c r="A25" t="str">
        <f ca="1">OFFSET(Auckland_Reference,63,2)</f>
        <v>Other Household Travel</v>
      </c>
      <c r="B25" s="4">
        <f ca="1">OFFSET(Auckland_Reference,63,5)</f>
        <v>2.2145179384000002</v>
      </c>
      <c r="C25" s="4">
        <f ca="1">$B25*('Updated Population'!C$15/'Updated Population'!$B$15)*('Total Trip Tables Sup #1'!C179/'Total Trip Tables Sup #1'!$B179)</f>
        <v>2.4423631062994811</v>
      </c>
      <c r="D25" s="4">
        <f ca="1">$B25*('Updated Population'!D$15/'Updated Population'!$B$15)*('Total Trip Tables Sup #1'!D179/'Total Trip Tables Sup #1'!$B179)</f>
        <v>2.6387526110916188</v>
      </c>
      <c r="E25" s="4">
        <f ca="1">$B25*('Updated Population'!E$15/'Updated Population'!$B$15)*('Total Trip Tables Sup #1'!E179/'Total Trip Tables Sup #1'!$B179)</f>
        <v>2.7921531478715909</v>
      </c>
      <c r="F25" s="4">
        <f ca="1">$B25*('Updated Population'!F$15/'Updated Population'!$B$15)*('Total Trip Tables Sup #1'!F179/'Total Trip Tables Sup #1'!$B179)</f>
        <v>2.9234634054166095</v>
      </c>
      <c r="G25" s="4">
        <f ca="1">$B25*('Updated Population'!G$15/'Updated Population'!$B$15)*('Total Trip Tables Sup #1'!G179/'Total Trip Tables Sup #1'!$B179)</f>
        <v>3.0317279926969944</v>
      </c>
      <c r="H25" s="4">
        <f ca="1">$B25*('Updated Population'!H$15/'Updated Population'!$B$15)*('Total Trip Tables Sup #1'!H179/'Total Trip Tables Sup #1'!$B179)</f>
        <v>3.0979560402567752</v>
      </c>
      <c r="I25" s="1">
        <f ca="1">$B25*('Updated Population'!I$15/'Updated Population'!$B$15)*('Total Trip Tables Sup #1'!I179/'Total Trip Tables Sup #1'!$B179)</f>
        <v>3.2001884786691277</v>
      </c>
      <c r="J25" s="1">
        <f ca="1">$B25*('Updated Population'!J$15/'Updated Population'!$B$15)*('Total Trip Tables Sup #1'!J179/'Total Trip Tables Sup #1'!$B179)</f>
        <v>3.2960030008276102</v>
      </c>
      <c r="K25" s="1">
        <f ca="1">$B25*('Updated Population'!K$15/'Updated Population'!$B$15)*('Total Trip Tables Sup #1'!K179/'Total Trip Tables Sup #1'!$B179)</f>
        <v>3.3881275445841008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OFFSET(Waikato_Reference,0,5)</f>
        <v>68.689195601999998</v>
      </c>
      <c r="C27" s="4">
        <f ca="1">$B27*('Updated Population'!C$26/'Updated Population'!$B$26)*('Total Trip Tables Sup #1'!C170/'Total Trip Tables Sup #1'!$B170)</f>
        <v>74.180739613093209</v>
      </c>
      <c r="D27" s="4">
        <f ca="1">$B27*('Updated Population'!D$26/'Updated Population'!$B$26)*('Total Trip Tables Sup #1'!D170/'Total Trip Tables Sup #1'!$B170)</f>
        <v>76.939562834690605</v>
      </c>
      <c r="E27" s="4">
        <f ca="1">$B27*('Updated Population'!E$26/'Updated Population'!$B$26)*('Total Trip Tables Sup #1'!E170/'Total Trip Tables Sup #1'!$B170)</f>
        <v>78.327742638643969</v>
      </c>
      <c r="F27" s="4">
        <f ca="1">$B27*('Updated Population'!F$26/'Updated Population'!$B$26)*('Total Trip Tables Sup #1'!F170/'Total Trip Tables Sup #1'!$B170)</f>
        <v>78.896272988744101</v>
      </c>
      <c r="G27" s="4">
        <f ca="1">$B27*('Updated Population'!G$26/'Updated Population'!$B$26)*('Total Trip Tables Sup #1'!G170/'Total Trip Tables Sup #1'!$B170)</f>
        <v>78.971723382840949</v>
      </c>
      <c r="H27" s="4">
        <f ca="1">$B27*('Updated Population'!H$26/'Updated Population'!$B$26)*('Total Trip Tables Sup #1'!H170/'Total Trip Tables Sup #1'!$B170)</f>
        <v>78.685619048583902</v>
      </c>
      <c r="I27" s="1">
        <f ca="1">$B27*('Updated Population'!I$26/'Updated Population'!$B$26)*('Total Trip Tables Sup #1'!I170/'Total Trip Tables Sup #1'!$B170)</f>
        <v>80.005723012997763</v>
      </c>
      <c r="J27" s="1">
        <f ca="1">$B27*('Updated Population'!J$26/'Updated Population'!$B$26)*('Total Trip Tables Sup #1'!J170/'Total Trip Tables Sup #1'!$B170)</f>
        <v>81.083085578114748</v>
      </c>
      <c r="K27" s="1">
        <f ca="1">$B27*('Updated Population'!K$26/'Updated Population'!$B$26)*('Total Trip Tables Sup #1'!K170/'Total Trip Tables Sup #1'!$B170)</f>
        <v>81.992082046247049</v>
      </c>
    </row>
    <row r="28" spans="1:11" x14ac:dyDescent="0.2">
      <c r="A28" t="str">
        <f ca="1">OFFSET(Waikato_Reference,7,2)</f>
        <v>Cyclist</v>
      </c>
      <c r="B28" s="4">
        <f ca="1">OFFSET(Waikato_Reference,7,5)</f>
        <v>5.8956498267999997</v>
      </c>
      <c r="C28" s="4">
        <f ca="1">$B28*('Updated Population'!C$26/'Updated Population'!$B$26)*('Total Trip Tables Sup #1'!C171/'Total Trip Tables Sup #1'!$B171)</f>
        <v>6.3667640208860474</v>
      </c>
      <c r="D28" s="4">
        <f ca="1">$B28*('Updated Population'!D$26/'Updated Population'!$B$26)*('Total Trip Tables Sup #1'!D171/'Total Trip Tables Sup #1'!$B171)</f>
        <v>6.5531020937730036</v>
      </c>
      <c r="E28" s="4">
        <f ca="1">$B28*('Updated Population'!E$26/'Updated Population'!$B$26)*('Total Trip Tables Sup #1'!E171/'Total Trip Tables Sup #1'!$B171)</f>
        <v>6.6053598731859813</v>
      </c>
      <c r="F28" s="4">
        <f ca="1">$B28*('Updated Population'!F$26/'Updated Population'!$B$26)*('Total Trip Tables Sup #1'!F171/'Total Trip Tables Sup #1'!$B171)</f>
        <v>6.642347773905418</v>
      </c>
      <c r="G28" s="4">
        <f ca="1">$B28*('Updated Population'!G$26/'Updated Population'!$B$26)*('Total Trip Tables Sup #1'!G171/'Total Trip Tables Sup #1'!$B171)</f>
        <v>6.6609063044746666</v>
      </c>
      <c r="H28" s="4">
        <f ca="1">$B28*('Updated Population'!H$26/'Updated Population'!$B$26)*('Total Trip Tables Sup #1'!H171/'Total Trip Tables Sup #1'!$B171)</f>
        <v>6.6670489251524927</v>
      </c>
      <c r="I28" s="1">
        <f ca="1">$B28*('Updated Population'!I$26/'Updated Population'!$B$26)*('Total Trip Tables Sup #1'!I171/'Total Trip Tables Sup #1'!$B171)</f>
        <v>6.778901609587761</v>
      </c>
      <c r="J28" s="1">
        <f ca="1">$B28*('Updated Population'!J$26/'Updated Population'!$B$26)*('Total Trip Tables Sup #1'!J171/'Total Trip Tables Sup #1'!$B171)</f>
        <v>6.8701867645959167</v>
      </c>
      <c r="K28" s="1">
        <f ca="1">$B28*('Updated Population'!K$26/'Updated Population'!$B$26)*('Total Trip Tables Sup #1'!K171/'Total Trip Tables Sup #1'!$B171)</f>
        <v>6.9472062250653961</v>
      </c>
    </row>
    <row r="29" spans="1:11" x14ac:dyDescent="0.2">
      <c r="A29" t="str">
        <f ca="1">OFFSET(Waikato_Reference,14,2)</f>
        <v>Light Vehicle Driver</v>
      </c>
      <c r="B29" s="4">
        <f ca="1">OFFSET(Waikato_Reference,14,5)</f>
        <v>305.41478153000003</v>
      </c>
      <c r="C29" s="4">
        <f ca="1">$B29*('Updated Population'!C$26/'Updated Population'!$B$26)*('Total Trip Tables Sup #1'!C172/'Total Trip Tables Sup #1'!$B172)</f>
        <v>338.01709616318101</v>
      </c>
      <c r="D29" s="4">
        <f ca="1">$B29*('Updated Population'!D$26/'Updated Population'!$B$26)*('Total Trip Tables Sup #1'!D172/'Total Trip Tables Sup #1'!$B172)</f>
        <v>355.92404797628632</v>
      </c>
      <c r="E29" s="4">
        <f ca="1">$B29*('Updated Population'!E$26/'Updated Population'!$B$26)*('Total Trip Tables Sup #1'!E172/'Total Trip Tables Sup #1'!$B172)</f>
        <v>371.52569744094984</v>
      </c>
      <c r="F29" s="4">
        <f ca="1">$B29*('Updated Population'!F$26/'Updated Population'!$B$26)*('Total Trip Tables Sup #1'!F172/'Total Trip Tables Sup #1'!$B172)</f>
        <v>384.93601702149681</v>
      </c>
      <c r="G29" s="4">
        <f ca="1">$B29*('Updated Population'!G$26/'Updated Population'!$B$26)*('Total Trip Tables Sup #1'!G172/'Total Trip Tables Sup #1'!$B172)</f>
        <v>393.701966611437</v>
      </c>
      <c r="H29" s="4">
        <f ca="1">$B29*('Updated Population'!H$26/'Updated Population'!$B$26)*('Total Trip Tables Sup #1'!H172/'Total Trip Tables Sup #1'!$B172)</f>
        <v>400.39826592638354</v>
      </c>
      <c r="I29" s="1">
        <f ca="1">$B29*('Updated Population'!I$26/'Updated Population'!$B$26)*('Total Trip Tables Sup #1'!I172/'Total Trip Tables Sup #1'!$B172)</f>
        <v>407.11572388865096</v>
      </c>
      <c r="J29" s="1">
        <f ca="1">$B29*('Updated Population'!J$26/'Updated Population'!$B$26)*('Total Trip Tables Sup #1'!J172/'Total Trip Tables Sup #1'!$B172)</f>
        <v>412.59797220877277</v>
      </c>
      <c r="K29" s="1">
        <f ca="1">$B29*('Updated Population'!K$26/'Updated Population'!$B$26)*('Total Trip Tables Sup #1'!K172/'Total Trip Tables Sup #1'!$B172)</f>
        <v>417.22347575026043</v>
      </c>
    </row>
    <row r="30" spans="1:11" x14ac:dyDescent="0.2">
      <c r="A30" t="str">
        <f ca="1">OFFSET(Waikato_Reference,21,2)</f>
        <v>Light Vehicle Passenger</v>
      </c>
      <c r="B30" s="4">
        <f ca="1">OFFSET(Waikato_Reference,21,5)</f>
        <v>139.07206360000001</v>
      </c>
      <c r="C30" s="4">
        <f ca="1">$B30*('Updated Population'!C$26/'Updated Population'!$B$26)*('Total Trip Tables Sup #1'!C173/'Total Trip Tables Sup #1'!$B173)</f>
        <v>146.83111618950016</v>
      </c>
      <c r="D30" s="4">
        <f ca="1">$B30*('Updated Population'!D$26/'Updated Population'!$B$26)*('Total Trip Tables Sup #1'!D173/'Total Trip Tables Sup #1'!$B173)</f>
        <v>150.37158809581729</v>
      </c>
      <c r="E30" s="4">
        <f ca="1">$B30*('Updated Population'!E$26/'Updated Population'!$B$26)*('Total Trip Tables Sup #1'!E173/'Total Trip Tables Sup #1'!$B173)</f>
        <v>152.53427097669081</v>
      </c>
      <c r="F30" s="4">
        <f ca="1">$B30*('Updated Population'!F$26/'Updated Population'!$B$26)*('Total Trip Tables Sup #1'!F173/'Total Trip Tables Sup #1'!$B173)</f>
        <v>154.03577589682408</v>
      </c>
      <c r="G30" s="4">
        <f ca="1">$B30*('Updated Population'!G$26/'Updated Population'!$B$26)*('Total Trip Tables Sup #1'!G173/'Total Trip Tables Sup #1'!$B173)</f>
        <v>154.38322592862588</v>
      </c>
      <c r="H30" s="4">
        <f ca="1">$B30*('Updated Population'!H$26/'Updated Population'!$B$26)*('Total Trip Tables Sup #1'!H173/'Total Trip Tables Sup #1'!$B173)</f>
        <v>153.8487981350664</v>
      </c>
      <c r="I30" s="1">
        <f ca="1">$B30*('Updated Population'!I$26/'Updated Population'!$B$26)*('Total Trip Tables Sup #1'!I173/'Total Trip Tables Sup #1'!$B173)</f>
        <v>156.42991029754441</v>
      </c>
      <c r="J30" s="1">
        <f ca="1">$B30*('Updated Population'!J$26/'Updated Population'!$B$26)*('Total Trip Tables Sup #1'!J173/'Total Trip Tables Sup #1'!$B173)</f>
        <v>158.53640622148976</v>
      </c>
      <c r="K30" s="1">
        <f ca="1">$B30*('Updated Population'!K$26/'Updated Population'!$B$26)*('Total Trip Tables Sup #1'!K173/'Total Trip Tables Sup #1'!$B173)</f>
        <v>160.31370702717862</v>
      </c>
    </row>
    <row r="31" spans="1:11" x14ac:dyDescent="0.2">
      <c r="A31" t="str">
        <f ca="1">OFFSET(Waikato_Reference,28,2)</f>
        <v>Taxi/Vehicle Share</v>
      </c>
      <c r="B31" s="4">
        <f ca="1">OFFSET(Waikato_Reference,28,5)</f>
        <v>0.69122996950000004</v>
      </c>
      <c r="C31" s="4">
        <f ca="1">$B31*('Updated Population'!C$26/'Updated Population'!$B$26)*('Total Trip Tables Sup #1'!C174/'Total Trip Tables Sup #1'!$B174)</f>
        <v>0.79947849919673053</v>
      </c>
      <c r="D31" s="4">
        <f ca="1">$B31*('Updated Population'!D$26/'Updated Population'!$B$26)*('Total Trip Tables Sup #1'!D174/'Total Trip Tables Sup #1'!$B174)</f>
        <v>0.87256677518860271</v>
      </c>
      <c r="E31" s="4">
        <f ca="1">$B31*('Updated Population'!E$26/'Updated Population'!$B$26)*('Total Trip Tables Sup #1'!E174/'Total Trip Tables Sup #1'!$B174)</f>
        <v>0.92609431672890841</v>
      </c>
      <c r="F31" s="4">
        <f ca="1">$B31*('Updated Population'!F$26/'Updated Population'!$B$26)*('Total Trip Tables Sup #1'!F174/'Total Trip Tables Sup #1'!$B174)</f>
        <v>0.96885302843639609</v>
      </c>
      <c r="G31" s="4">
        <f ca="1">$B31*('Updated Population'!G$26/'Updated Population'!$B$26)*('Total Trip Tables Sup #1'!G174/'Total Trip Tables Sup #1'!$B174)</f>
        <v>0.99566849858904294</v>
      </c>
      <c r="H31" s="4">
        <f ca="1">$B31*('Updated Population'!H$26/'Updated Population'!$B$26)*('Total Trip Tables Sup #1'!H174/'Total Trip Tables Sup #1'!$B174)</f>
        <v>1.0187547509983668</v>
      </c>
      <c r="I31" s="1">
        <f ca="1">$B31*('Updated Population'!I$26/'Updated Population'!$B$26)*('Total Trip Tables Sup #1'!I174/'Total Trip Tables Sup #1'!$B174)</f>
        <v>1.0358463390397343</v>
      </c>
      <c r="J31" s="1">
        <f ca="1">$B31*('Updated Population'!J$26/'Updated Population'!$B$26)*('Total Trip Tables Sup #1'!J174/'Total Trip Tables Sup #1'!$B174)</f>
        <v>1.049795117037948</v>
      </c>
      <c r="K31" s="1">
        <f ca="1">$B31*('Updated Population'!K$26/'Updated Population'!$B$26)*('Total Trip Tables Sup #1'!K174/'Total Trip Tables Sup #1'!$B174)</f>
        <v>1.0615640334136169</v>
      </c>
    </row>
    <row r="32" spans="1:11" x14ac:dyDescent="0.2">
      <c r="A32" t="str">
        <f ca="1">OFFSET(Waikato_Reference,35,2)</f>
        <v>Motorcyclist</v>
      </c>
      <c r="B32" s="4">
        <f ca="1">OFFSET(Waikato_Reference,35,5)</f>
        <v>1.8680965575999999</v>
      </c>
      <c r="C32" s="4">
        <f ca="1">$B32*('Updated Population'!C$26/'Updated Population'!$B$26)*('Total Trip Tables Sup #1'!C175/'Total Trip Tables Sup #1'!$B175)</f>
        <v>2.013460769177756</v>
      </c>
      <c r="D32" s="4">
        <f ca="1">$B32*('Updated Population'!D$26/'Updated Population'!$B$26)*('Total Trip Tables Sup #1'!D175/'Total Trip Tables Sup #1'!$B175)</f>
        <v>2.0676292888456693</v>
      </c>
      <c r="E32" s="4">
        <f ca="1">$B32*('Updated Population'!E$26/'Updated Population'!$B$26)*('Total Trip Tables Sup #1'!E175/'Total Trip Tables Sup #1'!$B175)</f>
        <v>2.103159483738378</v>
      </c>
      <c r="F32" s="4">
        <f ca="1">$B32*('Updated Population'!F$26/'Updated Population'!$B$26)*('Total Trip Tables Sup #1'!F175/'Total Trip Tables Sup #1'!$B175)</f>
        <v>2.1217775319943386</v>
      </c>
      <c r="G32" s="4">
        <f ca="1">$B32*('Updated Population'!G$26/'Updated Population'!$B$26)*('Total Trip Tables Sup #1'!G175/'Total Trip Tables Sup #1'!$B175)</f>
        <v>2.1015328079469864</v>
      </c>
      <c r="H32" s="4">
        <f ca="1">$B32*('Updated Population'!H$26/'Updated Population'!$B$26)*('Total Trip Tables Sup #1'!H175/'Total Trip Tables Sup #1'!$B175)</f>
        <v>2.0661303741548576</v>
      </c>
      <c r="I32" s="1">
        <f ca="1">$B32*('Updated Population'!I$26/'Updated Population'!$B$26)*('Total Trip Tables Sup #1'!I175/'Total Trip Tables Sup #1'!$B175)</f>
        <v>2.1007937209124607</v>
      </c>
      <c r="J32" s="1">
        <f ca="1">$B32*('Updated Population'!J$26/'Updated Population'!$B$26)*('Total Trip Tables Sup #1'!J175/'Total Trip Tables Sup #1'!$B175)</f>
        <v>2.1290831535518757</v>
      </c>
      <c r="K32" s="1">
        <f ca="1">$B32*('Updated Population'!K$26/'Updated Population'!$B$26)*('Total Trip Tables Sup #1'!K175/'Total Trip Tables Sup #1'!$B175)</f>
        <v>2.1529516219647378</v>
      </c>
    </row>
    <row r="33" spans="1:11" x14ac:dyDescent="0.2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Trip Tables Sup #1'!C176/'Total Trip Tables Sup #1'!$B176)</f>
        <v>0</v>
      </c>
      <c r="D33" s="4">
        <f ca="1">$B33*('Updated Population'!D$26/'Updated Population'!$B$26)*('Total Trip Tables Sup #1'!D176/'Total Trip Tables Sup #1'!$B176)</f>
        <v>0</v>
      </c>
      <c r="E33" s="4">
        <f ca="1">$B33*('Updated Population'!E$26/'Updated Population'!$B$26)*('Total Trip Tables Sup #1'!E176/'Total Trip Tables Sup #1'!$B176)</f>
        <v>0</v>
      </c>
      <c r="F33" s="4">
        <f ca="1">$B33*('Updated Population'!F$26/'Updated Population'!$B$26)*('Total Trip Tables Sup #1'!F176/'Total Trip Tables Sup #1'!$B176)</f>
        <v>0</v>
      </c>
      <c r="G33" s="4">
        <f ca="1">$B33*('Updated Population'!G$26/'Updated Population'!$B$26)*('Total Trip Tables Sup #1'!G176/'Total Trip Tables Sup #1'!$B176)</f>
        <v>0</v>
      </c>
      <c r="H33" s="4">
        <f ca="1">$B33*('Updated Population'!H$26/'Updated Population'!$B$26)*('Total Trip Tables Sup #1'!H176/'Total Trip Tables Sup #1'!$B176)</f>
        <v>0</v>
      </c>
      <c r="I33" s="1">
        <f ca="1">$B33*('Updated Population'!I$26/'Updated Population'!$B$26)*('Total Trip Tables Sup #1'!I176/'Total Trip Tables Sup #1'!$B176)</f>
        <v>0</v>
      </c>
      <c r="J33" s="1">
        <f ca="1">$B33*('Updated Population'!J$26/'Updated Population'!$B$26)*('Total Trip Tables Sup #1'!J176/'Total Trip Tables Sup #1'!$B176)</f>
        <v>0</v>
      </c>
      <c r="K33" s="1">
        <f ca="1">$B33*('Updated Population'!K$26/'Updated Population'!$B$26)*('Total Trip Tables Sup #1'!K176/'Total Trip Tables Sup #1'!$B176)</f>
        <v>0</v>
      </c>
    </row>
    <row r="34" spans="1:11" x14ac:dyDescent="0.2">
      <c r="A34" t="str">
        <f ca="1">OFFSET(Waikato_Reference,49,2)</f>
        <v>Local Bus</v>
      </c>
      <c r="B34" s="4">
        <f ca="1">OFFSET(Waikato_Reference,49,5)</f>
        <v>5.7199103379</v>
      </c>
      <c r="C34" s="4">
        <f ca="1">$B34*('Updated Population'!C$26/'Updated Population'!$B$26)*('Total Trip Tables Sup #1'!C177/'Total Trip Tables Sup #1'!$B177)</f>
        <v>5.8125131689291312</v>
      </c>
      <c r="D34" s="4">
        <f ca="1">$B34*('Updated Population'!D$26/'Updated Population'!$B$26)*('Total Trip Tables Sup #1'!D177/'Total Trip Tables Sup #1'!$B177)</f>
        <v>5.8050529948087632</v>
      </c>
      <c r="E34" s="4">
        <f ca="1">$B34*('Updated Population'!E$26/'Updated Population'!$B$26)*('Total Trip Tables Sup #1'!E177/'Total Trip Tables Sup #1'!$B177)</f>
        <v>5.8259953420349451</v>
      </c>
      <c r="F34" s="4">
        <f ca="1">$B34*('Updated Population'!F$26/'Updated Population'!$B$26)*('Total Trip Tables Sup #1'!F177/'Total Trip Tables Sup #1'!$B177)</f>
        <v>5.7621510039245676</v>
      </c>
      <c r="G34" s="4">
        <f ca="1">$B34*('Updated Population'!G$26/'Updated Population'!$B$26)*('Total Trip Tables Sup #1'!G177/'Total Trip Tables Sup #1'!$B177)</f>
        <v>5.7138059693537189</v>
      </c>
      <c r="H34" s="4">
        <f ca="1">$B34*('Updated Population'!H$26/'Updated Population'!$B$26)*('Total Trip Tables Sup #1'!H177/'Total Trip Tables Sup #1'!$B177)</f>
        <v>5.6314705483064786</v>
      </c>
      <c r="I34" s="1">
        <f ca="1">$B34*('Updated Population'!I$26/'Updated Population'!$B$26)*('Total Trip Tables Sup #1'!I177/'Total Trip Tables Sup #1'!$B177)</f>
        <v>5.7259493957272385</v>
      </c>
      <c r="J34" s="1">
        <f ca="1">$B34*('Updated Population'!J$26/'Updated Population'!$B$26)*('Total Trip Tables Sup #1'!J177/'Total Trip Tables Sup #1'!$B177)</f>
        <v>5.8030554238511085</v>
      </c>
      <c r="K34" s="1">
        <f ca="1">$B34*('Updated Population'!K$26/'Updated Population'!$B$26)*('Total Trip Tables Sup #1'!K177/'Total Trip Tables Sup #1'!$B177)</f>
        <v>5.868111617100868</v>
      </c>
    </row>
    <row r="35" spans="1:11" x14ac:dyDescent="0.2">
      <c r="A35" t="str">
        <f ca="1">OFFSET(Waikato_Reference,56,2)</f>
        <v>Local Ferry</v>
      </c>
      <c r="B35" s="4">
        <f ca="1">OFFSET(Waikato_Reference,56,5)</f>
        <v>0.2446181519</v>
      </c>
      <c r="C35" s="4">
        <f ca="1">$B35*('Updated Population'!C$26/'Updated Population'!$B$26)*('Total Trip Tables Sup #1'!C178/'Total Trip Tables Sup #1'!$B178)</f>
        <v>0.27764652870673229</v>
      </c>
      <c r="D35" s="4">
        <f ca="1">$B35*('Updated Population'!D$26/'Updated Population'!$B$26)*('Total Trip Tables Sup #1'!D178/'Total Trip Tables Sup #1'!$B178)</f>
        <v>0.29939227662095907</v>
      </c>
      <c r="E35" s="4">
        <f ca="1">$B35*('Updated Population'!E$26/'Updated Population'!$B$26)*('Total Trip Tables Sup #1'!E178/'Total Trip Tables Sup #1'!$B178)</f>
        <v>0.31083798602795654</v>
      </c>
      <c r="F35" s="4">
        <f ca="1">$B35*('Updated Population'!F$26/'Updated Population'!$B$26)*('Total Trip Tables Sup #1'!F178/'Total Trip Tables Sup #1'!$B178)</f>
        <v>0.31775305613566024</v>
      </c>
      <c r="G35" s="4">
        <f ca="1">$B35*('Updated Population'!G$26/'Updated Population'!$B$26)*('Total Trip Tables Sup #1'!G178/'Total Trip Tables Sup #1'!$B178)</f>
        <v>0.33067450636965778</v>
      </c>
      <c r="H35" s="4">
        <f ca="1">$B35*('Updated Population'!H$26/'Updated Population'!$B$26)*('Total Trip Tables Sup #1'!H178/'Total Trip Tables Sup #1'!$B178)</f>
        <v>0.3407462307025525</v>
      </c>
      <c r="I35" s="1">
        <f ca="1">$B35*('Updated Population'!I$26/'Updated Population'!$B$26)*('Total Trip Tables Sup #1'!I178/'Total Trip Tables Sup #1'!$B178)</f>
        <v>0.34646291000746821</v>
      </c>
      <c r="J35" s="1">
        <f ca="1">$B35*('Updated Population'!J$26/'Updated Population'!$B$26)*('Total Trip Tables Sup #1'!J178/'Total Trip Tables Sup #1'!$B178)</f>
        <v>0.35112840336702322</v>
      </c>
      <c r="K35" s="1">
        <f ca="1">$B35*('Updated Population'!K$26/'Updated Population'!$B$26)*('Total Trip Tables Sup #1'!K178/'Total Trip Tables Sup #1'!$B178)</f>
        <v>0.3550647912862282</v>
      </c>
    </row>
    <row r="36" spans="1:11" x14ac:dyDescent="0.2">
      <c r="A36" t="str">
        <f ca="1">OFFSET(Waikato_Reference,63,2)</f>
        <v>Other Household Travel</v>
      </c>
      <c r="B36" s="4">
        <f ca="1">OFFSET(Waikato_Reference,63,5)</f>
        <v>1.8854250596</v>
      </c>
      <c r="C36" s="4">
        <f ca="1">$B36*('Updated Population'!C$26/'Updated Population'!$B$26)*('Total Trip Tables Sup #1'!C179/'Total Trip Tables Sup #1'!$B179)</f>
        <v>2.0526265515891788</v>
      </c>
      <c r="D36" s="4">
        <f ca="1">$B36*('Updated Population'!D$26/'Updated Population'!$B$26)*('Total Trip Tables Sup #1'!D179/'Total Trip Tables Sup #1'!$B179)</f>
        <v>2.1775255774861328</v>
      </c>
      <c r="E36" s="4">
        <f ca="1">$B36*('Updated Population'!E$26/'Updated Population'!$B$26)*('Total Trip Tables Sup #1'!E179/'Total Trip Tables Sup #1'!$B179)</f>
        <v>2.2707699191903927</v>
      </c>
      <c r="F36" s="4">
        <f ca="1">$B36*('Updated Population'!F$26/'Updated Population'!$B$26)*('Total Trip Tables Sup #1'!F179/'Total Trip Tables Sup #1'!$B179)</f>
        <v>2.3419666816083176</v>
      </c>
      <c r="G36" s="4">
        <f ca="1">$B36*('Updated Population'!G$26/'Updated Population'!$B$26)*('Total Trip Tables Sup #1'!G179/'Total Trip Tables Sup #1'!$B179)</f>
        <v>2.3918242425616421</v>
      </c>
      <c r="H36" s="4">
        <f ca="1">$B36*('Updated Population'!H$26/'Updated Population'!$B$26)*('Total Trip Tables Sup #1'!H179/'Total Trip Tables Sup #1'!$B179)</f>
        <v>2.4064035515123878</v>
      </c>
      <c r="I36" s="1">
        <f ca="1">$B36*('Updated Population'!I$26/'Updated Population'!$B$26)*('Total Trip Tables Sup #1'!I179/'Total Trip Tables Sup #1'!$B179)</f>
        <v>2.4467756411869912</v>
      </c>
      <c r="J36" s="1">
        <f ca="1">$B36*('Updated Population'!J$26/'Updated Population'!$B$26)*('Total Trip Tables Sup #1'!J179/'Total Trip Tables Sup #1'!$B179)</f>
        <v>2.4797240901451576</v>
      </c>
      <c r="K36" s="1">
        <f ca="1">$B36*('Updated Population'!K$26/'Updated Population'!$B$26)*('Total Trip Tables Sup #1'!K179/'Total Trip Tables Sup #1'!$B179)</f>
        <v>2.5075234816435605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OFFSET(BOP_Reference,0,5)</f>
        <v>43.402809341999998</v>
      </c>
      <c r="C38" s="4">
        <f ca="1">$B38*('Updated Population'!C$37/'Updated Population'!$B$37)*('Total Trip Tables Sup #1'!C170/'Total Trip Tables Sup #1'!$B170)</f>
        <v>46.171898323286449</v>
      </c>
      <c r="D38" s="4">
        <f ca="1">$B38*('Updated Population'!D$37/'Updated Population'!$B$37)*('Total Trip Tables Sup #1'!D170/'Total Trip Tables Sup #1'!$B170)</f>
        <v>47.460399855727218</v>
      </c>
      <c r="E38" s="4">
        <f ca="1">$B38*('Updated Population'!E$37/'Updated Population'!$B$37)*('Total Trip Tables Sup #1'!E170/'Total Trip Tables Sup #1'!$B170)</f>
        <v>47.961412931810159</v>
      </c>
      <c r="F38" s="4">
        <f ca="1">$B38*('Updated Population'!F$37/'Updated Population'!$B$37)*('Total Trip Tables Sup #1'!F170/'Total Trip Tables Sup #1'!$B170)</f>
        <v>47.959482895689035</v>
      </c>
      <c r="G38" s="4">
        <f ca="1">$B38*('Updated Population'!G$37/'Updated Population'!$B$37)*('Total Trip Tables Sup #1'!G170/'Total Trip Tables Sup #1'!$B170)</f>
        <v>47.646140289940561</v>
      </c>
      <c r="H38" s="4">
        <f ca="1">$B38*('Updated Population'!H$37/'Updated Population'!$B$37)*('Total Trip Tables Sup #1'!H170/'Total Trip Tables Sup #1'!$B170)</f>
        <v>47.125647373189892</v>
      </c>
      <c r="I38" s="1">
        <f ca="1">$B38*('Updated Population'!I$37/'Updated Population'!$B$37)*('Total Trip Tables Sup #1'!I170/'Total Trip Tables Sup #1'!$B170)</f>
        <v>47.56262459814355</v>
      </c>
      <c r="J38" s="1">
        <f ca="1">$B38*('Updated Population'!J$37/'Updated Population'!$B$37)*('Total Trip Tables Sup #1'!J170/'Total Trip Tables Sup #1'!$B170)</f>
        <v>47.844713111154796</v>
      </c>
      <c r="K38" s="1">
        <f ca="1">$B38*('Updated Population'!K$37/'Updated Population'!$B$37)*('Total Trip Tables Sup #1'!K170/'Total Trip Tables Sup #1'!$B170)</f>
        <v>48.018635506291332</v>
      </c>
    </row>
    <row r="39" spans="1:11" x14ac:dyDescent="0.2">
      <c r="A39" t="str">
        <f ca="1">OFFSET(BOP_Reference,7,2)</f>
        <v>Cyclist</v>
      </c>
      <c r="B39" s="4">
        <f ca="1">OFFSET(BOP_Reference,7,5)</f>
        <v>5.1579391552000002</v>
      </c>
      <c r="C39" s="4">
        <f ca="1">$B39*('Updated Population'!C$37/'Updated Population'!$B$37)*('Total Trip Tables Sup #1'!C171/'Total Trip Tables Sup #1'!$B171)</f>
        <v>5.486816657426993</v>
      </c>
      <c r="D39" s="4">
        <f ca="1">$B39*('Updated Population'!D$37/'Updated Population'!$B$37)*('Total Trip Tables Sup #1'!D171/'Total Trip Tables Sup #1'!$B171)</f>
        <v>5.5968508829632526</v>
      </c>
      <c r="E39" s="4">
        <f ca="1">$B39*('Updated Population'!E$37/'Updated Population'!$B$37)*('Total Trip Tables Sup #1'!E171/'Total Trip Tables Sup #1'!$B171)</f>
        <v>5.5999992083825534</v>
      </c>
      <c r="F39" s="4">
        <f ca="1">$B39*('Updated Population'!F$37/'Updated Population'!$B$37)*('Total Trip Tables Sup #1'!F171/'Total Trip Tables Sup #1'!$B171)</f>
        <v>5.5905525970750753</v>
      </c>
      <c r="G39" s="4">
        <f ca="1">$B39*('Updated Population'!G$37/'Updated Population'!$B$37)*('Total Trip Tables Sup #1'!G171/'Total Trip Tables Sup #1'!$B171)</f>
        <v>5.5642233932071994</v>
      </c>
      <c r="H39" s="4">
        <f ca="1">$B39*('Updated Population'!H$37/'Updated Population'!$B$37)*('Total Trip Tables Sup #1'!H171/'Total Trip Tables Sup #1'!$B171)</f>
        <v>5.5285434737010215</v>
      </c>
      <c r="I39" s="1">
        <f ca="1">$B39*('Updated Population'!I$37/'Updated Population'!$B$37)*('Total Trip Tables Sup #1'!I171/'Total Trip Tables Sup #1'!$B171)</f>
        <v>5.5798074397117663</v>
      </c>
      <c r="J39" s="1">
        <f ca="1">$B39*('Updated Population'!J$37/'Updated Population'!$B$37)*('Total Trip Tables Sup #1'!J171/'Total Trip Tables Sup #1'!$B171)</f>
        <v>5.612900642554461</v>
      </c>
      <c r="K39" s="1">
        <f ca="1">$B39*('Updated Population'!K$37/'Updated Population'!$B$37)*('Total Trip Tables Sup #1'!K171/'Total Trip Tables Sup #1'!$B171)</f>
        <v>5.6333043415200823</v>
      </c>
    </row>
    <row r="40" spans="1:11" x14ac:dyDescent="0.2">
      <c r="A40" t="str">
        <f ca="1">OFFSET(BOP_Reference,14,2)</f>
        <v>Light Vehicle Driver</v>
      </c>
      <c r="B40" s="4">
        <f ca="1">OFFSET(BOP_Reference,14,5)</f>
        <v>178.59124365</v>
      </c>
      <c r="C40" s="4">
        <f ca="1">$B40*('Updated Population'!C$37/'Updated Population'!$B$37)*('Total Trip Tables Sup #1'!C172/'Total Trip Tables Sup #1'!$B172)</f>
        <v>194.6999933498613</v>
      </c>
      <c r="D40" s="4">
        <f ca="1">$B40*('Updated Population'!D$37/'Updated Population'!$B$37)*('Total Trip Tables Sup #1'!D172/'Total Trip Tables Sup #1'!$B172)</f>
        <v>203.17941672843355</v>
      </c>
      <c r="E40" s="4">
        <f ca="1">$B40*('Updated Population'!E$37/'Updated Population'!$B$37)*('Total Trip Tables Sup #1'!E172/'Total Trip Tables Sup #1'!$B172)</f>
        <v>210.52608536980847</v>
      </c>
      <c r="F40" s="4">
        <f ca="1">$B40*('Updated Population'!F$37/'Updated Population'!$B$37)*('Total Trip Tables Sup #1'!F172/'Total Trip Tables Sup #1'!$B172)</f>
        <v>216.54454654935441</v>
      </c>
      <c r="G40" s="4">
        <f ca="1">$B40*('Updated Population'!G$37/'Updated Population'!$B$37)*('Total Trip Tables Sup #1'!G172/'Total Trip Tables Sup #1'!$B172)</f>
        <v>219.81857712972086</v>
      </c>
      <c r="H40" s="4">
        <f ca="1">$B40*('Updated Population'!H$37/'Updated Population'!$B$37)*('Total Trip Tables Sup #1'!H172/'Total Trip Tables Sup #1'!$B172)</f>
        <v>221.91918559095794</v>
      </c>
      <c r="I40" s="1">
        <f ca="1">$B40*('Updated Population'!I$37/'Updated Population'!$B$37)*('Total Trip Tables Sup #1'!I172/'Total Trip Tables Sup #1'!$B172)</f>
        <v>223.97695318225644</v>
      </c>
      <c r="J40" s="1">
        <f ca="1">$B40*('Updated Population'!J$37/'Updated Population'!$B$37)*('Total Trip Tables Sup #1'!J172/'Total Trip Tables Sup #1'!$B172)</f>
        <v>225.30533499898314</v>
      </c>
      <c r="K40" s="1">
        <f ca="1">$B40*('Updated Population'!K$37/'Updated Population'!$B$37)*('Total Trip Tables Sup #1'!K172/'Total Trip Tables Sup #1'!$B172)</f>
        <v>226.12435221012257</v>
      </c>
    </row>
    <row r="41" spans="1:11" x14ac:dyDescent="0.2">
      <c r="A41" t="str">
        <f ca="1">OFFSET(BOP_Reference,21,2)</f>
        <v>Light Vehicle Passenger</v>
      </c>
      <c r="B41" s="4">
        <f ca="1">OFFSET(BOP_Reference,21,5)</f>
        <v>98.719582360000004</v>
      </c>
      <c r="C41" s="4">
        <f ca="1">$B41*('Updated Population'!C$37/'Updated Population'!$B$37)*('Total Trip Tables Sup #1'!C173/'Total Trip Tables Sup #1'!$B173)</f>
        <v>102.66884389070665</v>
      </c>
      <c r="D41" s="4">
        <f ca="1">$B41*('Updated Population'!D$37/'Updated Population'!$B$37)*('Total Trip Tables Sup #1'!D173/'Total Trip Tables Sup #1'!$B173)</f>
        <v>104.20329808031288</v>
      </c>
      <c r="E41" s="4">
        <f ca="1">$B41*('Updated Population'!E$37/'Updated Population'!$B$37)*('Total Trip Tables Sup #1'!E173/'Total Trip Tables Sup #1'!$B173)</f>
        <v>104.92471273125919</v>
      </c>
      <c r="F41" s="4">
        <f ca="1">$B41*('Updated Population'!F$37/'Updated Population'!$B$37)*('Total Trip Tables Sup #1'!F173/'Total Trip Tables Sup #1'!$B173)</f>
        <v>105.18979394148306</v>
      </c>
      <c r="G41" s="4">
        <f ca="1">$B41*('Updated Population'!G$37/'Updated Population'!$B$37)*('Total Trip Tables Sup #1'!G173/'Total Trip Tables Sup #1'!$B173)</f>
        <v>104.63819052884739</v>
      </c>
      <c r="H41" s="4">
        <f ca="1">$B41*('Updated Population'!H$37/'Updated Population'!$B$37)*('Total Trip Tables Sup #1'!H173/'Total Trip Tables Sup #1'!$B173)</f>
        <v>103.51185013935388</v>
      </c>
      <c r="I41" s="1">
        <f ca="1">$B41*('Updated Population'!I$37/'Updated Population'!$B$37)*('Total Trip Tables Sup #1'!I173/'Total Trip Tables Sup #1'!$B173)</f>
        <v>104.47167400480699</v>
      </c>
      <c r="J41" s="1">
        <f ca="1">$B41*('Updated Population'!J$37/'Updated Population'!$B$37)*('Total Trip Tables Sup #1'!J173/'Total Trip Tables Sup #1'!$B173)</f>
        <v>105.09128361257788</v>
      </c>
      <c r="K41" s="1">
        <f ca="1">$B41*('Updated Population'!K$37/'Updated Population'!$B$37)*('Total Trip Tables Sup #1'!K173/'Total Trip Tables Sup #1'!$B173)</f>
        <v>105.47330550309293</v>
      </c>
    </row>
    <row r="42" spans="1:11" x14ac:dyDescent="0.2">
      <c r="A42" t="str">
        <f ca="1">OFFSET(BOP_Reference,28,2)</f>
        <v>Taxi/Vehicle Share</v>
      </c>
      <c r="B42" s="4">
        <f ca="1">OFFSET(BOP_Reference,28,5)</f>
        <v>0.15552198610000001</v>
      </c>
      <c r="C42" s="4">
        <f ca="1">$B42*('Updated Population'!C$37/'Updated Population'!$B$37)*('Total Trip Tables Sup #1'!C174/'Total Trip Tables Sup #1'!$B174)</f>
        <v>0.17718754210170831</v>
      </c>
      <c r="D42" s="4">
        <f ca="1">$B42*('Updated Population'!D$37/'Updated Population'!$B$37)*('Total Trip Tables Sup #1'!D174/'Total Trip Tables Sup #1'!$B174)</f>
        <v>0.19165500912659056</v>
      </c>
      <c r="E42" s="4">
        <f ca="1">$B42*('Updated Population'!E$37/'Updated Population'!$B$37)*('Total Trip Tables Sup #1'!E174/'Total Trip Tables Sup #1'!$B174)</f>
        <v>0.20191631001935642</v>
      </c>
      <c r="F42" s="4">
        <f ca="1">$B42*('Updated Population'!F$37/'Updated Population'!$B$37)*('Total Trip Tables Sup #1'!F174/'Total Trip Tables Sup #1'!$B174)</f>
        <v>0.20970835270748031</v>
      </c>
      <c r="G42" s="4">
        <f ca="1">$B42*('Updated Population'!G$37/'Updated Population'!$B$37)*('Total Trip Tables Sup #1'!G174/'Total Trip Tables Sup #1'!$B174)</f>
        <v>0.21389995844423051</v>
      </c>
      <c r="H42" s="4">
        <f ca="1">$B42*('Updated Population'!H$37/'Updated Population'!$B$37)*('Total Trip Tables Sup #1'!H174/'Total Trip Tables Sup #1'!$B174)</f>
        <v>0.21725582734965568</v>
      </c>
      <c r="I42" s="1">
        <f ca="1">$B42*('Updated Population'!I$37/'Updated Population'!$B$37)*('Total Trip Tables Sup #1'!I174/'Total Trip Tables Sup #1'!$B174)</f>
        <v>0.21927035349055859</v>
      </c>
      <c r="J42" s="1">
        <f ca="1">$B42*('Updated Population'!J$37/'Updated Population'!$B$37)*('Total Trip Tables Sup #1'!J174/'Total Trip Tables Sup #1'!$B174)</f>
        <v>0.22057082100020936</v>
      </c>
      <c r="K42" s="1">
        <f ca="1">$B42*('Updated Population'!K$37/'Updated Population'!$B$37)*('Total Trip Tables Sup #1'!K174/'Total Trip Tables Sup #1'!$B174)</f>
        <v>0.2213726275738315</v>
      </c>
    </row>
    <row r="43" spans="1:11" x14ac:dyDescent="0.2">
      <c r="A43" t="str">
        <f ca="1">OFFSET(BOP_Reference,35,2)</f>
        <v>Motorcyclist</v>
      </c>
      <c r="B43" s="4">
        <f ca="1">OFFSET(BOP_Reference,35,5)</f>
        <v>0.90641599910000004</v>
      </c>
      <c r="C43" s="4">
        <f ca="1">$B43*('Updated Population'!C$37/'Updated Population'!$B$37)*('Total Trip Tables Sup #1'!C175/'Total Trip Tables Sup #1'!$B175)</f>
        <v>0.96234008365365609</v>
      </c>
      <c r="D43" s="4">
        <f ca="1">$B43*('Updated Population'!D$37/'Updated Population'!$B$37)*('Total Trip Tables Sup #1'!D175/'Total Trip Tables Sup #1'!$B175)</f>
        <v>0.97938440852548914</v>
      </c>
      <c r="E43" s="4">
        <f ca="1">$B43*('Updated Population'!E$37/'Updated Population'!$B$37)*('Total Trip Tables Sup #1'!E175/'Total Trip Tables Sup #1'!$B175)</f>
        <v>0.98888866040341405</v>
      </c>
      <c r="F43" s="4">
        <f ca="1">$B43*('Updated Population'!F$37/'Updated Population'!$B$37)*('Total Trip Tables Sup #1'!F175/'Total Trip Tables Sup #1'!$B175)</f>
        <v>0.99041379799861995</v>
      </c>
      <c r="G43" s="4">
        <f ca="1">$B43*('Updated Population'!G$37/'Updated Population'!$B$37)*('Total Trip Tables Sup #1'!G175/'Total Trip Tables Sup #1'!$B175)</f>
        <v>0.97362365250302407</v>
      </c>
      <c r="H43" s="4">
        <f ca="1">$B43*('Updated Population'!H$37/'Updated Population'!$B$37)*('Total Trip Tables Sup #1'!H175/'Total Trip Tables Sup #1'!$B175)</f>
        <v>0.95020763902486516</v>
      </c>
      <c r="I43" s="1">
        <f ca="1">$B43*('Updated Population'!I$37/'Updated Population'!$B$37)*('Total Trip Tables Sup #1'!I175/'Total Trip Tables Sup #1'!$B175)</f>
        <v>0.95901853331227327</v>
      </c>
      <c r="J43" s="1">
        <f ca="1">$B43*('Updated Population'!J$37/'Updated Population'!$B$37)*('Total Trip Tables Sup #1'!J175/'Total Trip Tables Sup #1'!$B175)</f>
        <v>0.96470636307982649</v>
      </c>
      <c r="K43" s="1">
        <f ca="1">$B43*('Updated Population'!K$37/'Updated Population'!$B$37)*('Total Trip Tables Sup #1'!K175/'Total Trip Tables Sup #1'!$B175)</f>
        <v>0.96821320908976083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Trip Tables Sup #1'!C176/'Total Trip Tables Sup #1'!$B176)</f>
        <v>0</v>
      </c>
      <c r="D44" s="4">
        <f ca="1">$B44*('Updated Population'!D$37/'Updated Population'!$B$37)*('Total Trip Tables Sup #1'!D176/'Total Trip Tables Sup #1'!$B176)</f>
        <v>0</v>
      </c>
      <c r="E44" s="4">
        <f ca="1">$B44*('Updated Population'!E$37/'Updated Population'!$B$37)*('Total Trip Tables Sup #1'!E176/'Total Trip Tables Sup #1'!$B176)</f>
        <v>0</v>
      </c>
      <c r="F44" s="4">
        <f ca="1">$B44*('Updated Population'!F$37/'Updated Population'!$B$37)*('Total Trip Tables Sup #1'!F176/'Total Trip Tables Sup #1'!$B176)</f>
        <v>0</v>
      </c>
      <c r="G44" s="4">
        <f ca="1">$B44*('Updated Population'!G$37/'Updated Population'!$B$37)*('Total Trip Tables Sup #1'!G176/'Total Trip Tables Sup #1'!$B176)</f>
        <v>0</v>
      </c>
      <c r="H44" s="4">
        <f ca="1">$B44*('Updated Population'!H$37/'Updated Population'!$B$37)*('Total Trip Tables Sup #1'!H176/'Total Trip Tables Sup #1'!$B176)</f>
        <v>0</v>
      </c>
      <c r="I44" s="1">
        <f ca="1">$B44*('Updated Population'!I$37/'Updated Population'!$B$37)*('Total Trip Tables Sup #1'!I176/'Total Trip Tables Sup #1'!$B176)</f>
        <v>0</v>
      </c>
      <c r="J44" s="1">
        <f ca="1">$B44*('Updated Population'!J$37/'Updated Population'!$B$37)*('Total Trip Tables Sup #1'!J176/'Total Trip Tables Sup #1'!$B176)</f>
        <v>0</v>
      </c>
      <c r="K44" s="1">
        <f ca="1">$B44*('Updated Population'!K$37/'Updated Population'!$B$37)*('Total Trip Tables Sup #1'!K176/'Total Trip Tables Sup #1'!$B176)</f>
        <v>0</v>
      </c>
    </row>
    <row r="45" spans="1:11" x14ac:dyDescent="0.2">
      <c r="A45" t="str">
        <f ca="1">OFFSET(BOP_Reference,42,2)</f>
        <v>Local Bus</v>
      </c>
      <c r="B45" s="4">
        <f ca="1">OFFSET(BOP_Reference,42,5)</f>
        <v>7.4672006229000001</v>
      </c>
      <c r="C45" s="4">
        <f ca="1">$B45*('Updated Population'!C$37/'Updated Population'!$B$37)*('Total Trip Tables Sup #1'!C177/'Total Trip Tables Sup #1'!$B177)</f>
        <v>7.4746301693992061</v>
      </c>
      <c r="D45" s="4">
        <f ca="1">$B45*('Updated Population'!D$37/'Updated Population'!$B$37)*('Total Trip Tables Sup #1'!D177/'Total Trip Tables Sup #1'!$B177)</f>
        <v>7.3982168259875829</v>
      </c>
      <c r="E45" s="4">
        <f ca="1">$B45*('Updated Population'!E$37/'Updated Population'!$B$37)*('Total Trip Tables Sup #1'!E177/'Total Trip Tables Sup #1'!$B177)</f>
        <v>7.3703087179502216</v>
      </c>
      <c r="F45" s="4">
        <f ca="1">$B45*('Updated Population'!F$37/'Updated Population'!$B$37)*('Total Trip Tables Sup #1'!F177/'Total Trip Tables Sup #1'!$B177)</f>
        <v>7.2367209653549089</v>
      </c>
      <c r="G45" s="4">
        <f ca="1">$B45*('Updated Population'!G$37/'Updated Population'!$B$37)*('Total Trip Tables Sup #1'!G177/'Total Trip Tables Sup #1'!$B177)</f>
        <v>7.1223085823399472</v>
      </c>
      <c r="H45" s="4">
        <f ca="1">$B45*('Updated Population'!H$37/'Updated Population'!$B$37)*('Total Trip Tables Sup #1'!H177/'Total Trip Tables Sup #1'!$B177)</f>
        <v>6.9682378879438582</v>
      </c>
      <c r="I45" s="1">
        <f ca="1">$B45*('Updated Population'!I$37/'Updated Population'!$B$37)*('Total Trip Tables Sup #1'!I177/'Total Trip Tables Sup #1'!$B177)</f>
        <v>7.0328515627646508</v>
      </c>
      <c r="J45" s="1">
        <f ca="1">$B45*('Updated Population'!J$37/'Updated Population'!$B$37)*('Total Trip Tables Sup #1'!J177/'Total Trip Tables Sup #1'!$B177)</f>
        <v>7.0745626049186727</v>
      </c>
      <c r="K45" s="1">
        <f ca="1">$B45*('Updated Population'!K$37/'Updated Population'!$B$37)*('Total Trip Tables Sup #1'!K177/'Total Trip Tables Sup #1'!$B177)</f>
        <v>7.1002796547823079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Trip Tables Sup #1'!C178/'Total Trip Tables Sup #1'!$B178)</f>
        <v>0</v>
      </c>
      <c r="D46" s="4">
        <f ca="1">$B46*('Updated Population'!D$37/'Updated Population'!$B$37)*('Total Trip Tables Sup #1'!D178/'Total Trip Tables Sup #1'!$B178)</f>
        <v>0</v>
      </c>
      <c r="E46" s="4">
        <f ca="1">$B46*('Updated Population'!E$37/'Updated Population'!$B$37)*('Total Trip Tables Sup #1'!E178/'Total Trip Tables Sup #1'!$B178)</f>
        <v>0</v>
      </c>
      <c r="F46" s="4">
        <f ca="1">$B46*('Updated Population'!F$37/'Updated Population'!$B$37)*('Total Trip Tables Sup #1'!F178/'Total Trip Tables Sup #1'!$B178)</f>
        <v>0</v>
      </c>
      <c r="G46" s="4">
        <f ca="1">$B46*('Updated Population'!G$37/'Updated Population'!$B$37)*('Total Trip Tables Sup #1'!G178/'Total Trip Tables Sup #1'!$B178)</f>
        <v>0</v>
      </c>
      <c r="H46" s="4">
        <f ca="1">$B46*('Updated Population'!H$37/'Updated Population'!$B$37)*('Total Trip Tables Sup #1'!H178/'Total Trip Tables Sup #1'!$B178)</f>
        <v>0</v>
      </c>
      <c r="I46" s="1">
        <f ca="1">$B46*('Updated Population'!I$37/'Updated Population'!$B$37)*('Total Trip Tables Sup #1'!I178/'Total Trip Tables Sup #1'!$B178)</f>
        <v>0</v>
      </c>
      <c r="J46" s="1">
        <f ca="1">$B46*('Updated Population'!J$37/'Updated Population'!$B$37)*('Total Trip Tables Sup #1'!J178/'Total Trip Tables Sup #1'!$B178)</f>
        <v>0</v>
      </c>
      <c r="K46" s="1">
        <f ca="1">$B46*('Updated Population'!K$37/'Updated Population'!$B$37)*('Total Trip Tables Sup #1'!K178/'Total Trip Tables Sup #1'!$B178)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OFFSET(BOP_Reference,49,5)</f>
        <v>0.59853678389999998</v>
      </c>
      <c r="C47" s="4">
        <f ca="1">$B47*('Updated Population'!C$37/'Updated Population'!$B$37)*('Total Trip Tables Sup #1'!C179/'Total Trip Tables Sup #1'!$B179)</f>
        <v>0.64187235889633876</v>
      </c>
      <c r="D47" s="4">
        <f ca="1">$B47*('Updated Population'!D$37/'Updated Population'!$B$37)*('Total Trip Tables Sup #1'!D179/'Total Trip Tables Sup #1'!$B179)</f>
        <v>0.67483423017855149</v>
      </c>
      <c r="E47" s="4">
        <f ca="1">$B47*('Updated Population'!E$37/'Updated Population'!$B$37)*('Total Trip Tables Sup #1'!E179/'Total Trip Tables Sup #1'!$B179)</f>
        <v>0.69855668132549342</v>
      </c>
      <c r="F47" s="4">
        <f ca="1">$B47*('Updated Population'!F$37/'Updated Population'!$B$37)*('Total Trip Tables Sup #1'!F179/'Total Trip Tables Sup #1'!$B179)</f>
        <v>0.71523848770012544</v>
      </c>
      <c r="G47" s="4">
        <f ca="1">$B47*('Updated Population'!G$37/'Updated Population'!$B$37)*('Total Trip Tables Sup #1'!G179/'Total Trip Tables Sup #1'!$B179)</f>
        <v>0.72499920942541263</v>
      </c>
      <c r="H47" s="4">
        <f ca="1">$B47*('Updated Population'!H$37/'Updated Population'!$B$37)*('Total Trip Tables Sup #1'!H179/'Total Trip Tables Sup #1'!$B179)</f>
        <v>0.72407338330055748</v>
      </c>
      <c r="I47" s="1">
        <f ca="1">$B47*('Updated Population'!I$37/'Updated Population'!$B$37)*('Total Trip Tables Sup #1'!I179/'Total Trip Tables Sup #1'!$B179)</f>
        <v>0.7307874253420783</v>
      </c>
      <c r="J47" s="1">
        <f ca="1">$B47*('Updated Population'!J$37/'Updated Population'!$B$37)*('Total Trip Tables Sup #1'!J179/'Total Trip Tables Sup #1'!$B179)</f>
        <v>0.73512164238505673</v>
      </c>
      <c r="K47" s="1">
        <f ca="1">$B47*('Updated Population'!K$37/'Updated Population'!$B$37)*('Total Trip Tables Sup #1'!K179/'Total Trip Tables Sup #1'!$B179)</f>
        <v>0.73779391500300051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OFFSET(Gisborne_Reference,0,5)</f>
        <v>12.564280467</v>
      </c>
      <c r="C49" s="4">
        <f ca="1">$B49*('Updated Population'!C$48/'Updated Population'!$B$48)*('Total Trip Tables Sup #1'!C170/'Total Trip Tables Sup #1'!$B170)</f>
        <v>12.779412324059088</v>
      </c>
      <c r="D49" s="4">
        <f ca="1">$B49*('Updated Population'!D$48/'Updated Population'!$B$48)*('Total Trip Tables Sup #1'!D170/'Total Trip Tables Sup #1'!$B170)</f>
        <v>12.808097417893407</v>
      </c>
      <c r="E49" s="4">
        <f ca="1">$B49*('Updated Population'!E$48/'Updated Population'!$B$48)*('Total Trip Tables Sup #1'!E170/'Total Trip Tables Sup #1'!$B170)</f>
        <v>12.690866295158761</v>
      </c>
      <c r="F49" s="4">
        <f ca="1">$B49*('Updated Population'!F$48/'Updated Population'!$B$48)*('Total Trip Tables Sup #1'!F170/'Total Trip Tables Sup #1'!$B170)</f>
        <v>12.453845763263347</v>
      </c>
      <c r="G49" s="4">
        <f ca="1">$B49*('Updated Population'!G$48/'Updated Population'!$B$48)*('Total Trip Tables Sup #1'!G170/'Total Trip Tables Sup #1'!$B170)</f>
        <v>12.133420569295946</v>
      </c>
      <c r="H49" s="4">
        <f ca="1">$B49*('Updated Population'!H$48/'Updated Population'!$B$48)*('Total Trip Tables Sup #1'!H170/'Total Trip Tables Sup #1'!$B170)</f>
        <v>11.777565284719197</v>
      </c>
      <c r="I49" s="1">
        <f ca="1">$B49*('Updated Population'!I$48/'Updated Population'!$B$48)*('Total Trip Tables Sup #1'!I170/'Total Trip Tables Sup #1'!$B170)</f>
        <v>11.667026981409075</v>
      </c>
      <c r="J49" s="1">
        <f ca="1">$B49*('Updated Population'!J$48/'Updated Population'!$B$48)*('Total Trip Tables Sup #1'!J170/'Total Trip Tables Sup #1'!$B170)</f>
        <v>11.520736537910002</v>
      </c>
      <c r="K49" s="1">
        <f ca="1">$B49*('Updated Population'!K$48/'Updated Population'!$B$48)*('Total Trip Tables Sup #1'!K170/'Total Trip Tables Sup #1'!$B170)</f>
        <v>11.351832038787759</v>
      </c>
    </row>
    <row r="50" spans="1:11" x14ac:dyDescent="0.2">
      <c r="A50" t="str">
        <f ca="1">OFFSET(Gisborne_Reference,7,2)</f>
        <v>Cyclist</v>
      </c>
      <c r="B50" s="4">
        <f ca="1">OFFSET(Gisborne_Reference,7,5)</f>
        <v>1.1119455742</v>
      </c>
      <c r="C50" s="4">
        <f ca="1">$B50*('Updated Population'!C$48/'Updated Population'!$B$48)*('Total Trip Tables Sup #1'!C171/'Total Trip Tables Sup #1'!$B171)</f>
        <v>1.1309440891620302</v>
      </c>
      <c r="D50" s="4">
        <f ca="1">$B50*('Updated Population'!D$48/'Updated Population'!$B$48)*('Total Trip Tables Sup #1'!D171/'Total Trip Tables Sup #1'!$B171)</f>
        <v>1.1248238078188582</v>
      </c>
      <c r="E50" s="4">
        <f ca="1">$B50*('Updated Population'!E$48/'Updated Population'!$B$48)*('Total Trip Tables Sup #1'!E171/'Total Trip Tables Sup #1'!$B171)</f>
        <v>1.1035062568122165</v>
      </c>
      <c r="F50" s="4">
        <f ca="1">$B50*('Updated Population'!F$48/'Updated Population'!$B$48)*('Total Trip Tables Sup #1'!F171/'Total Trip Tables Sup #1'!$B171)</f>
        <v>1.0811134322825533</v>
      </c>
      <c r="G50" s="4">
        <f ca="1">$B50*('Updated Population'!G$48/'Updated Population'!$B$48)*('Total Trip Tables Sup #1'!G171/'Total Trip Tables Sup #1'!$B171)</f>
        <v>1.05523118798149</v>
      </c>
      <c r="H50" s="4">
        <f ca="1">$B50*('Updated Population'!H$48/'Updated Population'!$B$48)*('Total Trip Tables Sup #1'!H171/'Total Trip Tables Sup #1'!$B171)</f>
        <v>1.0289551722518697</v>
      </c>
      <c r="I50" s="1">
        <f ca="1">$B50*('Updated Population'!I$48/'Updated Population'!$B$48)*('Total Trip Tables Sup #1'!I171/'Total Trip Tables Sup #1'!$B171)</f>
        <v>1.0192979165990002</v>
      </c>
      <c r="J50" s="1">
        <f ca="1">$B50*('Updated Population'!J$48/'Updated Population'!$B$48)*('Total Trip Tables Sup #1'!J171/'Total Trip Tables Sup #1'!$B171)</f>
        <v>1.0065171503837032</v>
      </c>
      <c r="K50" s="1">
        <f ca="1">$B50*('Updated Population'!K$48/'Updated Population'!$B$48)*('Total Trip Tables Sup #1'!K171/'Total Trip Tables Sup #1'!$B171)</f>
        <v>0.99176069149029056</v>
      </c>
    </row>
    <row r="51" spans="1:11" x14ac:dyDescent="0.2">
      <c r="A51" t="str">
        <f ca="1">OFFSET(Gisborne_Reference,14,2)</f>
        <v>Light Vehicle Driver</v>
      </c>
      <c r="B51" s="4">
        <f ca="1">OFFSET(Gisborne_Reference,14,5)</f>
        <v>28.776347379000001</v>
      </c>
      <c r="C51" s="4">
        <f ca="1">$B51*('Updated Population'!C$48/'Updated Population'!$B$48)*('Total Trip Tables Sup #1'!C172/'Total Trip Tables Sup #1'!$B172)</f>
        <v>29.995410750815239</v>
      </c>
      <c r="D51" s="4">
        <f ca="1">$B51*('Updated Population'!D$48/'Updated Population'!$B$48)*('Total Trip Tables Sup #1'!D172/'Total Trip Tables Sup #1'!$B172)</f>
        <v>30.520290510850668</v>
      </c>
      <c r="E51" s="4">
        <f ca="1">$B51*('Updated Population'!E$48/'Updated Population'!$B$48)*('Total Trip Tables Sup #1'!E172/'Total Trip Tables Sup #1'!$B172)</f>
        <v>31.007084975828366</v>
      </c>
      <c r="F51" s="4">
        <f ca="1">$B51*('Updated Population'!F$48/'Updated Population'!$B$48)*('Total Trip Tables Sup #1'!F172/'Total Trip Tables Sup #1'!$B172)</f>
        <v>31.29910842411676</v>
      </c>
      <c r="G51" s="4">
        <f ca="1">$B51*('Updated Population'!G$48/'Updated Population'!$B$48)*('Total Trip Tables Sup #1'!G172/'Total Trip Tables Sup #1'!$B172)</f>
        <v>31.158435508853675</v>
      </c>
      <c r="H51" s="4">
        <f ca="1">$B51*('Updated Population'!H$48/'Updated Population'!$B$48)*('Total Trip Tables Sup #1'!H172/'Total Trip Tables Sup #1'!$B172)</f>
        <v>30.870862657369141</v>
      </c>
      <c r="I51" s="1">
        <f ca="1">$B51*('Updated Population'!I$48/'Updated Population'!$B$48)*('Total Trip Tables Sup #1'!I172/'Total Trip Tables Sup #1'!$B172)</f>
        <v>30.581124269394099</v>
      </c>
      <c r="J51" s="1">
        <f ca="1">$B51*('Updated Population'!J$48/'Updated Population'!$B$48)*('Total Trip Tables Sup #1'!J172/'Total Trip Tables Sup #1'!$B172)</f>
        <v>30.19767386345961</v>
      </c>
      <c r="K51" s="1">
        <f ca="1">$B51*('Updated Population'!K$48/'Updated Population'!$B$48)*('Total Trip Tables Sup #1'!K172/'Total Trip Tables Sup #1'!$B172)</f>
        <v>29.754948438589352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OFFSET(Gisborne_Reference,21,5)</f>
        <v>18.791024854</v>
      </c>
      <c r="C52" s="4">
        <f ca="1">$B52*('Updated Population'!C$48/'Updated Population'!$B$48)*('Total Trip Tables Sup #1'!C173/'Total Trip Tables Sup #1'!$B173)</f>
        <v>18.685262355558841</v>
      </c>
      <c r="D52" s="4">
        <f ca="1">$B52*('Updated Population'!D$48/'Updated Population'!$B$48)*('Total Trip Tables Sup #1'!D173/'Total Trip Tables Sup #1'!$B173)</f>
        <v>18.491071179442113</v>
      </c>
      <c r="E52" s="4">
        <f ca="1">$B52*('Updated Population'!E$48/'Updated Population'!$B$48)*('Total Trip Tables Sup #1'!E173/'Total Trip Tables Sup #1'!$B173)</f>
        <v>18.25595114742983</v>
      </c>
      <c r="F52" s="4">
        <f ca="1">$B52*('Updated Population'!F$48/'Updated Population'!$B$48)*('Total Trip Tables Sup #1'!F173/'Total Trip Tables Sup #1'!$B173)</f>
        <v>17.960977615843536</v>
      </c>
      <c r="G52" s="4">
        <f ca="1">$B52*('Updated Population'!G$48/'Updated Population'!$B$48)*('Total Trip Tables Sup #1'!G173/'Total Trip Tables Sup #1'!$B173)</f>
        <v>17.521574253858585</v>
      </c>
      <c r="H52" s="4">
        <f ca="1">$B52*('Updated Population'!H$48/'Updated Population'!$B$48)*('Total Trip Tables Sup #1'!H173/'Total Trip Tables Sup #1'!$B173)</f>
        <v>17.010443564014906</v>
      </c>
      <c r="I52" s="1">
        <f ca="1">$B52*('Updated Population'!I$48/'Updated Population'!$B$48)*('Total Trip Tables Sup #1'!I173/'Total Trip Tables Sup #1'!$B173)</f>
        <v>16.850792097462783</v>
      </c>
      <c r="J52" s="1">
        <f ca="1">$B52*('Updated Population'!J$48/'Updated Population'!$B$48)*('Total Trip Tables Sup #1'!J173/'Total Trip Tables Sup #1'!$B173)</f>
        <v>16.639503492989974</v>
      </c>
      <c r="K52" s="1">
        <f ca="1">$B52*('Updated Population'!K$48/'Updated Population'!$B$48)*('Total Trip Tables Sup #1'!K173/'Total Trip Tables Sup #1'!$B173)</f>
        <v>16.395553204405722</v>
      </c>
    </row>
    <row r="53" spans="1:11" x14ac:dyDescent="0.2">
      <c r="A53" t="str">
        <f ca="1">OFFSET(Gisborne_Reference,28,2)</f>
        <v>Taxi/Vehicle Share</v>
      </c>
      <c r="B53" s="4">
        <f ca="1">OFFSET(Gisborne_Reference,28,5)</f>
        <v>2.27015811E-2</v>
      </c>
      <c r="C53" s="4">
        <f ca="1">$B53*('Updated Population'!C$48/'Updated Population'!$B$48)*('Total Trip Tables Sup #1'!C174/'Total Trip Tables Sup #1'!$B174)</f>
        <v>2.4729245520168541E-2</v>
      </c>
      <c r="D53" s="4">
        <f ca="1">$B53*('Updated Population'!D$48/'Updated Population'!$B$48)*('Total Trip Tables Sup #1'!D174/'Total Trip Tables Sup #1'!$B174)</f>
        <v>2.608062137604495E-2</v>
      </c>
      <c r="E53" s="4">
        <f ca="1">$B53*('Updated Population'!E$48/'Updated Population'!$B$48)*('Total Trip Tables Sup #1'!E174/'Total Trip Tables Sup #1'!$B174)</f>
        <v>2.6941094253789391E-2</v>
      </c>
      <c r="F53" s="4">
        <f ca="1">$B53*('Updated Population'!F$48/'Updated Population'!$B$48)*('Total Trip Tables Sup #1'!F174/'Total Trip Tables Sup #1'!$B174)</f>
        <v>2.7459286621373709E-2</v>
      </c>
      <c r="G53" s="4">
        <f ca="1">$B53*('Updated Population'!G$48/'Updated Population'!$B$48)*('Total Trip Tables Sup #1'!G174/'Total Trip Tables Sup #1'!$B174)</f>
        <v>2.7466970239305586E-2</v>
      </c>
      <c r="H53" s="4">
        <f ca="1">$B53*('Updated Population'!H$48/'Updated Population'!$B$48)*('Total Trip Tables Sup #1'!H174/'Total Trip Tables Sup #1'!$B174)</f>
        <v>2.7378784012539795E-2</v>
      </c>
      <c r="I53" s="1">
        <f ca="1">$B53*('Updated Population'!I$48/'Updated Population'!$B$48)*('Total Trip Tables Sup #1'!I174/'Total Trip Tables Sup #1'!$B174)</f>
        <v>2.7121820518109664E-2</v>
      </c>
      <c r="J53" s="1">
        <f ca="1">$B53*('Updated Population'!J$48/'Updated Population'!$B$48)*('Total Trip Tables Sup #1'!J174/'Total Trip Tables Sup #1'!$B174)</f>
        <v>2.6781745607987417E-2</v>
      </c>
      <c r="K53" s="1">
        <f ca="1">$B53*('Updated Population'!K$48/'Updated Population'!$B$48)*('Total Trip Tables Sup #1'!K174/'Total Trip Tables Sup #1'!$B174)</f>
        <v>2.6389100805057384E-2</v>
      </c>
    </row>
    <row r="54" spans="1:11" x14ac:dyDescent="0.2">
      <c r="A54" t="str">
        <f ca="1">OFFSET(Gisborne_Reference,35,2)</f>
        <v>Motorcyclist</v>
      </c>
      <c r="B54" s="4">
        <f ca="1">OFFSET(Gisborne_Reference,35,5)</f>
        <v>0.20072163900000001</v>
      </c>
      <c r="C54" s="4">
        <f ca="1">$B54*('Updated Population'!C$48/'Updated Population'!$B$48)*('Total Trip Tables Sup #1'!C175/'Total Trip Tables Sup #1'!$B175)</f>
        <v>0.20375514237575881</v>
      </c>
      <c r="D54" s="4">
        <f ca="1">$B54*('Updated Population'!D$48/'Updated Population'!$B$48)*('Total Trip Tables Sup #1'!D175/'Total Trip Tables Sup #1'!$B175)</f>
        <v>0.20218701744934389</v>
      </c>
      <c r="E54" s="4">
        <f ca="1">$B54*('Updated Population'!E$48/'Updated Population'!$B$48)*('Total Trip Tables Sup #1'!E175/'Total Trip Tables Sup #1'!$B175)</f>
        <v>0.20016749179618915</v>
      </c>
      <c r="F54" s="4">
        <f ca="1">$B54*('Updated Population'!F$48/'Updated Population'!$B$48)*('Total Trip Tables Sup #1'!F175/'Total Trip Tables Sup #1'!$B175)</f>
        <v>0.19673993506707038</v>
      </c>
      <c r="G54" s="4">
        <f ca="1">$B54*('Updated Population'!G$48/'Updated Population'!$B$48)*('Total Trip Tables Sup #1'!G175/'Total Trip Tables Sup #1'!$B175)</f>
        <v>0.1896677501712194</v>
      </c>
      <c r="H54" s="4">
        <f ca="1">$B54*('Updated Population'!H$48/'Updated Population'!$B$48)*('Total Trip Tables Sup #1'!H175/'Total Trip Tables Sup #1'!$B175)</f>
        <v>0.18166177745371059</v>
      </c>
      <c r="I54" s="1">
        <f ca="1">$B54*('Updated Population'!I$48/'Updated Population'!$B$48)*('Total Trip Tables Sup #1'!I175/'Total Trip Tables Sup #1'!$B175)</f>
        <v>0.17995679139160081</v>
      </c>
      <c r="J54" s="1">
        <f ca="1">$B54*('Updated Population'!J$48/'Updated Population'!$B$48)*('Total Trip Tables Sup #1'!J175/'Total Trip Tables Sup #1'!$B175)</f>
        <v>0.17770035032351236</v>
      </c>
      <c r="K54" s="1">
        <f ca="1">$B54*('Updated Population'!K$48/'Updated Population'!$B$48)*('Total Trip Tables Sup #1'!K175/'Total Trip Tables Sup #1'!$B175)</f>
        <v>0.17509510120888544</v>
      </c>
    </row>
    <row r="55" spans="1:11" x14ac:dyDescent="0.2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Trip Tables Sup #1'!C176/'Total Trip Tables Sup #1'!$B176)</f>
        <v>0</v>
      </c>
      <c r="D55" s="4">
        <f ca="1">$B55*('Updated Population'!D$48/'Updated Population'!$B$48)*('Total Trip Tables Sup #1'!D176/'Total Trip Tables Sup #1'!$B176)</f>
        <v>0</v>
      </c>
      <c r="E55" s="4">
        <f ca="1">$B55*('Updated Population'!E$48/'Updated Population'!$B$48)*('Total Trip Tables Sup #1'!E176/'Total Trip Tables Sup #1'!$B176)</f>
        <v>0</v>
      </c>
      <c r="F55" s="4">
        <f ca="1">$B55*('Updated Population'!F$48/'Updated Population'!$B$48)*('Total Trip Tables Sup #1'!F176/'Total Trip Tables Sup #1'!$B176)</f>
        <v>0</v>
      </c>
      <c r="G55" s="4">
        <f ca="1">$B55*('Updated Population'!G$48/'Updated Population'!$B$48)*('Total Trip Tables Sup #1'!G176/'Total Trip Tables Sup #1'!$B176)</f>
        <v>0</v>
      </c>
      <c r="H55" s="4">
        <f ca="1">$B55*('Updated Population'!H$48/'Updated Population'!$B$48)*('Total Trip Tables Sup #1'!H176/'Total Trip Tables Sup #1'!$B176)</f>
        <v>0</v>
      </c>
      <c r="I55" s="1">
        <f ca="1">$B55*('Updated Population'!I$48/'Updated Population'!$B$48)*('Total Trip Tables Sup #1'!I176/'Total Trip Tables Sup #1'!$B176)</f>
        <v>0</v>
      </c>
      <c r="J55" s="1">
        <f ca="1">$B55*('Updated Population'!J$48/'Updated Population'!$B$48)*('Total Trip Tables Sup #1'!J176/'Total Trip Tables Sup #1'!$B176)</f>
        <v>0</v>
      </c>
      <c r="K55" s="1">
        <f ca="1">$B55*('Updated Population'!K$48/'Updated Population'!$B$48)*('Total Trip Tables Sup #1'!K176/'Total Trip Tables Sup #1'!$B176)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OFFSET(Gisborne_Reference,49,5)</f>
        <v>0.39415976190000002</v>
      </c>
      <c r="C56" s="4">
        <f ca="1">$B56*('Updated Population'!C$48/'Updated Population'!$B$48)*('Total Trip Tables Sup #1'!C177/'Total Trip Tables Sup #1'!$B177)</f>
        <v>0.37723983604584227</v>
      </c>
      <c r="D56" s="4">
        <f ca="1">$B56*('Updated Population'!D$48/'Updated Population'!$B$48)*('Total Trip Tables Sup #1'!D177/'Total Trip Tables Sup #1'!$B177)</f>
        <v>0.36406168142630729</v>
      </c>
      <c r="E56" s="4">
        <f ca="1">$B56*('Updated Population'!E$48/'Updated Population'!$B$48)*('Total Trip Tables Sup #1'!E177/'Total Trip Tables Sup #1'!$B177)</f>
        <v>0.35561466723444018</v>
      </c>
      <c r="F56" s="4">
        <f ca="1">$B56*('Updated Population'!F$48/'Updated Population'!$B$48)*('Total Trip Tables Sup #1'!F177/'Total Trip Tables Sup #1'!$B177)</f>
        <v>0.34266165188137426</v>
      </c>
      <c r="G56" s="4">
        <f ca="1">$B56*('Updated Population'!G$48/'Updated Population'!$B$48)*('Total Trip Tables Sup #1'!G177/'Total Trip Tables Sup #1'!$B177)</f>
        <v>0.33072802555762132</v>
      </c>
      <c r="H56" s="4">
        <f ca="1">$B56*('Updated Population'!H$48/'Updated Population'!$B$48)*('Total Trip Tables Sup #1'!H177/'Total Trip Tables Sup #1'!$B177)</f>
        <v>0.31755272615566621</v>
      </c>
      <c r="I56" s="1">
        <f ca="1">$B56*('Updated Population'!I$48/'Updated Population'!$B$48)*('Total Trip Tables Sup #1'!I177/'Total Trip Tables Sup #1'!$B177)</f>
        <v>0.31457233600607448</v>
      </c>
      <c r="J56" s="1">
        <f ca="1">$B56*('Updated Population'!J$48/'Updated Population'!$B$48)*('Total Trip Tables Sup #1'!J177/'Total Trip Tables Sup #1'!$B177)</f>
        <v>0.31062797840578799</v>
      </c>
      <c r="K56" s="1">
        <f ca="1">$B56*('Updated Population'!K$48/'Updated Population'!$B$48)*('Total Trip Tables Sup #1'!K177/'Total Trip Tables Sup #1'!$B177)</f>
        <v>0.30607388909619054</v>
      </c>
    </row>
    <row r="57" spans="1:11" x14ac:dyDescent="0.2">
      <c r="A57" t="str">
        <f ca="1">OFFSET(Gisborne_Reference,56,2)</f>
        <v>Local Ferry</v>
      </c>
      <c r="B57" s="4">
        <f ca="1">OFFSET(Gisborne_Reference,56,5)</f>
        <v>1.5651153399999999E-2</v>
      </c>
      <c r="C57" s="4">
        <f ca="1">$B57*('Updated Population'!C$48/'Updated Population'!$B$48)*('Total Trip Tables Sup #1'!C178/'Total Trip Tables Sup #1'!$B178)</f>
        <v>1.6730944059468296E-2</v>
      </c>
      <c r="D57" s="4">
        <f ca="1">$B57*('Updated Population'!D$48/'Updated Population'!$B$48)*('Total Trip Tables Sup #1'!D178/'Total Trip Tables Sup #1'!$B178)</f>
        <v>1.7433475508838531E-2</v>
      </c>
      <c r="E57" s="4">
        <f ca="1">$B57*('Updated Population'!E$48/'Updated Population'!$B$48)*('Total Trip Tables Sup #1'!E178/'Total Trip Tables Sup #1'!$B178)</f>
        <v>1.7616442875906396E-2</v>
      </c>
      <c r="F57" s="4">
        <f ca="1">$B57*('Updated Population'!F$48/'Updated Population'!$B$48)*('Total Trip Tables Sup #1'!F178/'Total Trip Tables Sup #1'!$B178)</f>
        <v>1.754467011020339E-2</v>
      </c>
      <c r="G57" s="4">
        <f ca="1">$B57*('Updated Population'!G$48/'Updated Population'!$B$48)*('Total Trip Tables Sup #1'!G178/'Total Trip Tables Sup #1'!$B178)</f>
        <v>1.7771366568313341E-2</v>
      </c>
      <c r="H57" s="4">
        <f ca="1">$B57*('Updated Population'!H$48/'Updated Population'!$B$48)*('Total Trip Tables Sup #1'!H178/'Total Trip Tables Sup #1'!$B178)</f>
        <v>1.7840198826269273E-2</v>
      </c>
      <c r="I57" s="1">
        <f ca="1">$B57*('Updated Population'!I$48/'Updated Population'!$B$48)*('Total Trip Tables Sup #1'!I178/'Total Trip Tables Sup #1'!$B178)</f>
        <v>1.7672759694216261E-2</v>
      </c>
      <c r="J57" s="1">
        <f ca="1">$B57*('Updated Population'!J$48/'Updated Population'!$B$48)*('Total Trip Tables Sup #1'!J178/'Total Trip Tables Sup #1'!$B178)</f>
        <v>1.7451164607684012E-2</v>
      </c>
      <c r="K57" s="1">
        <f ca="1">$B57*('Updated Population'!K$48/'Updated Population'!$B$48)*('Total Trip Tables Sup #1'!K178/'Total Trip Tables Sup #1'!$B178)</f>
        <v>1.7195314627306332E-2</v>
      </c>
    </row>
    <row r="58" spans="1:11" x14ac:dyDescent="0.2">
      <c r="A58" t="str">
        <f ca="1">OFFSET(Gisborne_Reference,63,2)</f>
        <v>Other Household Travel</v>
      </c>
      <c r="B58" s="4">
        <f ca="1">OFFSET(Gisborne_Reference,63,5)</f>
        <v>3.13358953E-2</v>
      </c>
      <c r="C58" s="4">
        <f ca="1">$B58*('Updated Population'!C$48/'Updated Population'!$B$48)*('Total Trip Tables Sup #1'!C179/'Total Trip Tables Sup #1'!$B179)</f>
        <v>3.2130190946229494E-2</v>
      </c>
      <c r="D58" s="4">
        <f ca="1">$B58*('Updated Population'!D$48/'Updated Population'!$B$48)*('Total Trip Tables Sup #1'!D179/'Total Trip Tables Sup #1'!$B179)</f>
        <v>3.2936831141210952E-2</v>
      </c>
      <c r="E58" s="4">
        <f ca="1">$B58*('Updated Population'!E$48/'Updated Population'!$B$48)*('Total Trip Tables Sup #1'!E179/'Total Trip Tables Sup #1'!$B179)</f>
        <v>3.3429696289381444E-2</v>
      </c>
      <c r="F58" s="4">
        <f ca="1">$B58*('Updated Population'!F$48/'Updated Population'!$B$48)*('Total Trip Tables Sup #1'!F179/'Total Trip Tables Sup #1'!$B179)</f>
        <v>3.3590103935324279E-2</v>
      </c>
      <c r="G58" s="4">
        <f ca="1">$B58*('Updated Population'!G$48/'Updated Population'!$B$48)*('Total Trip Tables Sup #1'!G179/'Total Trip Tables Sup #1'!$B179)</f>
        <v>3.3390624345798398E-2</v>
      </c>
      <c r="H58" s="4">
        <f ca="1">$B58*('Updated Population'!H$48/'Updated Population'!$B$48)*('Total Trip Tables Sup #1'!H179/'Total Trip Tables Sup #1'!$B179)</f>
        <v>3.2727456532498783E-2</v>
      </c>
      <c r="I58" s="1">
        <f ca="1">$B58*('Updated Population'!I$48/'Updated Population'!$B$48)*('Total Trip Tables Sup #1'!I179/'Total Trip Tables Sup #1'!$B179)</f>
        <v>3.2420293088331602E-2</v>
      </c>
      <c r="J58" s="1">
        <f ca="1">$B58*('Updated Population'!J$48/'Updated Population'!$B$48)*('Total Trip Tables Sup #1'!J179/'Total Trip Tables Sup #1'!$B179)</f>
        <v>3.2013781724140933E-2</v>
      </c>
      <c r="K58" s="1">
        <f ca="1">$B58*('Updated Population'!K$48/'Updated Population'!$B$48)*('Total Trip Tables Sup #1'!K179/'Total Trip Tables Sup #1'!$B179)</f>
        <v>3.1544430502599516E-2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OFFSET(Hawkes_Bay_Reference,0,5)</f>
        <v>26.538300281000001</v>
      </c>
      <c r="C60" s="4">
        <f ca="1">$B60*('Updated Population'!C$59/'Updated Population'!$B$59)*('Total Trip Tables Sup #1'!C170/'Total Trip Tables Sup #1'!$B170)</f>
        <v>28.017605852506605</v>
      </c>
      <c r="D60" s="4">
        <f ca="1">$B60*('Updated Population'!D$59/'Updated Population'!$B$59)*('Total Trip Tables Sup #1'!D170/'Total Trip Tables Sup #1'!$B170)</f>
        <v>28.783842165691858</v>
      </c>
      <c r="E60" s="4">
        <f ca="1">$B60*('Updated Population'!E$59/'Updated Population'!$B$59)*('Total Trip Tables Sup #1'!E170/'Total Trip Tables Sup #1'!$B170)</f>
        <v>29.094240037227181</v>
      </c>
      <c r="F60" s="4">
        <f ca="1">$B60*('Updated Population'!F$59/'Updated Population'!$B$59)*('Total Trip Tables Sup #1'!F170/'Total Trip Tables Sup #1'!$B170)</f>
        <v>29.104882122915757</v>
      </c>
      <c r="G60" s="4">
        <f ca="1">$B60*('Updated Population'!G$59/'Updated Population'!$B$59)*('Total Trip Tables Sup #1'!G170/'Total Trip Tables Sup #1'!$B170)</f>
        <v>28.95321910123571</v>
      </c>
      <c r="H60" s="4">
        <f ca="1">$B60*('Updated Population'!H$59/'Updated Population'!$B$59)*('Total Trip Tables Sup #1'!H170/'Total Trip Tables Sup #1'!$B170)</f>
        <v>28.706469262055219</v>
      </c>
      <c r="I60" s="1">
        <f ca="1">$B60*('Updated Population'!I$59/'Updated Population'!$B$59)*('Total Trip Tables Sup #1'!I170/'Total Trip Tables Sup #1'!$B170)</f>
        <v>29.064423361048227</v>
      </c>
      <c r="J60" s="1">
        <f ca="1">$B60*('Updated Population'!J$59/'Updated Population'!$B$59)*('Total Trip Tables Sup #1'!J170/'Total Trip Tables Sup #1'!$B170)</f>
        <v>29.351306874611822</v>
      </c>
      <c r="K60" s="1">
        <f ca="1">$B60*('Updated Population'!K$59/'Updated Population'!$B$59)*('Total Trip Tables Sup #1'!K170/'Total Trip Tables Sup #1'!$B170)</f>
        <v>29.595713301264148</v>
      </c>
    </row>
    <row r="61" spans="1:11" x14ac:dyDescent="0.2">
      <c r="A61" t="str">
        <f ca="1">OFFSET(Hawkes_Bay_Reference,7,2)</f>
        <v>Cyclist</v>
      </c>
      <c r="B61" s="4">
        <f ca="1">OFFSET(Hawkes_Bay_Reference,7,5)</f>
        <v>3.1819840940000002</v>
      </c>
      <c r="C61" s="4">
        <f ca="1">$B61*('Updated Population'!C$59/'Updated Population'!$B$59)*('Total Trip Tables Sup #1'!C171/'Total Trip Tables Sup #1'!$B171)</f>
        <v>3.3592340682437487</v>
      </c>
      <c r="D61" s="4">
        <f ca="1">$B61*('Updated Population'!D$59/'Updated Population'!$B$59)*('Total Trip Tables Sup #1'!D171/'Total Trip Tables Sup #1'!$B171)</f>
        <v>3.4247402250168535</v>
      </c>
      <c r="E61" s="4">
        <f ca="1">$B61*('Updated Population'!E$59/'Updated Population'!$B$59)*('Total Trip Tables Sup #1'!E171/'Total Trip Tables Sup #1'!$B171)</f>
        <v>3.4274374777359307</v>
      </c>
      <c r="F61" s="4">
        <f ca="1">$B61*('Updated Population'!F$59/'Updated Population'!$B$59)*('Total Trip Tables Sup #1'!F171/'Total Trip Tables Sup #1'!$B171)</f>
        <v>3.4230450710485076</v>
      </c>
      <c r="G61" s="4">
        <f ca="1">$B61*('Updated Population'!G$59/'Updated Population'!$B$59)*('Total Trip Tables Sup #1'!G171/'Total Trip Tables Sup #1'!$B171)</f>
        <v>3.4114594729780685</v>
      </c>
      <c r="H61" s="4">
        <f ca="1">$B61*('Updated Population'!H$59/'Updated Population'!$B$59)*('Total Trip Tables Sup #1'!H171/'Total Trip Tables Sup #1'!$B171)</f>
        <v>3.3978148229453997</v>
      </c>
      <c r="I61" s="1">
        <f ca="1">$B61*('Updated Population'!I$59/'Updated Population'!$B$59)*('Total Trip Tables Sup #1'!I171/'Total Trip Tables Sup #1'!$B171)</f>
        <v>3.4401837305386502</v>
      </c>
      <c r="J61" s="1">
        <f ca="1">$B61*('Updated Population'!J$59/'Updated Population'!$B$59)*('Total Trip Tables Sup #1'!J171/'Total Trip Tables Sup #1'!$B171)</f>
        <v>3.4741404336757205</v>
      </c>
      <c r="K61" s="1">
        <f ca="1">$B61*('Updated Population'!K$59/'Updated Population'!$B$59)*('Total Trip Tables Sup #1'!K171/'Total Trip Tables Sup #1'!$B171)</f>
        <v>3.5030693755013909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OFFSET(Hawkes_Bay_Reference,14,5)</f>
        <v>111.16933473</v>
      </c>
      <c r="C62" s="4">
        <f ca="1">$B62*('Updated Population'!C$59/'Updated Population'!$B$59)*('Total Trip Tables Sup #1'!C172/'Total Trip Tables Sup #1'!$B172)</f>
        <v>120.27872337389243</v>
      </c>
      <c r="D62" s="4">
        <f ca="1">$B62*('Updated Population'!D$59/'Updated Population'!$B$59)*('Total Trip Tables Sup #1'!D172/'Total Trip Tables Sup #1'!$B172)</f>
        <v>125.44884392021655</v>
      </c>
      <c r="E62" s="4">
        <f ca="1">$B62*('Updated Population'!E$59/'Updated Population'!$B$59)*('Total Trip Tables Sup #1'!E172/'Total Trip Tables Sup #1'!$B172)</f>
        <v>130.01412760837633</v>
      </c>
      <c r="F62" s="4">
        <f ca="1">$B62*('Updated Population'!F$59/'Updated Population'!$B$59)*('Total Trip Tables Sup #1'!F172/'Total Trip Tables Sup #1'!$B172)</f>
        <v>133.78523511697557</v>
      </c>
      <c r="G62" s="4">
        <f ca="1">$B62*('Updated Population'!G$59/'Updated Population'!$B$59)*('Total Trip Tables Sup #1'!G172/'Total Trip Tables Sup #1'!$B172)</f>
        <v>135.98878904854092</v>
      </c>
      <c r="H62" s="4">
        <f ca="1">$B62*('Updated Population'!H$59/'Updated Population'!$B$59)*('Total Trip Tables Sup #1'!H172/'Total Trip Tables Sup #1'!$B172)</f>
        <v>137.62168885067786</v>
      </c>
      <c r="I62" s="1">
        <f ca="1">$B62*('Updated Population'!I$59/'Updated Population'!$B$59)*('Total Trip Tables Sup #1'!I172/'Total Trip Tables Sup #1'!$B172)</f>
        <v>139.33775665353915</v>
      </c>
      <c r="J62" s="1">
        <f ca="1">$B62*('Updated Population'!J$59/'Updated Population'!$B$59)*('Total Trip Tables Sup #1'!J172/'Total Trip Tables Sup #1'!$B172)</f>
        <v>140.71310495150018</v>
      </c>
      <c r="K62" s="1">
        <f ca="1">$B62*('Updated Population'!K$59/'Updated Population'!$B$59)*('Total Trip Tables Sup #1'!K172/'Total Trip Tables Sup #1'!$B172)</f>
        <v>141.88481384035029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OFFSET(Hawkes_Bay_Reference,21,5)</f>
        <v>58.497679761999997</v>
      </c>
      <c r="C63" s="4">
        <f ca="1">$B63*('Updated Population'!C$59/'Updated Population'!$B$59)*('Total Trip Tables Sup #1'!C173/'Total Trip Tables Sup #1'!$B173)</f>
        <v>60.377069636956122</v>
      </c>
      <c r="D63" s="4">
        <f ca="1">$B63*('Updated Population'!D$59/'Updated Population'!$B$59)*('Total Trip Tables Sup #1'!D173/'Total Trip Tables Sup #1'!$B173)</f>
        <v>61.246165711960607</v>
      </c>
      <c r="E63" s="4">
        <f ca="1">$B63*('Updated Population'!E$59/'Updated Population'!$B$59)*('Total Trip Tables Sup #1'!E173/'Total Trip Tables Sup #1'!$B173)</f>
        <v>61.684053641288784</v>
      </c>
      <c r="F63" s="4">
        <f ca="1">$B63*('Updated Population'!F$59/'Updated Population'!$B$59)*('Total Trip Tables Sup #1'!F173/'Total Trip Tables Sup #1'!$B173)</f>
        <v>61.865001211655624</v>
      </c>
      <c r="G63" s="4">
        <f ca="1">$B63*('Updated Population'!G$59/'Updated Population'!$B$59)*('Total Trip Tables Sup #1'!G173/'Total Trip Tables Sup #1'!$B173)</f>
        <v>61.622515281511966</v>
      </c>
      <c r="H63" s="4">
        <f ca="1">$B63*('Updated Population'!H$59/'Updated Population'!$B$59)*('Total Trip Tables Sup #1'!H173/'Total Trip Tables Sup #1'!$B173)</f>
        <v>61.107228991854811</v>
      </c>
      <c r="I63" s="1">
        <f ca="1">$B63*('Updated Population'!I$59/'Updated Population'!$B$59)*('Total Trip Tables Sup #1'!I173/'Total Trip Tables Sup #1'!$B173)</f>
        <v>61.869202987892422</v>
      </c>
      <c r="J63" s="1">
        <f ca="1">$B63*('Updated Population'!J$59/'Updated Population'!$B$59)*('Total Trip Tables Sup #1'!J173/'Total Trip Tables Sup #1'!$B173)</f>
        <v>62.479889603417476</v>
      </c>
      <c r="K63" s="1">
        <f ca="1">$B63*('Updated Population'!K$59/'Updated Population'!$B$59)*('Total Trip Tables Sup #1'!K173/'Total Trip Tables Sup #1'!$B173)</f>
        <v>63.000155587512765</v>
      </c>
    </row>
    <row r="64" spans="1:11" x14ac:dyDescent="0.2">
      <c r="A64" t="str">
        <f ca="1">OFFSET(Hawkes_Bay_Reference,28,2)</f>
        <v>Taxi/Vehicle Share</v>
      </c>
      <c r="B64" s="4">
        <f ca="1">OFFSET(Hawkes_Bay_Reference,28,5)</f>
        <v>0.32519619989999998</v>
      </c>
      <c r="C64" s="4">
        <f ca="1">$B64*('Updated Population'!C$59/'Updated Population'!$B$59)*('Total Trip Tables Sup #1'!C174/'Total Trip Tables Sup #1'!$B174)</f>
        <v>0.36769259190635445</v>
      </c>
      <c r="D64" s="4">
        <f ca="1">$B64*('Updated Population'!D$59/'Updated Population'!$B$59)*('Total Trip Tables Sup #1'!D174/'Total Trip Tables Sup #1'!$B174)</f>
        <v>0.39749891880140958</v>
      </c>
      <c r="E64" s="4">
        <f ca="1">$B64*('Updated Population'!E$59/'Updated Population'!$B$59)*('Total Trip Tables Sup #1'!E174/'Total Trip Tables Sup #1'!$B174)</f>
        <v>0.41887539964105841</v>
      </c>
      <c r="F64" s="4">
        <f ca="1">$B64*('Updated Population'!F$59/'Updated Population'!$B$59)*('Total Trip Tables Sup #1'!F174/'Total Trip Tables Sup #1'!$B174)</f>
        <v>0.43521663534699095</v>
      </c>
      <c r="G64" s="4">
        <f ca="1">$B64*('Updated Population'!G$59/'Updated Population'!$B$59)*('Total Trip Tables Sup #1'!G174/'Total Trip Tables Sup #1'!$B174)</f>
        <v>0.44450662416576586</v>
      </c>
      <c r="H64" s="4">
        <f ca="1">$B64*('Updated Population'!H$59/'Updated Population'!$B$59)*('Total Trip Tables Sup #1'!H174/'Total Trip Tables Sup #1'!$B174)</f>
        <v>0.45257680305332859</v>
      </c>
      <c r="I64" s="1">
        <f ca="1">$B64*('Updated Population'!I$59/'Updated Population'!$B$59)*('Total Trip Tables Sup #1'!I174/'Total Trip Tables Sup #1'!$B174)</f>
        <v>0.45822019027323396</v>
      </c>
      <c r="J64" s="1">
        <f ca="1">$B64*('Updated Population'!J$59/'Updated Population'!$B$59)*('Total Trip Tables Sup #1'!J174/'Total Trip Tables Sup #1'!$B174)</f>
        <v>0.46274310189402806</v>
      </c>
      <c r="K64" s="1">
        <f ca="1">$B64*('Updated Population'!K$59/'Updated Population'!$B$59)*('Total Trip Tables Sup #1'!K174/'Total Trip Tables Sup #1'!$B174)</f>
        <v>0.46659633365897402</v>
      </c>
    </row>
    <row r="65" spans="1:11" x14ac:dyDescent="0.2">
      <c r="A65" t="str">
        <f ca="1">OFFSET(Hawkes_Bay_Reference,35,2)</f>
        <v>Motorcyclist</v>
      </c>
      <c r="B65" s="4">
        <f ca="1">OFFSET(Hawkes_Bay_Reference,35,5)</f>
        <v>0.65061969099999994</v>
      </c>
      <c r="C65" s="4">
        <f ca="1">$B65*('Updated Population'!C$59/'Updated Population'!$B$59)*('Total Trip Tables Sup #1'!C175/'Total Trip Tables Sup #1'!$B175)</f>
        <v>0.68552965111303032</v>
      </c>
      <c r="D65" s="4">
        <f ca="1">$B65*('Updated Population'!D$59/'Updated Population'!$B$59)*('Total Trip Tables Sup #1'!D175/'Total Trip Tables Sup #1'!$B175)</f>
        <v>0.6972924058106662</v>
      </c>
      <c r="E65" s="4">
        <f ca="1">$B65*('Updated Population'!E$59/'Updated Population'!$B$59)*('Total Trip Tables Sup #1'!E175/'Total Trip Tables Sup #1'!$B175)</f>
        <v>0.7042175163899751</v>
      </c>
      <c r="F65" s="4">
        <f ca="1">$B65*('Updated Population'!F$59/'Updated Population'!$B$59)*('Total Trip Tables Sup #1'!F175/'Total Trip Tables Sup #1'!$B175)</f>
        <v>0.70558999276584522</v>
      </c>
      <c r="G65" s="4">
        <f ca="1">$B65*('Updated Population'!G$59/'Updated Population'!$B$59)*('Total Trip Tables Sup #1'!G175/'Total Trip Tables Sup #1'!$B175)</f>
        <v>0.6945517744145282</v>
      </c>
      <c r="H65" s="4">
        <f ca="1">$B65*('Updated Population'!H$59/'Updated Population'!$B$59)*('Total Trip Tables Sup #1'!H175/'Total Trip Tables Sup #1'!$B175)</f>
        <v>0.67949356146664253</v>
      </c>
      <c r="I65" s="1">
        <f ca="1">$B65*('Updated Population'!I$59/'Updated Population'!$B$59)*('Total Trip Tables Sup #1'!I175/'Total Trip Tables Sup #1'!$B175)</f>
        <v>0.68796647756600582</v>
      </c>
      <c r="J65" s="1">
        <f ca="1">$B65*('Updated Population'!J$59/'Updated Population'!$B$59)*('Total Trip Tables Sup #1'!J175/'Total Trip Tables Sup #1'!$B175)</f>
        <v>0.69475712460022887</v>
      </c>
      <c r="K65" s="1">
        <f ca="1">$B65*('Updated Population'!K$59/'Updated Population'!$B$59)*('Total Trip Tables Sup #1'!K175/'Total Trip Tables Sup #1'!$B175)</f>
        <v>0.70054232206827283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Trip Tables Sup #1'!C176/'Total Trip Tables Sup #1'!$B176)</f>
        <v>0</v>
      </c>
      <c r="D66" s="4">
        <f ca="1">$B66*('Updated Population'!D$59/'Updated Population'!$B$59)*('Total Trip Tables Sup #1'!D176/'Total Trip Tables Sup #1'!$B176)</f>
        <v>0</v>
      </c>
      <c r="E66" s="4">
        <f ca="1">$B66*('Updated Population'!E$59/'Updated Population'!$B$59)*('Total Trip Tables Sup #1'!E176/'Total Trip Tables Sup #1'!$B176)</f>
        <v>0</v>
      </c>
      <c r="F66" s="4">
        <f ca="1">$B66*('Updated Population'!F$59/'Updated Population'!$B$59)*('Total Trip Tables Sup #1'!F176/'Total Trip Tables Sup #1'!$B176)</f>
        <v>0</v>
      </c>
      <c r="G66" s="4">
        <f ca="1">$B66*('Updated Population'!G$59/'Updated Population'!$B$59)*('Total Trip Tables Sup #1'!G176/'Total Trip Tables Sup #1'!$B176)</f>
        <v>0</v>
      </c>
      <c r="H66" s="4">
        <f ca="1">$B66*('Updated Population'!H$59/'Updated Population'!$B$59)*('Total Trip Tables Sup #1'!H176/'Total Trip Tables Sup #1'!$B176)</f>
        <v>0</v>
      </c>
      <c r="I66" s="1">
        <f ca="1">$B66*('Updated Population'!I$59/'Updated Population'!$B$59)*('Total Trip Tables Sup #1'!I176/'Total Trip Tables Sup #1'!$B176)</f>
        <v>0</v>
      </c>
      <c r="J66" s="1">
        <f ca="1">$B66*('Updated Population'!J$59/'Updated Population'!$B$59)*('Total Trip Tables Sup #1'!J176/'Total Trip Tables Sup #1'!$B176)</f>
        <v>0</v>
      </c>
      <c r="K66" s="1">
        <f ca="1">$B66*('Updated Population'!K$59/'Updated Population'!$B$59)*('Total Trip Tables Sup #1'!K176/'Total Trip Tables Sup #1'!$B176)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OFFSET(Hawkes_Bay_Reference,42,5)</f>
        <v>4.5218645043999999</v>
      </c>
      <c r="C67" s="4">
        <f ca="1">$B67*('Updated Population'!C$59/'Updated Population'!$B$59)*('Total Trip Tables Sup #1'!C177/'Total Trip Tables Sup #1'!$B177)</f>
        <v>4.4920797977366771</v>
      </c>
      <c r="D67" s="4">
        <f ca="1">$B67*('Updated Population'!D$59/'Updated Population'!$B$59)*('Total Trip Tables Sup #1'!D177/'Total Trip Tables Sup #1'!$B177)</f>
        <v>4.4437425442376153</v>
      </c>
      <c r="E67" s="4">
        <f ca="1">$B67*('Updated Population'!E$59/'Updated Population'!$B$59)*('Total Trip Tables Sup #1'!E177/'Total Trip Tables Sup #1'!$B177)</f>
        <v>4.4279753079650321</v>
      </c>
      <c r="F67" s="4">
        <f ca="1">$B67*('Updated Population'!F$59/'Updated Population'!$B$59)*('Total Trip Tables Sup #1'!F177/'Total Trip Tables Sup #1'!$B177)</f>
        <v>4.3494830473614545</v>
      </c>
      <c r="G67" s="4">
        <f ca="1">$B67*('Updated Population'!G$59/'Updated Population'!$B$59)*('Total Trip Tables Sup #1'!G177/'Total Trip Tables Sup #1'!$B177)</f>
        <v>4.28641661832261</v>
      </c>
      <c r="H67" s="4">
        <f ca="1">$B67*('Updated Population'!H$59/'Updated Population'!$B$59)*('Total Trip Tables Sup #1'!H177/'Total Trip Tables Sup #1'!$B177)</f>
        <v>4.2038758472513962</v>
      </c>
      <c r="I67" s="1">
        <f ca="1">$B67*('Updated Population'!I$59/'Updated Population'!$B$59)*('Total Trip Tables Sup #1'!I177/'Total Trip Tables Sup #1'!$B177)</f>
        <v>4.2562958985452148</v>
      </c>
      <c r="J67" s="1">
        <f ca="1">$B67*('Updated Population'!J$59/'Updated Population'!$B$59)*('Total Trip Tables Sup #1'!J177/'Total Trip Tables Sup #1'!$B177)</f>
        <v>4.2983081245224009</v>
      </c>
      <c r="K67" s="1">
        <f ca="1">$B67*('Updated Population'!K$59/'Updated Population'!$B$59)*('Total Trip Tables Sup #1'!K177/'Total Trip Tables Sup #1'!$B177)</f>
        <v>4.3340998571990079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Trip Tables Sup #1'!C178/'Total Trip Tables Sup #1'!$B178)</f>
        <v>0</v>
      </c>
      <c r="D68" s="4">
        <f ca="1">$B68*('Updated Population'!D$59/'Updated Population'!$B$59)*('Total Trip Tables Sup #1'!D178/'Total Trip Tables Sup #1'!$B178)</f>
        <v>0</v>
      </c>
      <c r="E68" s="4">
        <f ca="1">$B68*('Updated Population'!E$59/'Updated Population'!$B$59)*('Total Trip Tables Sup #1'!E178/'Total Trip Tables Sup #1'!$B178)</f>
        <v>0</v>
      </c>
      <c r="F68" s="4">
        <f ca="1">$B68*('Updated Population'!F$59/'Updated Population'!$B$59)*('Total Trip Tables Sup #1'!F178/'Total Trip Tables Sup #1'!$B178)</f>
        <v>0</v>
      </c>
      <c r="G68" s="4">
        <f ca="1">$B68*('Updated Population'!G$59/'Updated Population'!$B$59)*('Total Trip Tables Sup #1'!G178/'Total Trip Tables Sup #1'!$B178)</f>
        <v>0</v>
      </c>
      <c r="H68" s="4">
        <f ca="1">$B68*('Updated Population'!H$59/'Updated Population'!$B$59)*('Total Trip Tables Sup #1'!H178/'Total Trip Tables Sup #1'!$B178)</f>
        <v>0</v>
      </c>
      <c r="I68" s="1">
        <f ca="1">$B68*('Updated Population'!I$59/'Updated Population'!$B$59)*('Total Trip Tables Sup #1'!I178/'Total Trip Tables Sup #1'!$B178)</f>
        <v>0</v>
      </c>
      <c r="J68" s="1">
        <f ca="1">$B68*('Updated Population'!J$59/'Updated Population'!$B$59)*('Total Trip Tables Sup #1'!J178/'Total Trip Tables Sup #1'!$B178)</f>
        <v>0</v>
      </c>
      <c r="K68" s="1">
        <f ca="1">$B68*('Updated Population'!K$59/'Updated Population'!$B$59)*('Total Trip Tables Sup #1'!K178/'Total Trip Tables Sup #1'!$B178)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OFFSET(Hawkes_Bay_Reference,49,5)</f>
        <v>0.49138149730000003</v>
      </c>
      <c r="C69" s="4">
        <f ca="1">$B69*('Updated Population'!C$59/'Updated Population'!$B$59)*('Total Trip Tables Sup #1'!C179/'Total Trip Tables Sup #1'!$B179)</f>
        <v>0.52296744616576996</v>
      </c>
      <c r="D69" s="4">
        <f ca="1">$B69*('Updated Population'!D$59/'Updated Population'!$B$59)*('Total Trip Tables Sup #1'!D179/'Total Trip Tables Sup #1'!$B179)</f>
        <v>0.54952463461011025</v>
      </c>
      <c r="E69" s="4">
        <f ca="1">$B69*('Updated Population'!E$59/'Updated Population'!$B$59)*('Total Trip Tables Sup #1'!E179/'Total Trip Tables Sup #1'!$B179)</f>
        <v>0.56897002936831309</v>
      </c>
      <c r="F69" s="4">
        <f ca="1">$B69*('Updated Population'!F$59/'Updated Population'!$B$59)*('Total Trip Tables Sup #1'!F179/'Total Trip Tables Sup #1'!$B179)</f>
        <v>0.58279379602697012</v>
      </c>
      <c r="G69" s="4">
        <f ca="1">$B69*('Updated Population'!G$59/'Updated Population'!$B$59)*('Total Trip Tables Sup #1'!G179/'Total Trip Tables Sup #1'!$B179)</f>
        <v>0.5915335146117805</v>
      </c>
      <c r="H69" s="4">
        <f ca="1">$B69*('Updated Population'!H$59/'Updated Population'!$B$59)*('Total Trip Tables Sup #1'!H179/'Total Trip Tables Sup #1'!$B179)</f>
        <v>0.59221271122676644</v>
      </c>
      <c r="I69" s="1">
        <f ca="1">$B69*('Updated Population'!I$59/'Updated Population'!$B$59)*('Total Trip Tables Sup #1'!I179/'Total Trip Tables Sup #1'!$B179)</f>
        <v>0.59959728247181299</v>
      </c>
      <c r="J69" s="1">
        <f ca="1">$B69*('Updated Population'!J$59/'Updated Population'!$B$59)*('Total Trip Tables Sup #1'!J179/'Total Trip Tables Sup #1'!$B179)</f>
        <v>0.60551567187117838</v>
      </c>
      <c r="K69" s="1">
        <f ca="1">$B69*('Updated Population'!K$59/'Updated Population'!$B$59)*('Total Trip Tables Sup #1'!K179/'Total Trip Tables Sup #1'!$B179)</f>
        <v>0.61055776155652819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OFFSET(Taranaki_Reference,0,5)</f>
        <v>23.308571313000002</v>
      </c>
      <c r="C71" s="4">
        <f ca="1">$B71*('Updated Population'!C$70/'Updated Population'!$B$70)*('Total Trip Tables Sup #1'!C170/'Total Trip Tables Sup #1'!$B170)</f>
        <v>24.830441311880751</v>
      </c>
      <c r="D71" s="4">
        <f ca="1">$B71*('Updated Population'!D$70/'Updated Population'!$B$70)*('Total Trip Tables Sup #1'!D170/'Total Trip Tables Sup #1'!$B170)</f>
        <v>25.724416524140075</v>
      </c>
      <c r="E71" s="4">
        <f ca="1">$B71*('Updated Population'!E$70/'Updated Population'!$B$70)*('Total Trip Tables Sup #1'!E170/'Total Trip Tables Sup #1'!$B170)</f>
        <v>26.190418413567507</v>
      </c>
      <c r="F71" s="4">
        <f ca="1">$B71*('Updated Population'!F$70/'Updated Population'!$B$70)*('Total Trip Tables Sup #1'!F170/'Total Trip Tables Sup #1'!$B170)</f>
        <v>26.418389863707201</v>
      </c>
      <c r="G71" s="4">
        <f ca="1">$B71*('Updated Population'!G$70/'Updated Population'!$B$70)*('Total Trip Tables Sup #1'!G170/'Total Trip Tables Sup #1'!$B170)</f>
        <v>26.51011841056868</v>
      </c>
      <c r="H71" s="4">
        <f ca="1">$B71*('Updated Population'!H$70/'Updated Population'!$B$70)*('Total Trip Tables Sup #1'!H170/'Total Trip Tables Sup #1'!$B170)</f>
        <v>26.510995012051534</v>
      </c>
      <c r="I71" s="1">
        <f ca="1">$B71*('Updated Population'!I$70/'Updated Population'!$B$70)*('Total Trip Tables Sup #1'!I170/'Total Trip Tables Sup #1'!$B170)</f>
        <v>27.068151376219763</v>
      </c>
      <c r="J71" s="1">
        <f ca="1">$B71*('Updated Population'!J$70/'Updated Population'!$B$70)*('Total Trip Tables Sup #1'!J170/'Total Trip Tables Sup #1'!$B170)</f>
        <v>27.560867700910666</v>
      </c>
      <c r="K71" s="1">
        <f ca="1">$B71*('Updated Population'!K$70/'Updated Population'!$B$70)*('Total Trip Tables Sup #1'!K170/'Total Trip Tables Sup #1'!$B170)</f>
        <v>28.014289052622345</v>
      </c>
    </row>
    <row r="72" spans="1:11" x14ac:dyDescent="0.2">
      <c r="A72" t="str">
        <f ca="1">OFFSET(Taranaki_Reference,7,2)</f>
        <v>Cyclist</v>
      </c>
      <c r="B72" s="4">
        <f ca="1">OFFSET(Taranaki_Reference,7,5)</f>
        <v>2.1611397319000001</v>
      </c>
      <c r="C72" s="4">
        <f ca="1">$B72*('Updated Population'!C$70/'Updated Population'!$B$70)*('Total Trip Tables Sup #1'!C171/'Total Trip Tables Sup #1'!$B171)</f>
        <v>2.3021625022212286</v>
      </c>
      <c r="D72" s="4">
        <f ca="1">$B72*('Updated Population'!D$70/'Updated Population'!$B$70)*('Total Trip Tables Sup #1'!D171/'Total Trip Tables Sup #1'!$B171)</f>
        <v>2.3668279863544615</v>
      </c>
      <c r="E72" s="4">
        <f ca="1">$B72*('Updated Population'!E$70/'Updated Population'!$B$70)*('Total Trip Tables Sup #1'!E171/'Total Trip Tables Sup #1'!$B171)</f>
        <v>2.3858726191192847</v>
      </c>
      <c r="F72" s="4">
        <f ca="1">$B72*('Updated Population'!F$70/'Updated Population'!$B$70)*('Total Trip Tables Sup #1'!F171/'Total Trip Tables Sup #1'!$B171)</f>
        <v>2.4026771073959385</v>
      </c>
      <c r="G72" s="4">
        <f ca="1">$B72*('Updated Population'!G$70/'Updated Population'!$B$70)*('Total Trip Tables Sup #1'!G171/'Total Trip Tables Sup #1'!$B171)</f>
        <v>2.4154459280053957</v>
      </c>
      <c r="H72" s="4">
        <f ca="1">$B72*('Updated Population'!H$70/'Updated Population'!$B$70)*('Total Trip Tables Sup #1'!H171/'Total Trip Tables Sup #1'!$B171)</f>
        <v>2.426544428776169</v>
      </c>
      <c r="I72" s="1">
        <f ca="1">$B72*('Updated Population'!I$70/'Updated Population'!$B$70)*('Total Trip Tables Sup #1'!I171/'Total Trip Tables Sup #1'!$B171)</f>
        <v>2.4775408048388186</v>
      </c>
      <c r="J72" s="1">
        <f ca="1">$B72*('Updated Population'!J$70/'Updated Population'!$B$70)*('Total Trip Tables Sup #1'!J171/'Total Trip Tables Sup #1'!$B171)</f>
        <v>2.5226390009684723</v>
      </c>
      <c r="K72" s="1">
        <f ca="1">$B72*('Updated Population'!K$70/'Updated Population'!$B$70)*('Total Trip Tables Sup #1'!K171/'Total Trip Tables Sup #1'!$B171)</f>
        <v>2.5641405385148368</v>
      </c>
    </row>
    <row r="73" spans="1:11" x14ac:dyDescent="0.2">
      <c r="A73" t="str">
        <f ca="1">OFFSET(Taranaki_Reference,14,2)</f>
        <v>Light Vehicle Driver</v>
      </c>
      <c r="B73" s="4">
        <f ca="1">OFFSET(Taranaki_Reference,14,5)</f>
        <v>90.801950900999998</v>
      </c>
      <c r="C73" s="4">
        <f ca="1">$B73*('Updated Population'!C$70/'Updated Population'!$B$70)*('Total Trip Tables Sup #1'!C172/'Total Trip Tables Sup #1'!$B172)</f>
        <v>99.131082580461111</v>
      </c>
      <c r="D73" s="4">
        <f ca="1">$B73*('Updated Population'!D$70/'Updated Population'!$B$70)*('Total Trip Tables Sup #1'!D172/'Total Trip Tables Sup #1'!$B172)</f>
        <v>104.26320095755911</v>
      </c>
      <c r="E73" s="4">
        <f ca="1">$B73*('Updated Population'!E$70/'Updated Population'!$B$70)*('Total Trip Tables Sup #1'!E172/'Total Trip Tables Sup #1'!$B172)</f>
        <v>108.8412667033973</v>
      </c>
      <c r="F73" s="4">
        <f ca="1">$B73*('Updated Population'!F$70/'Updated Population'!$B$70)*('Total Trip Tables Sup #1'!F172/'Total Trip Tables Sup #1'!$B172)</f>
        <v>112.93181514579013</v>
      </c>
      <c r="G73" s="4">
        <f ca="1">$B73*('Updated Population'!G$70/'Updated Population'!$B$70)*('Total Trip Tables Sup #1'!G172/'Total Trip Tables Sup #1'!$B172)</f>
        <v>115.793862121833</v>
      </c>
      <c r="H73" s="4">
        <f ca="1">$B73*('Updated Population'!H$70/'Updated Population'!$B$70)*('Total Trip Tables Sup #1'!H172/'Total Trip Tables Sup #1'!$B172)</f>
        <v>118.1954485934742</v>
      </c>
      <c r="I73" s="1">
        <f ca="1">$B73*('Updated Population'!I$70/'Updated Population'!$B$70)*('Total Trip Tables Sup #1'!I172/'Total Trip Tables Sup #1'!$B172)</f>
        <v>120.67944990574622</v>
      </c>
      <c r="J73" s="1">
        <f ca="1">$B73*('Updated Population'!J$70/'Updated Population'!$B$70)*('Total Trip Tables Sup #1'!J172/'Total Trip Tables Sup #1'!$B172)</f>
        <v>122.87615459373305</v>
      </c>
      <c r="K73" s="1">
        <f ca="1">$B73*('Updated Population'!K$70/'Updated Population'!$B$70)*('Total Trip Tables Sup #1'!K172/'Total Trip Tables Sup #1'!$B172)</f>
        <v>124.8976683107044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OFFSET(Taranaki_Reference,21,5)</f>
        <v>45.48406773</v>
      </c>
      <c r="C74" s="4">
        <f ca="1">$B74*('Updated Population'!C$70/'Updated Population'!$B$70)*('Total Trip Tables Sup #1'!C173/'Total Trip Tables Sup #1'!$B173)</f>
        <v>47.370018482128501</v>
      </c>
      <c r="D74" s="4">
        <f ca="1">$B74*('Updated Population'!D$70/'Updated Population'!$B$70)*('Total Trip Tables Sup #1'!D173/'Total Trip Tables Sup #1'!$B173)</f>
        <v>48.456693890189683</v>
      </c>
      <c r="E74" s="4">
        <f ca="1">$B74*('Updated Population'!E$70/'Updated Population'!$B$70)*('Total Trip Tables Sup #1'!E173/'Total Trip Tables Sup #1'!$B173)</f>
        <v>49.157120095173305</v>
      </c>
      <c r="F74" s="4">
        <f ca="1">$B74*('Updated Population'!F$70/'Updated Population'!$B$70)*('Total Trip Tables Sup #1'!F173/'Total Trip Tables Sup #1'!$B173)</f>
        <v>49.712274295889166</v>
      </c>
      <c r="G74" s="4">
        <f ca="1">$B74*('Updated Population'!G$70/'Updated Population'!$B$70)*('Total Trip Tables Sup #1'!G173/'Total Trip Tables Sup #1'!$B173)</f>
        <v>49.949637199754683</v>
      </c>
      <c r="H74" s="4">
        <f ca="1">$B74*('Updated Population'!H$70/'Updated Population'!$B$70)*('Total Trip Tables Sup #1'!H173/'Total Trip Tables Sup #1'!$B173)</f>
        <v>49.959369020839439</v>
      </c>
      <c r="I74" s="1">
        <f ca="1">$B74*('Updated Population'!I$70/'Updated Population'!$B$70)*('Total Trip Tables Sup #1'!I173/'Total Trip Tables Sup #1'!$B173)</f>
        <v>51.009317556801079</v>
      </c>
      <c r="J74" s="1">
        <f ca="1">$B74*('Updated Population'!J$70/'Updated Population'!$B$70)*('Total Trip Tables Sup #1'!J173/'Total Trip Tables Sup #1'!$B173)</f>
        <v>51.937830299405967</v>
      </c>
      <c r="K74" s="1">
        <f ca="1">$B74*('Updated Population'!K$70/'Updated Population'!$B$70)*('Total Trip Tables Sup #1'!K173/'Total Trip Tables Sup #1'!$B173)</f>
        <v>52.792292556359889</v>
      </c>
    </row>
    <row r="75" spans="1:11" x14ac:dyDescent="0.2">
      <c r="A75" t="str">
        <f ca="1">OFFSET(Taranaki_Reference,28,2)</f>
        <v>Taxi/Vehicle Share</v>
      </c>
      <c r="B75" s="4">
        <f ca="1">OFFSET(Taranaki_Reference,28,5)</f>
        <v>0.56194422089999996</v>
      </c>
      <c r="C75" s="4">
        <f ca="1">$B75*('Updated Population'!C$70/'Updated Population'!$B$70)*('Total Trip Tables Sup #1'!C174/'Total Trip Tables Sup #1'!$B174)</f>
        <v>0.64112615365542225</v>
      </c>
      <c r="D75" s="4">
        <f ca="1">$B75*('Updated Population'!D$70/'Updated Population'!$B$70)*('Total Trip Tables Sup #1'!D174/'Total Trip Tables Sup #1'!$B174)</f>
        <v>0.6989368151599411</v>
      </c>
      <c r="E75" s="4">
        <f ca="1">$B75*('Updated Population'!E$70/'Updated Population'!$B$70)*('Total Trip Tables Sup #1'!E174/'Total Trip Tables Sup #1'!$B174)</f>
        <v>0.74186600555814941</v>
      </c>
      <c r="F75" s="4">
        <f ca="1">$B75*('Updated Population'!F$70/'Updated Population'!$B$70)*('Total Trip Tables Sup #1'!F174/'Total Trip Tables Sup #1'!$B174)</f>
        <v>0.77723291443321441</v>
      </c>
      <c r="G75" s="4">
        <f ca="1">$B75*('Updated Population'!G$70/'Updated Population'!$B$70)*('Total Trip Tables Sup #1'!G174/'Total Trip Tables Sup #1'!$B174)</f>
        <v>0.80075239201631732</v>
      </c>
      <c r="H75" s="4">
        <f ca="1">$B75*('Updated Population'!H$70/'Updated Population'!$B$70)*('Total Trip Tables Sup #1'!H174/'Total Trip Tables Sup #1'!$B174)</f>
        <v>0.82232545682627833</v>
      </c>
      <c r="I75" s="1">
        <f ca="1">$B75*('Updated Population'!I$70/'Updated Population'!$B$70)*('Total Trip Tables Sup #1'!I174/'Total Trip Tables Sup #1'!$B174)</f>
        <v>0.83960748873341839</v>
      </c>
      <c r="J75" s="1">
        <f ca="1">$B75*('Updated Population'!J$70/'Updated Population'!$B$70)*('Total Trip Tables Sup #1'!J174/'Total Trip Tables Sup #1'!$B174)</f>
        <v>0.85489070147601909</v>
      </c>
      <c r="K75" s="1">
        <f ca="1">$B75*('Updated Population'!K$70/'Updated Population'!$B$70)*('Total Trip Tables Sup #1'!K174/'Total Trip Tables Sup #1'!$B174)</f>
        <v>0.86895505175829257</v>
      </c>
    </row>
    <row r="76" spans="1:11" x14ac:dyDescent="0.2">
      <c r="A76" t="str">
        <f ca="1">OFFSET(Taranaki_Reference,35,2)</f>
        <v>Motorcyclist</v>
      </c>
      <c r="B76" s="4">
        <f ca="1">OFFSET(Taranaki_Reference,35,5)</f>
        <v>1.091812341</v>
      </c>
      <c r="C76" s="4">
        <f ca="1">$B76*('Updated Population'!C$70/'Updated Population'!$B$70)*('Total Trip Tables Sup #1'!C175/'Total Trip Tables Sup #1'!$B175)</f>
        <v>1.1608013544085556</v>
      </c>
      <c r="D76" s="4">
        <f ca="1">$B76*('Updated Population'!D$70/'Updated Population'!$B$70)*('Total Trip Tables Sup #1'!D175/'Total Trip Tables Sup #1'!$B175)</f>
        <v>1.1906659907021535</v>
      </c>
      <c r="E76" s="4">
        <f ca="1">$B76*('Updated Population'!E$70/'Updated Population'!$B$70)*('Total Trip Tables Sup #1'!E175/'Total Trip Tables Sup #1'!$B175)</f>
        <v>1.2112129000081828</v>
      </c>
      <c r="F76" s="4">
        <f ca="1">$B76*('Updated Population'!F$70/'Updated Population'!$B$70)*('Total Trip Tables Sup #1'!F175/'Total Trip Tables Sup #1'!$B175)</f>
        <v>1.2236892873478875</v>
      </c>
      <c r="G76" s="4">
        <f ca="1">$B76*('Updated Population'!G$70/'Updated Population'!$B$70)*('Total Trip Tables Sup #1'!G175/'Total Trip Tables Sup #1'!$B175)</f>
        <v>1.2150598798499961</v>
      </c>
      <c r="H76" s="4">
        <f ca="1">$B76*('Updated Population'!H$70/'Updated Population'!$B$70)*('Total Trip Tables Sup #1'!H175/'Total Trip Tables Sup #1'!$B175)</f>
        <v>1.1989742036478876</v>
      </c>
      <c r="I76" s="1">
        <f ca="1">$B76*('Updated Population'!I$70/'Updated Population'!$B$70)*('Total Trip Tables Sup #1'!I175/'Total Trip Tables Sup #1'!$B175)</f>
        <v>1.2241719039881536</v>
      </c>
      <c r="J76" s="1">
        <f ca="1">$B76*('Updated Population'!J$70/'Updated Population'!$B$70)*('Total Trip Tables Sup #1'!J175/'Total Trip Tables Sup #1'!$B175)</f>
        <v>1.2464552684092942</v>
      </c>
      <c r="K76" s="1">
        <f ca="1">$B76*('Updated Population'!K$70/'Updated Population'!$B$70)*('Total Trip Tables Sup #1'!K175/'Total Trip Tables Sup #1'!$B175)</f>
        <v>1.2669614962531879</v>
      </c>
    </row>
    <row r="77" spans="1:11" x14ac:dyDescent="0.2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Trip Tables Sup #1'!C176/'Total Trip Tables Sup #1'!$B176)</f>
        <v>0</v>
      </c>
      <c r="D77" s="4">
        <f ca="1">$B77*('Updated Population'!D$70/'Updated Population'!$B$70)*('Total Trip Tables Sup #1'!D176/'Total Trip Tables Sup #1'!$B176)</f>
        <v>0</v>
      </c>
      <c r="E77" s="4">
        <f ca="1">$B77*('Updated Population'!E$70/'Updated Population'!$B$70)*('Total Trip Tables Sup #1'!E176/'Total Trip Tables Sup #1'!$B176)</f>
        <v>0</v>
      </c>
      <c r="F77" s="4">
        <f ca="1">$B77*('Updated Population'!F$70/'Updated Population'!$B$70)*('Total Trip Tables Sup #1'!F176/'Total Trip Tables Sup #1'!$B176)</f>
        <v>0</v>
      </c>
      <c r="G77" s="4">
        <f ca="1">$B77*('Updated Population'!G$70/'Updated Population'!$B$70)*('Total Trip Tables Sup #1'!G176/'Total Trip Tables Sup #1'!$B176)</f>
        <v>0</v>
      </c>
      <c r="H77" s="4">
        <f ca="1">$B77*('Updated Population'!H$70/'Updated Population'!$B$70)*('Total Trip Tables Sup #1'!H176/'Total Trip Tables Sup #1'!$B176)</f>
        <v>0</v>
      </c>
      <c r="I77" s="1">
        <f ca="1">$B77*('Updated Population'!I$70/'Updated Population'!$B$70)*('Total Trip Tables Sup #1'!I176/'Total Trip Tables Sup #1'!$B176)</f>
        <v>0</v>
      </c>
      <c r="J77" s="1">
        <f ca="1">$B77*('Updated Population'!J$70/'Updated Population'!$B$70)*('Total Trip Tables Sup #1'!J176/'Total Trip Tables Sup #1'!$B176)</f>
        <v>0</v>
      </c>
      <c r="K77" s="1">
        <f ca="1">$B77*('Updated Population'!K$70/'Updated Population'!$B$70)*('Total Trip Tables Sup #1'!K176/'Total Trip Tables Sup #1'!$B176)</f>
        <v>0</v>
      </c>
    </row>
    <row r="78" spans="1:11" x14ac:dyDescent="0.2">
      <c r="A78" t="str">
        <f ca="1">OFFSET(Taranaki_Reference,49,2)</f>
        <v>Local Bus</v>
      </c>
      <c r="B78" s="4">
        <f ca="1">OFFSET(Taranaki_Reference,49,5)</f>
        <v>1.2787514622</v>
      </c>
      <c r="C78" s="4">
        <f ca="1">$B78*('Updated Population'!C$70/'Updated Population'!$B$70)*('Total Trip Tables Sup #1'!C177/'Total Trip Tables Sup #1'!$B177)</f>
        <v>1.2818196571231766</v>
      </c>
      <c r="D78" s="4">
        <f ca="1">$B78*('Updated Population'!D$70/'Updated Population'!$B$70)*('Total Trip Tables Sup #1'!D177/'Total Trip Tables Sup #1'!$B177)</f>
        <v>1.2787089522733366</v>
      </c>
      <c r="E78" s="4">
        <f ca="1">$B78*('Updated Population'!E$70/'Updated Population'!$B$70)*('Total Trip Tables Sup #1'!E177/'Total Trip Tables Sup #1'!$B177)</f>
        <v>1.2834136601173045</v>
      </c>
      <c r="F78" s="4">
        <f ca="1">$B78*('Updated Population'!F$70/'Updated Population'!$B$70)*('Total Trip Tables Sup #1'!F177/'Total Trip Tables Sup #1'!$B177)</f>
        <v>1.2711716266022732</v>
      </c>
      <c r="G78" s="4">
        <f ca="1">$B78*('Updated Population'!G$70/'Updated Population'!$B$70)*('Total Trip Tables Sup #1'!G177/'Total Trip Tables Sup #1'!$B177)</f>
        <v>1.2636745488577854</v>
      </c>
      <c r="H78" s="4">
        <f ca="1">$B78*('Updated Population'!H$70/'Updated Population'!$B$70)*('Total Trip Tables Sup #1'!H177/'Total Trip Tables Sup #1'!$B177)</f>
        <v>1.2500350127475346</v>
      </c>
      <c r="I78" s="1">
        <f ca="1">$B78*('Updated Population'!I$70/'Updated Population'!$B$70)*('Total Trip Tables Sup #1'!I177/'Total Trip Tables Sup #1'!$B177)</f>
        <v>1.2763058095421778</v>
      </c>
      <c r="J78" s="1">
        <f ca="1">$B78*('Updated Population'!J$70/'Updated Population'!$B$70)*('Total Trip Tables Sup #1'!J177/'Total Trip Tables Sup #1'!$B177)</f>
        <v>1.2995381573637486</v>
      </c>
      <c r="K78" s="1">
        <f ca="1">$B78*('Updated Population'!K$70/'Updated Population'!$B$70)*('Total Trip Tables Sup #1'!K177/'Total Trip Tables Sup #1'!$B177)</f>
        <v>1.3209176855523079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Trip Tables Sup #1'!C178/'Total Trip Tables Sup #1'!$B178)</f>
        <v>0</v>
      </c>
      <c r="D79" s="4">
        <f ca="1">$B79*('Updated Population'!D$70/'Updated Population'!$B$70)*('Total Trip Tables Sup #1'!D178/'Total Trip Tables Sup #1'!$B178)</f>
        <v>0</v>
      </c>
      <c r="E79" s="4">
        <f ca="1">$B79*('Updated Population'!E$70/'Updated Population'!$B$70)*('Total Trip Tables Sup #1'!E178/'Total Trip Tables Sup #1'!$B178)</f>
        <v>0</v>
      </c>
      <c r="F79" s="4">
        <f ca="1">$B79*('Updated Population'!F$70/'Updated Population'!$B$70)*('Total Trip Tables Sup #1'!F178/'Total Trip Tables Sup #1'!$B178)</f>
        <v>0</v>
      </c>
      <c r="G79" s="4">
        <f ca="1">$B79*('Updated Population'!G$70/'Updated Population'!$B$70)*('Total Trip Tables Sup #1'!G178/'Total Trip Tables Sup #1'!$B178)</f>
        <v>0</v>
      </c>
      <c r="H79" s="4">
        <f ca="1">$B79*('Updated Population'!H$70/'Updated Population'!$B$70)*('Total Trip Tables Sup #1'!H178/'Total Trip Tables Sup #1'!$B178)</f>
        <v>0</v>
      </c>
      <c r="I79" s="1">
        <f ca="1">$B79*('Updated Population'!I$70/'Updated Population'!$B$70)*('Total Trip Tables Sup #1'!I178/'Total Trip Tables Sup #1'!$B178)</f>
        <v>0</v>
      </c>
      <c r="J79" s="1">
        <f ca="1">$B79*('Updated Population'!J$70/'Updated Population'!$B$70)*('Total Trip Tables Sup #1'!J178/'Total Trip Tables Sup #1'!$B178)</f>
        <v>0</v>
      </c>
      <c r="K79" s="1">
        <f ca="1">$B79*('Updated Population'!K$70/'Updated Population'!$B$70)*('Total Trip Tables Sup #1'!K178/'Total Trip Tables Sup #1'!$B178)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OFFSET(Taranaki_Reference,56,5)</f>
        <v>0.17475937220000001</v>
      </c>
      <c r="C80" s="4">
        <f ca="1">$B80*('Updated Population'!C$70/'Updated Population'!$B$70)*('Total Trip Tables Sup #1'!C179/'Total Trip Tables Sup #1'!$B179)</f>
        <v>0.18767533444474596</v>
      </c>
      <c r="D80" s="4">
        <f ca="1">$B80*('Updated Population'!D$70/'Updated Population'!$B$70)*('Total Trip Tables Sup #1'!D179/'Total Trip Tables Sup #1'!$B179)</f>
        <v>0.19886715486535794</v>
      </c>
      <c r="E80" s="4">
        <f ca="1">$B80*('Updated Population'!E$70/'Updated Population'!$B$70)*('Total Trip Tables Sup #1'!E179/'Total Trip Tables Sup #1'!$B179)</f>
        <v>0.20739769981323261</v>
      </c>
      <c r="F80" s="4">
        <f ca="1">$B80*('Updated Population'!F$70/'Updated Population'!$B$70)*('Total Trip Tables Sup #1'!F179/'Total Trip Tables Sup #1'!$B179)</f>
        <v>0.21420743758191105</v>
      </c>
      <c r="G80" s="4">
        <f ca="1">$B80*('Updated Population'!G$70/'Updated Population'!$B$70)*('Total Trip Tables Sup #1'!G179/'Total Trip Tables Sup #1'!$B179)</f>
        <v>0.21931750276217046</v>
      </c>
      <c r="H80" s="4">
        <f ca="1">$B80*('Updated Population'!H$70/'Updated Population'!$B$70)*('Total Trip Tables Sup #1'!H179/'Total Trip Tables Sup #1'!$B179)</f>
        <v>0.22146397913398624</v>
      </c>
      <c r="I80" s="1">
        <f ca="1">$B80*('Updated Population'!I$70/'Updated Population'!$B$70)*('Total Trip Tables Sup #1'!I179/'Total Trip Tables Sup #1'!$B179)</f>
        <v>0.22611827692071318</v>
      </c>
      <c r="J80" s="1">
        <f ca="1">$B80*('Updated Population'!J$70/'Updated Population'!$B$70)*('Total Trip Tables Sup #1'!J179/'Total Trip Tables Sup #1'!$B179)</f>
        <v>0.23023426418564669</v>
      </c>
      <c r="K80" s="1">
        <f ca="1">$B80*('Updated Population'!K$70/'Updated Population'!$B$70)*('Total Trip Tables Sup #1'!K179/'Total Trip Tables Sup #1'!$B179)</f>
        <v>0.23402199439828986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OFFSET(Manawatu_Reference,0,5)</f>
        <v>39.544031846000003</v>
      </c>
      <c r="C82" s="4">
        <f ca="1">$B82*('Updated Population'!C$81/'Updated Population'!$B$81)*('Total Trip Tables Sup #1'!C170/'Total Trip Tables Sup #1'!$B170)</f>
        <v>41.300442177684232</v>
      </c>
      <c r="D82" s="4">
        <f ca="1">$B82*('Updated Population'!D$81/'Updated Population'!$B$81)*('Total Trip Tables Sup #1'!D170/'Total Trip Tables Sup #1'!$B170)</f>
        <v>41.918462318851262</v>
      </c>
      <c r="E82" s="4">
        <f ca="1">$B82*('Updated Population'!E$81/'Updated Population'!$B$81)*('Total Trip Tables Sup #1'!E170/'Total Trip Tables Sup #1'!$B170)</f>
        <v>41.944424571858725</v>
      </c>
      <c r="F82" s="4">
        <f ca="1">$B82*('Updated Population'!F$81/'Updated Population'!$B$81)*('Total Trip Tables Sup #1'!F170/'Total Trip Tables Sup #1'!$B170)</f>
        <v>41.544254245569903</v>
      </c>
      <c r="G82" s="4">
        <f ca="1">$B82*('Updated Population'!G$81/'Updated Population'!$B$81)*('Total Trip Tables Sup #1'!G170/'Total Trip Tables Sup #1'!$B170)</f>
        <v>40.916186196605494</v>
      </c>
      <c r="H82" s="4">
        <f ca="1">$B82*('Updated Population'!H$81/'Updated Population'!$B$81)*('Total Trip Tables Sup #1'!H170/'Total Trip Tables Sup #1'!$B170)</f>
        <v>40.115282412607918</v>
      </c>
      <c r="I82" s="1">
        <f ca="1">$B82*('Updated Population'!I$81/'Updated Population'!$B$81)*('Total Trip Tables Sup #1'!I170/'Total Trip Tables Sup #1'!$B170)</f>
        <v>40.159787394552545</v>
      </c>
      <c r="J82" s="1">
        <f ca="1">$B82*('Updated Population'!J$81/'Updated Population'!$B$81)*('Total Trip Tables Sup #1'!J170/'Total Trip Tables Sup #1'!$B170)</f>
        <v>40.098789283593796</v>
      </c>
      <c r="K82" s="1">
        <f ca="1">$B82*('Updated Population'!K$81/'Updated Population'!$B$81)*('Total Trip Tables Sup #1'!K170/'Total Trip Tables Sup #1'!$B170)</f>
        <v>39.974975260673631</v>
      </c>
    </row>
    <row r="83" spans="1:11" x14ac:dyDescent="0.2">
      <c r="A83" t="str">
        <f ca="1">OFFSET(Manawatu_Reference,7,2)</f>
        <v>Cyclist</v>
      </c>
      <c r="B83" s="4">
        <f ca="1">OFFSET(Manawatu_Reference,7,5)</f>
        <v>4.6745036201000003</v>
      </c>
      <c r="C83" s="4">
        <f ca="1">$B83*('Updated Population'!C$81/'Updated Population'!$B$81)*('Total Trip Tables Sup #1'!C171/'Total Trip Tables Sup #1'!$B171)</f>
        <v>4.8819530538404123</v>
      </c>
      <c r="D83" s="4">
        <f ca="1">$B83*('Updated Population'!D$81/'Updated Population'!$B$81)*('Total Trip Tables Sup #1'!D171/'Total Trip Tables Sup #1'!$B171)</f>
        <v>4.9171546332119416</v>
      </c>
      <c r="E83" s="4">
        <f ca="1">$B83*('Updated Population'!E$81/'Updated Population'!$B$81)*('Total Trip Tables Sup #1'!E171/'Total Trip Tables Sup #1'!$B171)</f>
        <v>4.8715416182086173</v>
      </c>
      <c r="F83" s="4">
        <f ca="1">$B83*('Updated Population'!F$81/'Updated Population'!$B$81)*('Total Trip Tables Sup #1'!F171/'Total Trip Tables Sup #1'!$B171)</f>
        <v>4.8171191980747885</v>
      </c>
      <c r="G83" s="4">
        <f ca="1">$B83*('Updated Population'!G$81/'Updated Population'!$B$81)*('Total Trip Tables Sup #1'!G171/'Total Trip Tables Sup #1'!$B171)</f>
        <v>4.7530037670220588</v>
      </c>
      <c r="H83" s="4">
        <f ca="1">$B83*('Updated Population'!H$81/'Updated Population'!$B$81)*('Total Trip Tables Sup #1'!H171/'Total Trip Tables Sup #1'!$B171)</f>
        <v>4.6812241123919804</v>
      </c>
      <c r="I83" s="1">
        <f ca="1">$B83*('Updated Population'!I$81/'Updated Population'!$B$81)*('Total Trip Tables Sup #1'!I171/'Total Trip Tables Sup #1'!$B171)</f>
        <v>4.6864175893431801</v>
      </c>
      <c r="J83" s="1">
        <f ca="1">$B83*('Updated Population'!J$81/'Updated Population'!$B$81)*('Total Trip Tables Sup #1'!J171/'Total Trip Tables Sup #1'!$B171)</f>
        <v>4.679299458529754</v>
      </c>
      <c r="K83" s="1">
        <f ca="1">$B83*('Updated Population'!K$81/'Updated Population'!$B$81)*('Total Trip Tables Sup #1'!K171/'Total Trip Tables Sup #1'!$B171)</f>
        <v>4.6648510699185364</v>
      </c>
    </row>
    <row r="84" spans="1:11" x14ac:dyDescent="0.2">
      <c r="A84" t="str">
        <f ca="1">OFFSET(Manawatu_Reference,14,2)</f>
        <v>Light Vehicle Driver</v>
      </c>
      <c r="B84" s="4">
        <f ca="1">OFFSET(Manawatu_Reference,14,5)</f>
        <v>178.69640117</v>
      </c>
      <c r="C84" s="4">
        <f ca="1">$B84*('Updated Population'!C$81/'Updated Population'!$B$81)*('Total Trip Tables Sup #1'!C172/'Total Trip Tables Sup #1'!$B172)</f>
        <v>191.26497409073821</v>
      </c>
      <c r="D84" s="4">
        <f ca="1">$B84*('Updated Population'!D$81/'Updated Population'!$B$81)*('Total Trip Tables Sup #1'!D172/'Total Trip Tables Sup #1'!$B172)</f>
        <v>197.08165385324915</v>
      </c>
      <c r="E84" s="4">
        <f ca="1">$B84*('Updated Population'!E$81/'Updated Population'!$B$81)*('Total Trip Tables Sup #1'!E172/'Total Trip Tables Sup #1'!$B172)</f>
        <v>202.19980176678584</v>
      </c>
      <c r="F84" s="4">
        <f ca="1">$B84*('Updated Population'!F$81/'Updated Population'!$B$81)*('Total Trip Tables Sup #1'!F172/'Total Trip Tables Sup #1'!$B172)</f>
        <v>206.00429022008103</v>
      </c>
      <c r="G84" s="4">
        <f ca="1">$B84*('Updated Population'!G$81/'Updated Population'!$B$81)*('Total Trip Tables Sup #1'!G172/'Total Trip Tables Sup #1'!$B172)</f>
        <v>207.3119573192416</v>
      </c>
      <c r="H84" s="4">
        <f ca="1">$B84*('Updated Population'!H$81/'Updated Population'!$B$81)*('Total Trip Tables Sup #1'!H172/'Total Trip Tables Sup #1'!$B172)</f>
        <v>207.46264627141005</v>
      </c>
      <c r="I84" s="1">
        <f ca="1">$B84*('Updated Population'!I$81/'Updated Population'!$B$81)*('Total Trip Tables Sup #1'!I172/'Total Trip Tables Sup #1'!$B172)</f>
        <v>207.69281095606874</v>
      </c>
      <c r="J84" s="1">
        <f ca="1">$B84*('Updated Population'!J$81/'Updated Population'!$B$81)*('Total Trip Tables Sup #1'!J172/'Total Trip Tables Sup #1'!$B172)</f>
        <v>207.37734939738152</v>
      </c>
      <c r="K84" s="1">
        <f ca="1">$B84*('Updated Population'!K$81/'Updated Population'!$B$81)*('Total Trip Tables Sup #1'!K172/'Total Trip Tables Sup #1'!$B172)</f>
        <v>206.73702522924219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OFFSET(Manawatu_Reference,21,5)</f>
        <v>84.046137802999993</v>
      </c>
      <c r="C85" s="4">
        <f ca="1">$B85*('Updated Population'!C$81/'Updated Population'!$B$81)*('Total Trip Tables Sup #1'!C173/'Total Trip Tables Sup #1'!$B173)</f>
        <v>85.815747131515906</v>
      </c>
      <c r="D85" s="4">
        <f ca="1">$B85*('Updated Population'!D$81/'Updated Population'!$B$81)*('Total Trip Tables Sup #1'!D173/'Total Trip Tables Sup #1'!$B173)</f>
        <v>86.001645455180451</v>
      </c>
      <c r="E85" s="4">
        <f ca="1">$B85*('Updated Population'!E$81/'Updated Population'!$B$81)*('Total Trip Tables Sup #1'!E173/'Total Trip Tables Sup #1'!$B173)</f>
        <v>85.745513644108314</v>
      </c>
      <c r="F85" s="4">
        <f ca="1">$B85*('Updated Population'!F$81/'Updated Population'!$B$81)*('Total Trip Tables Sup #1'!F173/'Total Trip Tables Sup #1'!$B173)</f>
        <v>85.145446140049302</v>
      </c>
      <c r="G85" s="4">
        <f ca="1">$B85*('Updated Population'!G$81/'Updated Population'!$B$81)*('Total Trip Tables Sup #1'!G173/'Total Trip Tables Sup #1'!$B173)</f>
        <v>83.967067803965818</v>
      </c>
      <c r="H85" s="4">
        <f ca="1">$B85*('Updated Population'!H$81/'Updated Population'!$B$81)*('Total Trip Tables Sup #1'!H173/'Total Trip Tables Sup #1'!$B173)</f>
        <v>82.336791866068992</v>
      </c>
      <c r="I85" s="1">
        <f ca="1">$B85*('Updated Population'!I$81/'Updated Population'!$B$81)*('Total Trip Tables Sup #1'!I173/'Total Trip Tables Sup #1'!$B173)</f>
        <v>82.428138535342995</v>
      </c>
      <c r="J85" s="1">
        <f ca="1">$B85*('Updated Population'!J$81/'Updated Population'!$B$81)*('Total Trip Tables Sup #1'!J173/'Total Trip Tables Sup #1'!$B173)</f>
        <v>82.302939646934931</v>
      </c>
      <c r="K85" s="1">
        <f ca="1">$B85*('Updated Population'!K$81/'Updated Population'!$B$81)*('Total Trip Tables Sup #1'!K173/'Total Trip Tables Sup #1'!$B173)</f>
        <v>82.04881082564377</v>
      </c>
    </row>
    <row r="86" spans="1:11" x14ac:dyDescent="0.2">
      <c r="A86" t="str">
        <f ca="1">OFFSET(Manawatu_Reference,28,2)</f>
        <v>Taxi/Vehicle Share</v>
      </c>
      <c r="B86" s="4">
        <f ca="1">OFFSET(Manawatu_Reference,28,5)</f>
        <v>0.99874441920000001</v>
      </c>
      <c r="C86" s="4">
        <f ca="1">$B86*('Updated Population'!C$81/'Updated Population'!$B$81)*('Total Trip Tables Sup #1'!C174/'Total Trip Tables Sup #1'!$B174)</f>
        <v>1.1171451906587808</v>
      </c>
      <c r="D86" s="4">
        <f ca="1">$B86*('Updated Population'!D$81/'Updated Population'!$B$81)*('Total Trip Tables Sup #1'!D174/'Total Trip Tables Sup #1'!$B174)</f>
        <v>1.1931460025106744</v>
      </c>
      <c r="E86" s="4">
        <f ca="1">$B86*('Updated Population'!E$81/'Updated Population'!$B$81)*('Total Trip Tables Sup #1'!E174/'Total Trip Tables Sup #1'!$B174)</f>
        <v>1.2446668950649584</v>
      </c>
      <c r="F86" s="4">
        <f ca="1">$B86*('Updated Population'!F$81/'Updated Population'!$B$81)*('Total Trip Tables Sup #1'!F174/'Total Trip Tables Sup #1'!$B174)</f>
        <v>1.2804177029925903</v>
      </c>
      <c r="G86" s="4">
        <f ca="1">$B86*('Updated Population'!G$81/'Updated Population'!$B$81)*('Total Trip Tables Sup #1'!G174/'Total Trip Tables Sup #1'!$B174)</f>
        <v>1.2947251581817394</v>
      </c>
      <c r="H86" s="4">
        <f ca="1">$B86*('Updated Population'!H$81/'Updated Population'!$B$81)*('Total Trip Tables Sup #1'!H174/'Total Trip Tables Sup #1'!$B174)</f>
        <v>1.303537185317422</v>
      </c>
      <c r="I86" s="1">
        <f ca="1">$B86*('Updated Population'!I$81/'Updated Population'!$B$81)*('Total Trip Tables Sup #1'!I174/'Total Trip Tables Sup #1'!$B174)</f>
        <v>1.3049833648133058</v>
      </c>
      <c r="J86" s="1">
        <f ca="1">$B86*('Updated Population'!J$81/'Updated Population'!$B$81)*('Total Trip Tables Sup #1'!J174/'Total Trip Tables Sup #1'!$B174)</f>
        <v>1.3030012447561412</v>
      </c>
      <c r="K86" s="1">
        <f ca="1">$B86*('Updated Population'!K$81/'Updated Population'!$B$81)*('Total Trip Tables Sup #1'!K174/'Total Trip Tables Sup #1'!$B174)</f>
        <v>1.2989779356022848</v>
      </c>
    </row>
    <row r="87" spans="1:11" x14ac:dyDescent="0.2">
      <c r="A87" t="str">
        <f ca="1">OFFSET(Manawatu_Reference,35,2)</f>
        <v>Motorcyclist</v>
      </c>
      <c r="B87" s="4">
        <f ca="1">OFFSET(Manawatu_Reference,35,5)</f>
        <v>0.79000583589999995</v>
      </c>
      <c r="C87" s="4">
        <f ca="1">$B87*('Updated Population'!C$81/'Updated Population'!$B$81)*('Total Trip Tables Sup #1'!C175/'Total Trip Tables Sup #1'!$B175)</f>
        <v>0.82346506091193894</v>
      </c>
      <c r="D87" s="4">
        <f ca="1">$B87*('Updated Population'!D$81/'Updated Population'!$B$81)*('Total Trip Tables Sup #1'!D175/'Total Trip Tables Sup #1'!$B175)</f>
        <v>0.82749764601447717</v>
      </c>
      <c r="E87" s="4">
        <f ca="1">$B87*('Updated Population'!E$81/'Updated Population'!$B$81)*('Total Trip Tables Sup #1'!E175/'Total Trip Tables Sup #1'!$B175)</f>
        <v>0.82731195394352275</v>
      </c>
      <c r="F87" s="4">
        <f ca="1">$B87*('Updated Population'!F$81/'Updated Population'!$B$81)*('Total Trip Tables Sup #1'!F175/'Total Trip Tables Sup #1'!$B175)</f>
        <v>0.82071578890751873</v>
      </c>
      <c r="G87" s="4">
        <f ca="1">$B87*('Updated Population'!G$81/'Updated Population'!$B$81)*('Total Trip Tables Sup #1'!G175/'Total Trip Tables Sup #1'!$B175)</f>
        <v>0.79983088043254225</v>
      </c>
      <c r="H87" s="4">
        <f ca="1">$B87*('Updated Population'!H$81/'Updated Population'!$B$81)*('Total Trip Tables Sup #1'!H175/'Total Trip Tables Sup #1'!$B175)</f>
        <v>0.7737678360869501</v>
      </c>
      <c r="I87" s="1">
        <f ca="1">$B87*('Updated Population'!I$81/'Updated Population'!$B$81)*('Total Trip Tables Sup #1'!I175/'Total Trip Tables Sup #1'!$B175)</f>
        <v>0.77462627510328774</v>
      </c>
      <c r="J87" s="1">
        <f ca="1">$B87*('Updated Population'!J$81/'Updated Population'!$B$81)*('Total Trip Tables Sup #1'!J175/'Total Trip Tables Sup #1'!$B175)</f>
        <v>0.77344970663652524</v>
      </c>
      <c r="K87" s="1">
        <f ca="1">$B87*('Updated Population'!K$81/'Updated Population'!$B$81)*('Total Trip Tables Sup #1'!K175/'Total Trip Tables Sup #1'!$B175)</f>
        <v>0.77106150685752917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Trip Tables Sup #1'!C176/'Total Trip Tables Sup #1'!$B176)</f>
        <v>0</v>
      </c>
      <c r="D88" s="4">
        <f ca="1">$B88*('Updated Population'!D$81/'Updated Population'!$B$81)*('Total Trip Tables Sup #1'!D176/'Total Trip Tables Sup #1'!$B176)</f>
        <v>0</v>
      </c>
      <c r="E88" s="4">
        <f ca="1">$B88*('Updated Population'!E$81/'Updated Population'!$B$81)*('Total Trip Tables Sup #1'!E176/'Total Trip Tables Sup #1'!$B176)</f>
        <v>0</v>
      </c>
      <c r="F88" s="4">
        <f ca="1">$B88*('Updated Population'!F$81/'Updated Population'!$B$81)*('Total Trip Tables Sup #1'!F176/'Total Trip Tables Sup #1'!$B176)</f>
        <v>0</v>
      </c>
      <c r="G88" s="4">
        <f ca="1">$B88*('Updated Population'!G$81/'Updated Population'!$B$81)*('Total Trip Tables Sup #1'!G176/'Total Trip Tables Sup #1'!$B176)</f>
        <v>0</v>
      </c>
      <c r="H88" s="4">
        <f ca="1">$B88*('Updated Population'!H$81/'Updated Population'!$B$81)*('Total Trip Tables Sup #1'!H176/'Total Trip Tables Sup #1'!$B176)</f>
        <v>0</v>
      </c>
      <c r="I88" s="1">
        <f ca="1">$B88*('Updated Population'!I$81/'Updated Population'!$B$81)*('Total Trip Tables Sup #1'!I176/'Total Trip Tables Sup #1'!$B176)</f>
        <v>0</v>
      </c>
      <c r="J88" s="1">
        <f ca="1">$B88*('Updated Population'!J$81/'Updated Population'!$B$81)*('Total Trip Tables Sup #1'!J176/'Total Trip Tables Sup #1'!$B176)</f>
        <v>0</v>
      </c>
      <c r="K88" s="1">
        <f ca="1">$B88*('Updated Population'!K$81/'Updated Population'!$B$81)*('Total Trip Tables Sup #1'!K176/'Total Trip Tables Sup #1'!$B176)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OFFSET(Manawatu_Reference,42,5)</f>
        <v>5.2110099151</v>
      </c>
      <c r="C89" s="4">
        <f ca="1">$B89*('Updated Population'!C$81/'Updated Population'!$B$81)*('Total Trip Tables Sup #1'!C177/'Total Trip Tables Sup #1'!$B177)</f>
        <v>5.1211518540065519</v>
      </c>
      <c r="D89" s="4">
        <f ca="1">$B89*('Updated Population'!D$81/'Updated Population'!$B$81)*('Total Trip Tables Sup #1'!D177/'Total Trip Tables Sup #1'!$B177)</f>
        <v>5.0049757706239131</v>
      </c>
      <c r="E89" s="4">
        <f ca="1">$B89*('Updated Population'!E$81/'Updated Population'!$B$81)*('Total Trip Tables Sup #1'!E177/'Total Trip Tables Sup #1'!$B177)</f>
        <v>4.937065908396022</v>
      </c>
      <c r="F89" s="4">
        <f ca="1">$B89*('Updated Population'!F$81/'Updated Population'!$B$81)*('Total Trip Tables Sup #1'!F177/'Total Trip Tables Sup #1'!$B177)</f>
        <v>4.8015259078747006</v>
      </c>
      <c r="G89" s="4">
        <f ca="1">$B89*('Updated Population'!G$81/'Updated Population'!$B$81)*('Total Trip Tables Sup #1'!G177/'Total Trip Tables Sup #1'!$B177)</f>
        <v>4.6847797824356512</v>
      </c>
      <c r="H89" s="4">
        <f ca="1">$B89*('Updated Population'!H$81/'Updated Population'!$B$81)*('Total Trip Tables Sup #1'!H177/'Total Trip Tables Sup #1'!$B177)</f>
        <v>4.5433528528314477</v>
      </c>
      <c r="I89" s="1">
        <f ca="1">$B89*('Updated Population'!I$81/'Updated Population'!$B$81)*('Total Trip Tables Sup #1'!I177/'Total Trip Tables Sup #1'!$B177)</f>
        <v>4.5483933716692206</v>
      </c>
      <c r="J89" s="1">
        <f ca="1">$B89*('Updated Population'!J$81/'Updated Population'!$B$81)*('Total Trip Tables Sup #1'!J177/'Total Trip Tables Sup #1'!$B177)</f>
        <v>4.5414848838118678</v>
      </c>
      <c r="K89" s="1">
        <f ca="1">$B89*('Updated Population'!K$81/'Updated Population'!$B$81)*('Total Trip Tables Sup #1'!K177/'Total Trip Tables Sup #1'!$B177)</f>
        <v>4.5274620286698068</v>
      </c>
    </row>
    <row r="90" spans="1:11" x14ac:dyDescent="0.2">
      <c r="A90" t="str">
        <f ca="1">OFFSET(Manawatu_Reference,49,2)</f>
        <v>Local Ferry</v>
      </c>
      <c r="B90" s="4">
        <f ca="1">OFFSET(Manawatu_Reference,49,5)</f>
        <v>0.1068619116</v>
      </c>
      <c r="C90" s="4">
        <f ca="1">$B90*('Updated Population'!C$81/'Updated Population'!$B$81)*('Total Trip Tables Sup #1'!C178/'Total Trip Tables Sup #1'!$B178)</f>
        <v>0.11729987024513096</v>
      </c>
      <c r="D90" s="4">
        <f ca="1">$B90*('Updated Population'!D$81/'Updated Population'!$B$81)*('Total Trip Tables Sup #1'!D178/'Total Trip Tables Sup #1'!$B178)</f>
        <v>0.12377643298094858</v>
      </c>
      <c r="E90" s="4">
        <f ca="1">$B90*('Updated Population'!E$81/'Updated Population'!$B$81)*('Total Trip Tables Sup #1'!E178/'Total Trip Tables Sup #1'!$B178)</f>
        <v>0.12630904687254726</v>
      </c>
      <c r="F90" s="4">
        <f ca="1">$B90*('Updated Population'!F$81/'Updated Population'!$B$81)*('Total Trip Tables Sup #1'!F178/'Total Trip Tables Sup #1'!$B178)</f>
        <v>0.12696556720652966</v>
      </c>
      <c r="G90" s="4">
        <f ca="1">$B90*('Updated Population'!G$81/'Updated Population'!$B$81)*('Total Trip Tables Sup #1'!G178/'Total Trip Tables Sup #1'!$B178)</f>
        <v>0.1300067752347781</v>
      </c>
      <c r="H90" s="4">
        <f ca="1">$B90*('Updated Population'!H$81/'Updated Population'!$B$81)*('Total Trip Tables Sup #1'!H178/'Total Trip Tables Sup #1'!$B178)</f>
        <v>0.13182181587845995</v>
      </c>
      <c r="I90" s="1">
        <f ca="1">$B90*('Updated Population'!I$81/'Updated Population'!$B$81)*('Total Trip Tables Sup #1'!I178/'Total Trip Tables Sup #1'!$B178)</f>
        <v>0.13196806257504895</v>
      </c>
      <c r="J90" s="1">
        <f ca="1">$B90*('Updated Population'!J$81/'Updated Population'!$B$81)*('Total Trip Tables Sup #1'!J178/'Total Trip Tables Sup #1'!$B178)</f>
        <v>0.13176761822396515</v>
      </c>
      <c r="K90" s="1">
        <f ca="1">$B90*('Updated Population'!K$81/'Updated Population'!$B$81)*('Total Trip Tables Sup #1'!K178/'Total Trip Tables Sup #1'!$B178)</f>
        <v>0.13136075609185605</v>
      </c>
    </row>
    <row r="91" spans="1:11" x14ac:dyDescent="0.2">
      <c r="A91" t="str">
        <f ca="1">OFFSET(Manawatu_Reference,56,2)</f>
        <v>Other Household Travel</v>
      </c>
      <c r="B91" s="4">
        <f ca="1">OFFSET(Manawatu_Reference,56,5)</f>
        <v>0.24513607779999999</v>
      </c>
      <c r="C91" s="4">
        <f ca="1">$B91*('Updated Population'!C$81/'Updated Population'!$B$81)*('Total Trip Tables Sup #1'!C179/'Total Trip Tables Sup #1'!$B179)</f>
        <v>0.25809460468168571</v>
      </c>
      <c r="D91" s="4">
        <f ca="1">$B91*('Updated Population'!D$81/'Updated Population'!$B$81)*('Total Trip Tables Sup #1'!D179/'Total Trip Tables Sup #1'!$B179)</f>
        <v>0.26793184526888492</v>
      </c>
      <c r="E91" s="4">
        <f ca="1">$B91*('Updated Population'!E$81/'Updated Population'!$B$81)*('Total Trip Tables Sup #1'!E179/'Total Trip Tables Sup #1'!$B179)</f>
        <v>0.27462318771993793</v>
      </c>
      <c r="F91" s="4">
        <f ca="1">$B91*('Updated Population'!F$81/'Updated Population'!$B$81)*('Total Trip Tables Sup #1'!F179/'Total Trip Tables Sup #1'!$B179)</f>
        <v>0.27850989723421499</v>
      </c>
      <c r="G91" s="4">
        <f ca="1">$B91*('Updated Population'!G$81/'Updated Population'!$B$81)*('Total Trip Tables Sup #1'!G179/'Total Trip Tables Sup #1'!$B179)</f>
        <v>0.27987121638537982</v>
      </c>
      <c r="H91" s="4">
        <f ca="1">$B91*('Updated Population'!H$81/'Updated Population'!$B$81)*('Total Trip Tables Sup #1'!H179/'Total Trip Tables Sup #1'!$B179)</f>
        <v>0.27706928835296663</v>
      </c>
      <c r="I91" s="1">
        <f ca="1">$B91*('Updated Population'!I$81/'Updated Population'!$B$81)*('Total Trip Tables Sup #1'!I179/'Total Trip Tables Sup #1'!$B179)</f>
        <v>0.27737667653357889</v>
      </c>
      <c r="J91" s="1">
        <f ca="1">$B91*('Updated Population'!J$81/'Updated Population'!$B$81)*('Total Trip Tables Sup #1'!J179/'Total Trip Tables Sup #1'!$B179)</f>
        <v>0.27695537317541274</v>
      </c>
      <c r="K91" s="1">
        <f ca="1">$B91*('Updated Population'!K$81/'Updated Population'!$B$81)*('Total Trip Tables Sup #1'!K179/'Total Trip Tables Sup #1'!$B179)</f>
        <v>0.27610021122327283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OFFSET(Wellington_Reference,0,5)</f>
        <v>182.29561206</v>
      </c>
      <c r="C93" s="4">
        <f ca="1">$B93*('Updated Population'!C$92/'Updated Population'!$B$92)*('Total Trip Tables Sup #1'!C170/'Total Trip Tables Sup #1'!$B170)</f>
        <v>195.27764975466837</v>
      </c>
      <c r="D93" s="4">
        <f ca="1">$B93*('Updated Population'!D$92/'Updated Population'!$B$92)*('Total Trip Tables Sup #1'!D170/'Total Trip Tables Sup #1'!$B170)</f>
        <v>203.07423772793319</v>
      </c>
      <c r="E93" s="4">
        <f ca="1">$B93*('Updated Population'!E$92/'Updated Population'!$B$92)*('Total Trip Tables Sup #1'!E170/'Total Trip Tables Sup #1'!$B170)</f>
        <v>207.49422157268526</v>
      </c>
      <c r="F93" s="4">
        <f ca="1">$B93*('Updated Population'!F$92/'Updated Population'!$B$92)*('Total Trip Tables Sup #1'!F170/'Total Trip Tables Sup #1'!$B170)</f>
        <v>209.87413487657403</v>
      </c>
      <c r="G93" s="4">
        <f ca="1">$B93*('Updated Population'!G$92/'Updated Population'!$B$92)*('Total Trip Tables Sup #1'!G170/'Total Trip Tables Sup #1'!$B170)</f>
        <v>211.04577641954904</v>
      </c>
      <c r="H93" s="4">
        <f ca="1">$B93*('Updated Population'!H$92/'Updated Population'!$B$92)*('Total Trip Tables Sup #1'!H170/'Total Trip Tables Sup #1'!$B170)</f>
        <v>211.3086027703809</v>
      </c>
      <c r="I93" s="1">
        <f ca="1">$B93*('Updated Population'!I$92/'Updated Population'!$B$92)*('Total Trip Tables Sup #1'!I170/'Total Trip Tables Sup #1'!$B170)</f>
        <v>215.96841254895227</v>
      </c>
      <c r="J93" s="1">
        <f ca="1">$B93*('Updated Population'!J$92/'Updated Population'!$B$92)*('Total Trip Tables Sup #1'!J170/'Total Trip Tables Sup #1'!$B170)</f>
        <v>220.08046890563878</v>
      </c>
      <c r="K93" s="1">
        <f ca="1">$B93*('Updated Population'!K$92/'Updated Population'!$B$92)*('Total Trip Tables Sup #1'!K170/'Total Trip Tables Sup #1'!$B170)</f>
        <v>223.84319517981442</v>
      </c>
    </row>
    <row r="94" spans="1:11" x14ac:dyDescent="0.2">
      <c r="A94" t="str">
        <f ca="1">OFFSET(Wellington_Reference,7,2)</f>
        <v>Cyclist</v>
      </c>
      <c r="B94" s="4">
        <f ca="1">OFFSET(Wellington_Reference,7,5)</f>
        <v>8.1327913301999999</v>
      </c>
      <c r="C94" s="4">
        <f ca="1">$B94*('Updated Population'!C$92/'Updated Population'!$B$92)*('Total Trip Tables Sup #1'!C171/'Total Trip Tables Sup #1'!$B171)</f>
        <v>8.7116475753995068</v>
      </c>
      <c r="D94" s="4">
        <f ca="1">$B94*('Updated Population'!D$92/'Updated Population'!$B$92)*('Total Trip Tables Sup #1'!D171/'Total Trip Tables Sup #1'!$B171)</f>
        <v>8.9902592513418771</v>
      </c>
      <c r="E94" s="4">
        <f ca="1">$B94*('Updated Population'!E$92/'Updated Population'!$B$92)*('Total Trip Tables Sup #1'!E171/'Total Trip Tables Sup #1'!$B171)</f>
        <v>9.0950909038083054</v>
      </c>
      <c r="F94" s="4">
        <f ca="1">$B94*('Updated Population'!F$92/'Updated Population'!$B$92)*('Total Trip Tables Sup #1'!F171/'Total Trip Tables Sup #1'!$B171)</f>
        <v>9.1842607544052619</v>
      </c>
      <c r="G94" s="4">
        <f ca="1">$B94*('Updated Population'!G$92/'Updated Population'!$B$92)*('Total Trip Tables Sup #1'!G171/'Total Trip Tables Sup #1'!$B171)</f>
        <v>9.2524881692475152</v>
      </c>
      <c r="H94" s="4">
        <f ca="1">$B94*('Updated Population'!H$92/'Updated Population'!$B$92)*('Total Trip Tables Sup #1'!H171/'Total Trip Tables Sup #1'!$B171)</f>
        <v>9.3062693640050131</v>
      </c>
      <c r="I94" s="1">
        <f ca="1">$B94*('Updated Population'!I$92/'Updated Population'!$B$92)*('Total Trip Tables Sup #1'!I171/'Total Trip Tables Sup #1'!$B171)</f>
        <v>9.5114926460477847</v>
      </c>
      <c r="J94" s="1">
        <f ca="1">$B94*('Updated Population'!J$92/'Updated Population'!$B$92)*('Total Trip Tables Sup #1'!J171/'Total Trip Tables Sup #1'!$B171)</f>
        <v>9.6925922491570713</v>
      </c>
      <c r="K94" s="1">
        <f ca="1">$B94*('Updated Population'!K$92/'Updated Population'!$B$92)*('Total Trip Tables Sup #1'!K171/'Total Trip Tables Sup #1'!$B171)</f>
        <v>9.8583069611536711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OFFSET(Wellington_Reference,14,5)</f>
        <v>377.93589692</v>
      </c>
      <c r="C95" s="4">
        <f ca="1">$B95*('Updated Population'!C$92/'Updated Population'!$B$92)*('Total Trip Tables Sup #1'!C172/'Total Trip Tables Sup #1'!$B172)</f>
        <v>414.89705660428768</v>
      </c>
      <c r="D95" s="4">
        <f ca="1">$B95*('Updated Population'!D$92/'Updated Population'!$B$92)*('Total Trip Tables Sup #1'!D172/'Total Trip Tables Sup #1'!$B172)</f>
        <v>438.02889121319129</v>
      </c>
      <c r="E95" s="4">
        <f ca="1">$B95*('Updated Population'!E$92/'Updated Population'!$B$92)*('Total Trip Tables Sup #1'!E172/'Total Trip Tables Sup #1'!$B172)</f>
        <v>458.90158864826901</v>
      </c>
      <c r="F95" s="4">
        <f ca="1">$B95*('Updated Population'!F$92/'Updated Population'!$B$92)*('Total Trip Tables Sup #1'!F172/'Total Trip Tables Sup #1'!$B172)</f>
        <v>477.45372533481259</v>
      </c>
      <c r="G95" s="4">
        <f ca="1">$B95*('Updated Population'!G$92/'Updated Population'!$B$92)*('Total Trip Tables Sup #1'!G172/'Total Trip Tables Sup #1'!$B172)</f>
        <v>490.58350379312498</v>
      </c>
      <c r="H95" s="4">
        <f ca="1">$B95*('Updated Population'!H$92/'Updated Population'!$B$92)*('Total Trip Tables Sup #1'!H172/'Total Trip Tables Sup #1'!$B172)</f>
        <v>501.36533993136845</v>
      </c>
      <c r="I95" s="1">
        <f ca="1">$B95*('Updated Population'!I$92/'Updated Population'!$B$92)*('Total Trip Tables Sup #1'!I172/'Total Trip Tables Sup #1'!$B172)</f>
        <v>512.42152544875432</v>
      </c>
      <c r="J95" s="1">
        <f ca="1">$B95*('Updated Population'!J$92/'Updated Population'!$B$92)*('Total Trip Tables Sup #1'!J172/'Total Trip Tables Sup #1'!$B172)</f>
        <v>522.17807348351357</v>
      </c>
      <c r="K95" s="1">
        <f ca="1">$B95*('Updated Population'!K$92/'Updated Population'!$B$92)*('Total Trip Tables Sup #1'!K172/'Total Trip Tables Sup #1'!$B172)</f>
        <v>531.1057769124684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OFFSET(Wellington_Reference,21,5)</f>
        <v>183.55442563</v>
      </c>
      <c r="C96" s="4">
        <f ca="1">$B96*('Updated Population'!C$92/'Updated Population'!$B$92)*('Total Trip Tables Sup #1'!C173/'Total Trip Tables Sup #1'!$B173)</f>
        <v>192.22800435918043</v>
      </c>
      <c r="D96" s="4">
        <f ca="1">$B96*('Updated Population'!D$92/'Updated Population'!$B$92)*('Total Trip Tables Sup #1'!D173/'Total Trip Tables Sup #1'!$B173)</f>
        <v>197.38224322863331</v>
      </c>
      <c r="E96" s="4">
        <f ca="1">$B96*('Updated Population'!E$92/'Updated Population'!$B$92)*('Total Trip Tables Sup #1'!E173/'Total Trip Tables Sup #1'!$B173)</f>
        <v>200.95323568300623</v>
      </c>
      <c r="F96" s="4">
        <f ca="1">$B96*('Updated Population'!F$92/'Updated Population'!$B$92)*('Total Trip Tables Sup #1'!F173/'Total Trip Tables Sup #1'!$B173)</f>
        <v>203.77983590009222</v>
      </c>
      <c r="G96" s="4">
        <f ca="1">$B96*('Updated Population'!G$92/'Updated Population'!$B$92)*('Total Trip Tables Sup #1'!G173/'Total Trip Tables Sup #1'!$B173)</f>
        <v>205.18345465281601</v>
      </c>
      <c r="H96" s="4">
        <f ca="1">$B96*('Updated Population'!H$92/'Updated Population'!$B$92)*('Total Trip Tables Sup #1'!H173/'Total Trip Tables Sup #1'!$B173)</f>
        <v>205.4722122892361</v>
      </c>
      <c r="I96" s="1">
        <f ca="1">$B96*('Updated Population'!I$92/'Updated Population'!$B$92)*('Total Trip Tables Sup #1'!I173/'Total Trip Tables Sup #1'!$B173)</f>
        <v>210.00331708808099</v>
      </c>
      <c r="J96" s="1">
        <f ca="1">$B96*('Updated Population'!J$92/'Updated Population'!$B$92)*('Total Trip Tables Sup #1'!J173/'Total Trip Tables Sup #1'!$B173)</f>
        <v>214.0017975360565</v>
      </c>
      <c r="K96" s="1">
        <f ca="1">$B96*('Updated Population'!K$92/'Updated Population'!$B$92)*('Total Trip Tables Sup #1'!K173/'Total Trip Tables Sup #1'!$B173)</f>
        <v>217.66059647588878</v>
      </c>
    </row>
    <row r="97" spans="1:11" x14ac:dyDescent="0.2">
      <c r="A97" t="str">
        <f ca="1">OFFSET(Wellington_Reference,28,2)</f>
        <v>Taxi/Vehicle Share</v>
      </c>
      <c r="B97" s="4">
        <f ca="1">OFFSET(Wellington_Reference,28,5)</f>
        <v>2.3579512121000001</v>
      </c>
      <c r="C97" s="4">
        <f ca="1">$B97*('Updated Population'!C$92/'Updated Population'!$B$92)*('Total Trip Tables Sup #1'!C174/'Total Trip Tables Sup #1'!$B174)</f>
        <v>2.70515802380047</v>
      </c>
      <c r="D97" s="4">
        <f ca="1">$B97*('Updated Population'!D$92/'Updated Population'!$B$92)*('Total Trip Tables Sup #1'!D174/'Total Trip Tables Sup #1'!$B174)</f>
        <v>2.960249118965848</v>
      </c>
      <c r="E97" s="4">
        <f ca="1">$B97*('Updated Population'!E$92/'Updated Population'!$B$92)*('Total Trip Tables Sup #1'!E174/'Total Trip Tables Sup #1'!$B174)</f>
        <v>3.1533348169248989</v>
      </c>
      <c r="F97" s="4">
        <f ca="1">$B97*('Updated Population'!F$92/'Updated Population'!$B$92)*('Total Trip Tables Sup #1'!F174/'Total Trip Tables Sup #1'!$B174)</f>
        <v>3.3127205594526279</v>
      </c>
      <c r="G97" s="4">
        <f ca="1">$B97*('Updated Population'!G$92/'Updated Population'!$B$92)*('Total Trip Tables Sup #1'!G174/'Total Trip Tables Sup #1'!$B174)</f>
        <v>3.4201431780687983</v>
      </c>
      <c r="H97" s="4">
        <f ca="1">$B97*('Updated Population'!H$92/'Updated Population'!$B$92)*('Total Trip Tables Sup #1'!H174/'Total Trip Tables Sup #1'!$B174)</f>
        <v>3.516542984671899</v>
      </c>
      <c r="I97" s="1">
        <f ca="1">$B97*('Updated Population'!I$92/'Updated Population'!$B$92)*('Total Trip Tables Sup #1'!I174/'Total Trip Tables Sup #1'!$B174)</f>
        <v>3.5940903309318482</v>
      </c>
      <c r="J97" s="1">
        <f ca="1">$B97*('Updated Population'!J$92/'Updated Population'!$B$92)*('Total Trip Tables Sup #1'!J174/'Total Trip Tables Sup #1'!$B174)</f>
        <v>3.6625221067521379</v>
      </c>
      <c r="K97" s="1">
        <f ca="1">$B97*('Updated Population'!K$92/'Updated Population'!$B$92)*('Total Trip Tables Sup #1'!K174/'Total Trip Tables Sup #1'!$B174)</f>
        <v>3.7251404219045567</v>
      </c>
    </row>
    <row r="98" spans="1:11" x14ac:dyDescent="0.2">
      <c r="A98" t="str">
        <f ca="1">OFFSET(Wellington_Reference,35,2)</f>
        <v>Motorcyclist</v>
      </c>
      <c r="B98" s="4">
        <f ca="1">OFFSET(Wellington_Reference,35,5)</f>
        <v>2.4968267649999998</v>
      </c>
      <c r="C98" s="4">
        <f ca="1">$B98*('Updated Population'!C$92/'Updated Population'!$B$92)*('Total Trip Tables Sup #1'!C175/'Total Trip Tables Sup #1'!$B175)</f>
        <v>2.6693520747848489</v>
      </c>
      <c r="D98" s="4">
        <f ca="1">$B98*('Updated Population'!D$92/'Updated Population'!$B$92)*('Total Trip Tables Sup #1'!D175/'Total Trip Tables Sup #1'!$B175)</f>
        <v>2.7483946803620549</v>
      </c>
      <c r="E98" s="4">
        <f ca="1">$B98*('Updated Population'!E$92/'Updated Population'!$B$92)*('Total Trip Tables Sup #1'!E175/'Total Trip Tables Sup #1'!$B175)</f>
        <v>2.805846506015909</v>
      </c>
      <c r="F98" s="4">
        <f ca="1">$B98*('Updated Population'!F$92/'Updated Population'!$B$92)*('Total Trip Tables Sup #1'!F175/'Total Trip Tables Sup #1'!$B175)</f>
        <v>2.8425203575769795</v>
      </c>
      <c r="G98" s="4">
        <f ca="1">$B98*('Updated Population'!G$92/'Updated Population'!$B$92)*('Total Trip Tables Sup #1'!G175/'Total Trip Tables Sup #1'!$B175)</f>
        <v>2.8284110829373446</v>
      </c>
      <c r="H98" s="4">
        <f ca="1">$B98*('Updated Population'!H$92/'Updated Population'!$B$92)*('Total Trip Tables Sup #1'!H175/'Total Trip Tables Sup #1'!$B175)</f>
        <v>2.7943502534075817</v>
      </c>
      <c r="I98" s="1">
        <f ca="1">$B98*('Updated Population'!I$92/'Updated Population'!$B$92)*('Total Trip Tables Sup #1'!I175/'Total Trip Tables Sup #1'!$B175)</f>
        <v>2.8559716945835079</v>
      </c>
      <c r="J98" s="1">
        <f ca="1">$B98*('Updated Population'!J$92/'Updated Population'!$B$92)*('Total Trip Tables Sup #1'!J175/'Total Trip Tables Sup #1'!$B175)</f>
        <v>2.9103496307947441</v>
      </c>
      <c r="K98" s="1">
        <f ca="1">$B98*('Updated Population'!K$92/'Updated Population'!$B$92)*('Total Trip Tables Sup #1'!K175/'Total Trip Tables Sup #1'!$B175)</f>
        <v>2.9601080172489458</v>
      </c>
    </row>
    <row r="99" spans="1:11" x14ac:dyDescent="0.2">
      <c r="A99" t="str">
        <f ca="1">OFFSET(Wellington_Reference,42,2)</f>
        <v>Local Train</v>
      </c>
      <c r="B99" s="4">
        <f ca="1">OFFSET(Wellington_Reference,42,5)</f>
        <v>10.165258230999999</v>
      </c>
      <c r="C99" s="4">
        <f ca="1">OFFSET(Wellington_Reference,43,5)</f>
        <v>11.09745863</v>
      </c>
      <c r="D99" s="4">
        <f ca="1">OFFSET(Wellington_Reference,44,5)</f>
        <v>11.700891197000001</v>
      </c>
      <c r="E99" s="4">
        <f ca="1">OFFSET(Wellington_Reference,45,5)</f>
        <v>12.041057675999999</v>
      </c>
      <c r="F99" s="4">
        <f ca="1">OFFSET(Wellington_Reference,46,5)</f>
        <v>12.251059278</v>
      </c>
      <c r="G99" s="4">
        <f ca="1">OFFSET(Wellington_Reference,47,5)</f>
        <v>12.545954514</v>
      </c>
      <c r="H99" s="4">
        <f ca="1">OFFSET(Wellington_Reference,48,5)</f>
        <v>12.780011669</v>
      </c>
      <c r="I99" s="1">
        <f ca="1">OFFSET(Wellington_Reference,48,5)*('Updated Population'!I92/'Updated Population'!H92)</f>
        <v>13.061838450137611</v>
      </c>
      <c r="J99" s="1">
        <f ca="1">OFFSET(Wellington_Reference,48,5)*('Updated Population'!J92/'Updated Population'!H92)</f>
        <v>13.310536929674411</v>
      </c>
      <c r="K99" s="1">
        <f ca="1">OFFSET(Wellington_Reference,48,5)*('Updated Population'!K92/'Updated Population'!H92)</f>
        <v>13.53810781444086</v>
      </c>
    </row>
    <row r="100" spans="1:11" x14ac:dyDescent="0.2">
      <c r="A100" t="str">
        <f ca="1">OFFSET(Wellington_Reference,49,2)</f>
        <v>Local Bus</v>
      </c>
      <c r="B100" s="4">
        <f ca="1">OFFSET(Wellington_Reference,49,5)</f>
        <v>24.821335829999999</v>
      </c>
      <c r="C100" s="4">
        <f ca="1">OFFSET(Wellington_Reference,50,5)</f>
        <v>26.179189936</v>
      </c>
      <c r="D100" s="4">
        <f ca="1">OFFSET(Wellington_Reference,51,5)</f>
        <v>26.782264098999999</v>
      </c>
      <c r="E100" s="4">
        <f ca="1">OFFSET(Wellington_Reference,52,5)</f>
        <v>26.876840296000001</v>
      </c>
      <c r="F100" s="4">
        <f ca="1">OFFSET(Wellington_Reference,53,5)</f>
        <v>26.570308375</v>
      </c>
      <c r="G100" s="4">
        <f ca="1">OFFSET(Wellington_Reference,54,5)</f>
        <v>26.094585173999999</v>
      </c>
      <c r="H100" s="4">
        <f ca="1">OFFSET(Wellington_Reference,55,5)</f>
        <v>25.481608257000001</v>
      </c>
      <c r="I100" s="1">
        <f ca="1">OFFSET(Wellington_Reference,55,5)*('Updated Population'!I92/'Updated Population'!H92)</f>
        <v>26.043532597859528</v>
      </c>
      <c r="J100" s="1">
        <f ca="1">OFFSET(Wellington_Reference,55,5)*('Updated Population'!J92/'Updated Population'!H92)</f>
        <v>26.539403602816453</v>
      </c>
      <c r="K100" s="1">
        <f ca="1">OFFSET(Wellington_Reference,55,5)*('Updated Population'!K92/'Updated Population'!H92)</f>
        <v>26.993149052077946</v>
      </c>
    </row>
    <row r="101" spans="1:11" x14ac:dyDescent="0.2">
      <c r="A101" t="str">
        <f ca="1">OFFSET(Wellington_Reference,56,2)</f>
        <v>Local Ferry</v>
      </c>
      <c r="B101" s="4">
        <f ca="1">OFFSET(Wellington_Reference,56,5)</f>
        <v>0.22615005399999999</v>
      </c>
      <c r="C101" s="4">
        <f ca="1">$B101*('Updated Population'!C$92/'Updated Population'!$B$92)*('Total Trip Tables Sup #1'!C178/'Total Trip Tables Sup #1'!$B178)</f>
        <v>0.25460906317037413</v>
      </c>
      <c r="D101" s="4">
        <f ca="1">$B101*('Updated Population'!D$92/'Updated Population'!$B$92)*('Total Trip Tables Sup #1'!D178/'Total Trip Tables Sup #1'!$B178)</f>
        <v>0.2752744734229155</v>
      </c>
      <c r="E101" s="4">
        <f ca="1">$B101*('Updated Population'!E$92/'Updated Population'!$B$92)*('Total Trip Tables Sup #1'!E178/'Total Trip Tables Sup #1'!$B178)</f>
        <v>0.28684330183664269</v>
      </c>
      <c r="F101" s="4">
        <f ca="1">$B101*('Updated Population'!F$92/'Updated Population'!$B$92)*('Total Trip Tables Sup #1'!F178/'Total Trip Tables Sup #1'!$B178)</f>
        <v>0.29445056892141286</v>
      </c>
      <c r="G101" s="4">
        <f ca="1">$B101*('Updated Population'!G$92/'Updated Population'!$B$92)*('Total Trip Tables Sup #1'!G178/'Total Trip Tables Sup #1'!$B178)</f>
        <v>0.3078406688311946</v>
      </c>
      <c r="H101" s="4">
        <f ca="1">$B101*('Updated Population'!H$92/'Updated Population'!$B$92)*('Total Trip Tables Sup #1'!H178/'Total Trip Tables Sup #1'!$B178)</f>
        <v>0.31876681511274263</v>
      </c>
      <c r="I101" s="1">
        <f ca="1">$B101*('Updated Population'!I$92/'Updated Population'!$B$92)*('Total Trip Tables Sup #1'!I178/'Total Trip Tables Sup #1'!$B178)</f>
        <v>0.3257963099022213</v>
      </c>
      <c r="J101" s="1">
        <f ca="1">$B101*('Updated Population'!J$92/'Updated Population'!$B$92)*('Total Trip Tables Sup #1'!J178/'Total Trip Tables Sup #1'!$B178)</f>
        <v>0.33199949846719157</v>
      </c>
      <c r="K101" s="1">
        <f ca="1">$B101*('Updated Population'!K$92/'Updated Population'!$B$92)*('Total Trip Tables Sup #1'!K178/'Total Trip Tables Sup #1'!$B178)</f>
        <v>0.33767570972804289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OFFSET(Wellington_Reference,63,5)</f>
        <v>0.33422365529999998</v>
      </c>
      <c r="C102" s="4">
        <f ca="1">$B102*('Updated Population'!C$92/'Updated Population'!$B$92)*('Total Trip Tables Sup #1'!C179/'Total Trip Tables Sup #1'!$B179)</f>
        <v>0.36092041475445041</v>
      </c>
      <c r="D102" s="4">
        <f ca="1">$B102*('Updated Population'!D$92/'Updated Population'!$B$92)*('Total Trip Tables Sup #1'!D179/'Total Trip Tables Sup #1'!$B179)</f>
        <v>0.38389150981191256</v>
      </c>
      <c r="E102" s="4">
        <f ca="1">$B102*('Updated Population'!E$92/'Updated Population'!$B$92)*('Total Trip Tables Sup #1'!E179/'Total Trip Tables Sup #1'!$B179)</f>
        <v>0.40179419100468511</v>
      </c>
      <c r="F102" s="4">
        <f ca="1">$B102*('Updated Population'!F$92/'Updated Population'!$B$92)*('Total Trip Tables Sup #1'!F179/'Total Trip Tables Sup #1'!$B179)</f>
        <v>0.41612448265397267</v>
      </c>
      <c r="G102" s="4">
        <f ca="1">$B102*('Updated Population'!G$92/'Updated Population'!$B$92)*('Total Trip Tables Sup #1'!G179/'Total Trip Tables Sup #1'!$B179)</f>
        <v>0.42694746368661002</v>
      </c>
      <c r="H102" s="4">
        <f ca="1">$B102*('Updated Population'!H$92/'Updated Population'!$B$92)*('Total Trip Tables Sup #1'!H179/'Total Trip Tables Sup #1'!$B179)</f>
        <v>0.43164866022934661</v>
      </c>
      <c r="I102" s="1">
        <f ca="1">$B102*('Updated Population'!I$92/'Updated Population'!$B$92)*('Total Trip Tables Sup #1'!I179/'Total Trip Tables Sup #1'!$B179)</f>
        <v>0.44116744281308096</v>
      </c>
      <c r="J102" s="1">
        <f ca="1">$B102*('Updated Population'!J$92/'Updated Population'!$B$92)*('Total Trip Tables Sup #1'!J179/'Total Trip Tables Sup #1'!$B179)</f>
        <v>0.44956730724775368</v>
      </c>
      <c r="K102" s="1">
        <f ca="1">$B102*('Updated Population'!K$92/'Updated Population'!$B$92)*('Total Trip Tables Sup #1'!K179/'Total Trip Tables Sup #1'!$B179)</f>
        <v>0.45725358094302104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OFFSET(Nelson_Reference,0,5)</f>
        <v>34.609993433</v>
      </c>
      <c r="C104" s="4">
        <f ca="1">$B104*('Updated Population'!C$103/'Updated Population'!$B$103)*('Total Trip Tables Sup #1'!C170/'Total Trip Tables Sup #1'!$B170)</f>
        <v>35.769176661612306</v>
      </c>
      <c r="D104" s="4">
        <f ca="1">$B104*('Updated Population'!D$103/'Updated Population'!$B$103)*('Total Trip Tables Sup #1'!D170/'Total Trip Tables Sup #1'!$B170)</f>
        <v>36.258601139020143</v>
      </c>
      <c r="E104" s="4">
        <f ca="1">$B104*('Updated Population'!E$103/'Updated Population'!$B$103)*('Total Trip Tables Sup #1'!E170/'Total Trip Tables Sup #1'!$B170)</f>
        <v>36.281319447472598</v>
      </c>
      <c r="F104" s="4">
        <f ca="1">$B104*('Updated Population'!F$103/'Updated Population'!$B$103)*('Total Trip Tables Sup #1'!F170/'Total Trip Tables Sup #1'!$B170)</f>
        <v>35.93237892273315</v>
      </c>
      <c r="G104" s="4">
        <f ca="1">$B104*('Updated Population'!G$103/'Updated Population'!$B$103)*('Total Trip Tables Sup #1'!G170/'Total Trip Tables Sup #1'!$B170)</f>
        <v>35.363689363290241</v>
      </c>
      <c r="H104" s="4">
        <f ca="1">$B104*('Updated Population'!H$103/'Updated Population'!$B$103)*('Total Trip Tables Sup #1'!H170/'Total Trip Tables Sup #1'!$B170)</f>
        <v>34.597363672654154</v>
      </c>
      <c r="I104" s="1">
        <f ca="1">$B104*('Updated Population'!I$103/'Updated Population'!$B$103)*('Total Trip Tables Sup #1'!I170/'Total Trip Tables Sup #1'!$B170)</f>
        <v>34.544693126276911</v>
      </c>
      <c r="J104" s="1">
        <f ca="1">$B104*('Updated Population'!J$103/'Updated Population'!$B$103)*('Total Trip Tables Sup #1'!J170/'Total Trip Tables Sup #1'!$B170)</f>
        <v>34.383931714606724</v>
      </c>
      <c r="K104" s="1">
        <f ca="1">$B104*('Updated Population'!K$103/'Updated Population'!$B$103)*('Total Trip Tables Sup #1'!K170/'Total Trip Tables Sup #1'!$B170)</f>
        <v>34.151983092442322</v>
      </c>
    </row>
    <row r="105" spans="1:11" x14ac:dyDescent="0.2">
      <c r="A105" t="str">
        <f ca="1">OFFSET(Nelson_Reference,7,2)</f>
        <v>Cyclist</v>
      </c>
      <c r="B105" s="4">
        <f ca="1">OFFSET(Nelson_Reference,7,5)</f>
        <v>2.9519642961999999</v>
      </c>
      <c r="C105" s="4">
        <f ca="1">$B105*('Updated Population'!C$103/'Updated Population'!$B$103)*('Total Trip Tables Sup #1'!C171/'Total Trip Tables Sup #1'!$B171)</f>
        <v>3.0507236675541733</v>
      </c>
      <c r="D105" s="4">
        <f ca="1">$B105*('Updated Population'!D$103/'Updated Population'!$B$103)*('Total Trip Tables Sup #1'!D171/'Total Trip Tables Sup #1'!$B171)</f>
        <v>3.0688424865672288</v>
      </c>
      <c r="E105" s="4">
        <f ca="1">$B105*('Updated Population'!E$103/'Updated Population'!$B$103)*('Total Trip Tables Sup #1'!E171/'Total Trip Tables Sup #1'!$B171)</f>
        <v>3.0403968882623942</v>
      </c>
      <c r="F105" s="4">
        <f ca="1">$B105*('Updated Population'!F$103/'Updated Population'!$B$103)*('Total Trip Tables Sup #1'!F171/'Total Trip Tables Sup #1'!$B171)</f>
        <v>3.0061969278868097</v>
      </c>
      <c r="G105" s="4">
        <f ca="1">$B105*('Updated Population'!G$103/'Updated Population'!$B$103)*('Total Trip Tables Sup #1'!G171/'Total Trip Tables Sup #1'!$B171)</f>
        <v>2.964050574326818</v>
      </c>
      <c r="H105" s="4">
        <f ca="1">$B105*('Updated Population'!H$103/'Updated Population'!$B$103)*('Total Trip Tables Sup #1'!H171/'Total Trip Tables Sup #1'!$B171)</f>
        <v>2.9130478360140812</v>
      </c>
      <c r="I105" s="1">
        <f ca="1">$B105*('Updated Population'!I$103/'Updated Population'!$B$103)*('Total Trip Tables Sup #1'!I171/'Total Trip Tables Sup #1'!$B171)</f>
        <v>2.9086130524104052</v>
      </c>
      <c r="J105" s="1">
        <f ca="1">$B105*('Updated Population'!J$103/'Updated Population'!$B$103)*('Total Trip Tables Sup #1'!J171/'Total Trip Tables Sup #1'!$B171)</f>
        <v>2.8950771747403223</v>
      </c>
      <c r="K105" s="1">
        <f ca="1">$B105*('Updated Population'!K$103/'Updated Population'!$B$103)*('Total Trip Tables Sup #1'!K171/'Total Trip Tables Sup #1'!$B171)</f>
        <v>2.8755474372072714</v>
      </c>
    </row>
    <row r="106" spans="1:11" x14ac:dyDescent="0.2">
      <c r="A106" t="str">
        <f ca="1">OFFSET(Nelson_Reference,14,2)</f>
        <v>Light Vehicle Driver</v>
      </c>
      <c r="B106" s="4">
        <f ca="1">OFFSET(Nelson_Reference,14,5)</f>
        <v>98.206986838999995</v>
      </c>
      <c r="C106" s="4">
        <f ca="1">$B106*('Updated Population'!C$103/'Updated Population'!$B$103)*('Total Trip Tables Sup #1'!C172/'Total Trip Tables Sup #1'!$B172)</f>
        <v>104.01493419981001</v>
      </c>
      <c r="D106" s="4">
        <f ca="1">$B106*('Updated Population'!D$103/'Updated Population'!$B$103)*('Total Trip Tables Sup #1'!D172/'Total Trip Tables Sup #1'!$B172)</f>
        <v>107.04291081120252</v>
      </c>
      <c r="E106" s="4">
        <f ca="1">$B106*('Updated Population'!E$103/'Updated Population'!$B$103)*('Total Trip Tables Sup #1'!E172/'Total Trip Tables Sup #1'!$B172)</f>
        <v>109.8235727378886</v>
      </c>
      <c r="F106" s="4">
        <f ca="1">$B106*('Updated Population'!F$103/'Updated Population'!$B$103)*('Total Trip Tables Sup #1'!F172/'Total Trip Tables Sup #1'!$B172)</f>
        <v>111.88124202001363</v>
      </c>
      <c r="G106" s="4">
        <f ca="1">$B106*('Updated Population'!G$103/'Updated Population'!$B$103)*('Total Trip Tables Sup #1'!G172/'Total Trip Tables Sup #1'!$B172)</f>
        <v>112.51042967434664</v>
      </c>
      <c r="H106" s="4">
        <f ca="1">$B106*('Updated Population'!H$103/'Updated Population'!$B$103)*('Total Trip Tables Sup #1'!H172/'Total Trip Tables Sup #1'!$B172)</f>
        <v>112.35155208742694</v>
      </c>
      <c r="I106" s="1">
        <f ca="1">$B106*('Updated Population'!I$103/'Updated Population'!$B$103)*('Total Trip Tables Sup #1'!I172/'Total Trip Tables Sup #1'!$B172)</f>
        <v>112.18050964353539</v>
      </c>
      <c r="J106" s="1">
        <f ca="1">$B106*('Updated Population'!J$103/'Updated Population'!$B$103)*('Total Trip Tables Sup #1'!J172/'Total Trip Tables Sup #1'!$B172)</f>
        <v>111.65845269469372</v>
      </c>
      <c r="K106" s="1">
        <f ca="1">$B106*('Updated Population'!K$103/'Updated Population'!$B$103)*('Total Trip Tables Sup #1'!K172/'Total Trip Tables Sup #1'!$B172)</f>
        <v>110.90522224767822</v>
      </c>
    </row>
    <row r="107" spans="1:11" x14ac:dyDescent="0.2">
      <c r="A107" t="str">
        <f ca="1">OFFSET(Nelson_Reference,21,2)</f>
        <v>Light Vehicle Passenger</v>
      </c>
      <c r="B107" s="4">
        <f ca="1">OFFSET(Nelson_Reference,21,5)</f>
        <v>45.895773310999999</v>
      </c>
      <c r="C107" s="4">
        <f ca="1">$B107*('Updated Population'!C$103/'Updated Population'!$B$103)*('Total Trip Tables Sup #1'!C173/'Total Trip Tables Sup #1'!$B173)</f>
        <v>46.371974811149208</v>
      </c>
      <c r="D107" s="4">
        <f ca="1">$B107*('Updated Population'!D$103/'Updated Population'!$B$103)*('Total Trip Tables Sup #1'!D173/'Total Trip Tables Sup #1'!$B173)</f>
        <v>46.413767618018362</v>
      </c>
      <c r="E107" s="4">
        <f ca="1">$B107*('Updated Population'!E$103/'Updated Population'!$B$103)*('Total Trip Tables Sup #1'!E173/'Total Trip Tables Sup #1'!$B173)</f>
        <v>46.275870745544573</v>
      </c>
      <c r="F107" s="4">
        <f ca="1">$B107*('Updated Population'!F$103/'Updated Population'!$B$103)*('Total Trip Tables Sup #1'!F173/'Total Trip Tables Sup #1'!$B173)</f>
        <v>45.948441989373499</v>
      </c>
      <c r="G107" s="4">
        <f ca="1">$B107*('Updated Population'!G$103/'Updated Population'!$B$103)*('Total Trip Tables Sup #1'!G173/'Total Trip Tables Sup #1'!$B173)</f>
        <v>45.279932364127831</v>
      </c>
      <c r="H107" s="4">
        <f ca="1">$B107*('Updated Population'!H$103/'Updated Population'!$B$103)*('Total Trip Tables Sup #1'!H173/'Total Trip Tables Sup #1'!$B173)</f>
        <v>44.305889008072434</v>
      </c>
      <c r="I107" s="1">
        <f ca="1">$B107*('Updated Population'!I$103/'Updated Population'!$B$103)*('Total Trip Tables Sup #1'!I173/'Total Trip Tables Sup #1'!$B173)</f>
        <v>44.238438337441451</v>
      </c>
      <c r="J107" s="1">
        <f ca="1">$B107*('Updated Population'!J$103/'Updated Population'!$B$103)*('Total Trip Tables Sup #1'!J173/'Total Trip Tables Sup #1'!$B173)</f>
        <v>44.032564926691656</v>
      </c>
      <c r="K107" s="1">
        <f ca="1">$B107*('Updated Population'!K$103/'Updated Population'!$B$103)*('Total Trip Tables Sup #1'!K173/'Total Trip Tables Sup #1'!$B173)</f>
        <v>43.735528134916855</v>
      </c>
    </row>
    <row r="108" spans="1:11" x14ac:dyDescent="0.2">
      <c r="A108" t="str">
        <f ca="1">OFFSET(Nelson_Reference,28,2)</f>
        <v>Taxi/Vehicle Share</v>
      </c>
      <c r="B108" s="4">
        <f ca="1">OFFSET(Nelson_Reference,28,5)</f>
        <v>0.40359339709999997</v>
      </c>
      <c r="C108" s="4">
        <f ca="1">$B108*('Updated Population'!C$103/'Updated Population'!$B$103)*('Total Trip Tables Sup #1'!C174/'Total Trip Tables Sup #1'!$B174)</f>
        <v>0.44671751387906572</v>
      </c>
      <c r="D108" s="4">
        <f ca="1">$B108*('Updated Population'!D$103/'Updated Population'!$B$103)*('Total Trip Tables Sup #1'!D174/'Total Trip Tables Sup #1'!$B174)</f>
        <v>0.47650603948571785</v>
      </c>
      <c r="E108" s="4">
        <f ca="1">$B108*('Updated Population'!E$103/'Updated Population'!$B$103)*('Total Trip Tables Sup #1'!E174/'Total Trip Tables Sup #1'!$B174)</f>
        <v>0.4970854917467763</v>
      </c>
      <c r="F108" s="4">
        <f ca="1">$B108*('Updated Population'!F$103/'Updated Population'!$B$103)*('Total Trip Tables Sup #1'!F174/'Total Trip Tables Sup #1'!$B174)</f>
        <v>0.51132354435833094</v>
      </c>
      <c r="G108" s="4">
        <f ca="1">$B108*('Updated Population'!G$103/'Updated Population'!$B$103)*('Total Trip Tables Sup #1'!G174/'Total Trip Tables Sup #1'!$B174)</f>
        <v>0.51666509808001526</v>
      </c>
      <c r="H108" s="4">
        <f ca="1">$B108*('Updated Population'!H$103/'Updated Population'!$B$103)*('Total Trip Tables Sup #1'!H174/'Total Trip Tables Sup #1'!$B174)</f>
        <v>0.51906971938135738</v>
      </c>
      <c r="I108" s="1">
        <f ca="1">$B108*('Updated Population'!I$103/'Updated Population'!$B$103)*('Total Trip Tables Sup #1'!I174/'Total Trip Tables Sup #1'!$B174)</f>
        <v>0.51827949484325742</v>
      </c>
      <c r="J108" s="1">
        <f ca="1">$B108*('Updated Population'!J$103/'Updated Population'!$B$103)*('Total Trip Tables Sup #1'!J174/'Total Trip Tables Sup #1'!$B174)</f>
        <v>0.51586756595663685</v>
      </c>
      <c r="K108" s="1">
        <f ca="1">$B108*('Updated Population'!K$103/'Updated Population'!$B$103)*('Total Trip Tables Sup #1'!K174/'Total Trip Tables Sup #1'!$B174)</f>
        <v>0.51238760409142303</v>
      </c>
    </row>
    <row r="109" spans="1:11" x14ac:dyDescent="0.2">
      <c r="A109" t="str">
        <f ca="1">OFFSET(Nelson_Reference,35,2)</f>
        <v>Motorcyclist</v>
      </c>
      <c r="B109" s="4">
        <f ca="1">OFFSET(Nelson_Reference,35,5)</f>
        <v>1.5095151791999999</v>
      </c>
      <c r="C109" s="4">
        <f ca="1">$B109*('Updated Population'!C$103/'Updated Population'!$B$103)*('Total Trip Tables Sup #1'!C175/'Total Trip Tables Sup #1'!$B175)</f>
        <v>1.5569907577352631</v>
      </c>
      <c r="D109" s="4">
        <f ca="1">$B109*('Updated Population'!D$103/'Updated Population'!$B$103)*('Total Trip Tables Sup #1'!D175/'Total Trip Tables Sup #1'!$B175)</f>
        <v>1.5626405290392118</v>
      </c>
      <c r="E109" s="4">
        <f ca="1">$B109*('Updated Population'!E$103/'Updated Population'!$B$103)*('Total Trip Tables Sup #1'!E175/'Total Trip Tables Sup #1'!$B175)</f>
        <v>1.5623011297727003</v>
      </c>
      <c r="F109" s="4">
        <f ca="1">$B109*('Updated Population'!F$103/'Updated Population'!$B$103)*('Total Trip Tables Sup #1'!F175/'Total Trip Tables Sup #1'!$B175)</f>
        <v>1.5497241725423581</v>
      </c>
      <c r="G109" s="4">
        <f ca="1">$B109*('Updated Population'!G$103/'Updated Population'!$B$103)*('Total Trip Tables Sup #1'!G175/'Total Trip Tables Sup #1'!$B175)</f>
        <v>1.5092014151231292</v>
      </c>
      <c r="H109" s="4">
        <f ca="1">$B109*('Updated Population'!H$103/'Updated Population'!$B$103)*('Total Trip Tables Sup #1'!H175/'Total Trip Tables Sup #1'!$B175)</f>
        <v>1.4569023407882893</v>
      </c>
      <c r="I109" s="1">
        <f ca="1">$B109*('Updated Population'!I$103/'Updated Population'!$B$103)*('Total Trip Tables Sup #1'!I175/'Total Trip Tables Sup #1'!$B175)</f>
        <v>1.4546843728808603</v>
      </c>
      <c r="J109" s="1">
        <f ca="1">$B109*('Updated Population'!J$103/'Updated Population'!$B$103)*('Total Trip Tables Sup #1'!J175/'Total Trip Tables Sup #1'!$B175)</f>
        <v>1.4479146756522865</v>
      </c>
      <c r="K109" s="1">
        <f ca="1">$B109*('Updated Population'!K$103/'Updated Population'!$B$103)*('Total Trip Tables Sup #1'!K175/'Total Trip Tables Sup #1'!$B175)</f>
        <v>1.4381472698530686</v>
      </c>
    </row>
    <row r="110" spans="1:11" x14ac:dyDescent="0.2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Trip Tables Sup #1'!C176/'Total Trip Tables Sup #1'!$B176)</f>
        <v>0</v>
      </c>
      <c r="D110" s="4">
        <f ca="1">$B110*('Updated Population'!D$103/'Updated Population'!$B$103)*('Total Trip Tables Sup #1'!D176/'Total Trip Tables Sup #1'!$B176)</f>
        <v>0</v>
      </c>
      <c r="E110" s="4">
        <f ca="1">$B110*('Updated Population'!E$103/'Updated Population'!$B$103)*('Total Trip Tables Sup #1'!E176/'Total Trip Tables Sup #1'!$B176)</f>
        <v>0</v>
      </c>
      <c r="F110" s="4">
        <f ca="1">$B110*('Updated Population'!F$103/'Updated Population'!$B$103)*('Total Trip Tables Sup #1'!F176/'Total Trip Tables Sup #1'!$B176)</f>
        <v>0</v>
      </c>
      <c r="G110" s="4">
        <f ca="1">$B110*('Updated Population'!G$103/'Updated Population'!$B$103)*('Total Trip Tables Sup #1'!G176/'Total Trip Tables Sup #1'!$B176)</f>
        <v>0</v>
      </c>
      <c r="H110" s="4">
        <f ca="1">$B110*('Updated Population'!H$103/'Updated Population'!$B$103)*('Total Trip Tables Sup #1'!H176/'Total Trip Tables Sup #1'!$B176)</f>
        <v>0</v>
      </c>
      <c r="I110" s="1">
        <f ca="1">$B110*('Updated Population'!I$103/'Updated Population'!$B$103)*('Total Trip Tables Sup #1'!I176/'Total Trip Tables Sup #1'!$B176)</f>
        <v>0</v>
      </c>
      <c r="J110" s="1">
        <f ca="1">$B110*('Updated Population'!J$103/'Updated Population'!$B$103)*('Total Trip Tables Sup #1'!J176/'Total Trip Tables Sup #1'!$B176)</f>
        <v>0</v>
      </c>
      <c r="K110" s="1">
        <f ca="1">$B110*('Updated Population'!K$103/'Updated Population'!$B$103)*('Total Trip Tables Sup #1'!K176/'Total Trip Tables Sup #1'!$B176)</f>
        <v>0</v>
      </c>
    </row>
    <row r="111" spans="1:11" x14ac:dyDescent="0.2">
      <c r="A111" t="str">
        <f ca="1">OFFSET(Nelson_Reference,49,2)</f>
        <v>Local Bus</v>
      </c>
      <c r="B111" s="4">
        <f ca="1">OFFSET(Nelson_Reference,49,5)</f>
        <v>2.0764681202999999</v>
      </c>
      <c r="C111" s="4">
        <f ca="1">$B111*('Updated Population'!C$103/'Updated Population'!$B$103)*('Total Trip Tables Sup #1'!C177/'Total Trip Tables Sup #1'!$B177)</f>
        <v>2.019317898585633</v>
      </c>
      <c r="D111" s="4">
        <f ca="1">$B111*('Updated Population'!D$103/'Updated Population'!$B$103)*('Total Trip Tables Sup #1'!D177/'Total Trip Tables Sup #1'!$B177)</f>
        <v>1.9710174978883679</v>
      </c>
      <c r="E111" s="4">
        <f ca="1">$B111*('Updated Population'!E$103/'Updated Population'!$B$103)*('Total Trip Tables Sup #1'!E177/'Total Trip Tables Sup #1'!$B177)</f>
        <v>1.9442878200947904</v>
      </c>
      <c r="F111" s="4">
        <f ca="1">$B111*('Updated Population'!F$103/'Updated Population'!$B$103)*('Total Trip Tables Sup #1'!F177/'Total Trip Tables Sup #1'!$B177)</f>
        <v>1.8907629283913658</v>
      </c>
      <c r="G111" s="4">
        <f ca="1">$B111*('Updated Population'!G$103/'Updated Population'!$B$103)*('Total Trip Tables Sup #1'!G177/'Total Trip Tables Sup #1'!$B177)</f>
        <v>1.8434628933940309</v>
      </c>
      <c r="H111" s="4">
        <f ca="1">$B111*('Updated Population'!H$103/'Updated Population'!$B$103)*('Total Trip Tables Sup #1'!H177/'Total Trip Tables Sup #1'!$B177)</f>
        <v>1.7839900110185172</v>
      </c>
      <c r="I111" s="1">
        <f ca="1">$B111*('Updated Population'!I$103/'Updated Population'!$B$103)*('Total Trip Tables Sup #1'!I177/'Total Trip Tables Sup #1'!$B177)</f>
        <v>1.7812740893806454</v>
      </c>
      <c r="J111" s="1">
        <f ca="1">$B111*('Updated Population'!J$103/'Updated Population'!$B$103)*('Total Trip Tables Sup #1'!J177/'Total Trip Tables Sup #1'!$B177)</f>
        <v>1.7729845342778232</v>
      </c>
      <c r="K111" s="1">
        <f ca="1">$B111*('Updated Population'!K$103/'Updated Population'!$B$103)*('Total Trip Tables Sup #1'!K177/'Total Trip Tables Sup #1'!$B177)</f>
        <v>1.7610242580866673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Trip Tables Sup #1'!C178/'Total Trip Tables Sup #1'!$B178)</f>
        <v>0</v>
      </c>
      <c r="D112" s="4">
        <f ca="1">$B112*('Updated Population'!D$103/'Updated Population'!$B$103)*('Total Trip Tables Sup #1'!D178/'Total Trip Tables Sup #1'!$B178)</f>
        <v>0</v>
      </c>
      <c r="E112" s="4">
        <f ca="1">$B112*('Updated Population'!E$103/'Updated Population'!$B$103)*('Total Trip Tables Sup #1'!E178/'Total Trip Tables Sup #1'!$B178)</f>
        <v>0</v>
      </c>
      <c r="F112" s="4">
        <f ca="1">$B112*('Updated Population'!F$103/'Updated Population'!$B$103)*('Total Trip Tables Sup #1'!F178/'Total Trip Tables Sup #1'!$B178)</f>
        <v>0</v>
      </c>
      <c r="G112" s="4">
        <f ca="1">$B112*('Updated Population'!G$103/'Updated Population'!$B$103)*('Total Trip Tables Sup #1'!G178/'Total Trip Tables Sup #1'!$B178)</f>
        <v>0</v>
      </c>
      <c r="H112" s="4">
        <f ca="1">$B112*('Updated Population'!H$103/'Updated Population'!$B$103)*('Total Trip Tables Sup #1'!H178/'Total Trip Tables Sup #1'!$B178)</f>
        <v>0</v>
      </c>
      <c r="I112" s="1">
        <f ca="1">$B112*('Updated Population'!I$103/'Updated Population'!$B$103)*('Total Trip Tables Sup #1'!I178/'Total Trip Tables Sup #1'!$B178)</f>
        <v>0</v>
      </c>
      <c r="J112" s="1">
        <f ca="1">$B112*('Updated Population'!J$103/'Updated Population'!$B$103)*('Total Trip Tables Sup #1'!J178/'Total Trip Tables Sup #1'!$B178)</f>
        <v>0</v>
      </c>
      <c r="K112" s="1">
        <f ca="1">$B112*('Updated Population'!K$103/'Updated Population'!$B$103)*('Total Trip Tables Sup #1'!K178/'Total Trip Tables Sup #1'!$B178)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OFFSET(Nelson_Reference,56,5)</f>
        <v>1.495105957</v>
      </c>
      <c r="C113" s="4">
        <f ca="1">$B113*('Updated Population'!C$103/'Updated Population'!$B$103)*('Total Trip Tables Sup #1'!C179/'Total Trip Tables Sup #1'!$B179)</f>
        <v>1.5576767488219863</v>
      </c>
      <c r="D113" s="4">
        <f ca="1">$B113*('Updated Population'!D$103/'Updated Population'!$B$103)*('Total Trip Tables Sup #1'!D179/'Total Trip Tables Sup #1'!$B179)</f>
        <v>1.615006244892323</v>
      </c>
      <c r="E113" s="4">
        <f ca="1">$B113*('Updated Population'!E$103/'Updated Population'!$B$103)*('Total Trip Tables Sup #1'!E179/'Total Trip Tables Sup #1'!$B179)</f>
        <v>1.655351417431576</v>
      </c>
      <c r="F113" s="4">
        <f ca="1">$B113*('Updated Population'!F$103/'Updated Population'!$B$103)*('Total Trip Tables Sup #1'!F179/'Total Trip Tables Sup #1'!$B179)</f>
        <v>1.6786486502326687</v>
      </c>
      <c r="G113" s="4">
        <f ca="1">$B113*('Updated Population'!G$103/'Updated Population'!$B$103)*('Total Trip Tables Sup #1'!G179/'Total Trip Tables Sup #1'!$B179)</f>
        <v>1.6856399874097148</v>
      </c>
      <c r="H113" s="4">
        <f ca="1">$B113*('Updated Population'!H$103/'Updated Population'!$B$103)*('Total Trip Tables Sup #1'!H179/'Total Trip Tables Sup #1'!$B179)</f>
        <v>1.6651973499391701</v>
      </c>
      <c r="I113" s="1">
        <f ca="1">$B113*('Updated Population'!I$103/'Updated Population'!$B$103)*('Total Trip Tables Sup #1'!I179/'Total Trip Tables Sup #1'!$B179)</f>
        <v>1.6626622766001413</v>
      </c>
      <c r="J113" s="1">
        <f ca="1">$B113*('Updated Population'!J$103/'Updated Population'!$B$103)*('Total Trip Tables Sup #1'!J179/'Total Trip Tables Sup #1'!$B179)</f>
        <v>1.6549247079455314</v>
      </c>
      <c r="K113" s="1">
        <f ca="1">$B113*('Updated Population'!K$103/'Updated Population'!$B$103)*('Total Trip Tables Sup #1'!K179/'Total Trip Tables Sup #1'!$B179)</f>
        <v>1.6437608448661174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OFFSET(West_Coast_Reference,0,5)</f>
        <v>5.2699511529</v>
      </c>
      <c r="C115" s="4">
        <f ca="1">$B115*('Updated Population'!C$114/'Updated Population'!$B$114)*('Total Trip Tables Sup #1'!C170/'Total Trip Tables Sup #1'!$B170)</f>
        <v>5.1157037967596297</v>
      </c>
      <c r="D115" s="4">
        <f ca="1">$B115*('Updated Population'!D$114/'Updated Population'!$B$114)*('Total Trip Tables Sup #1'!D170/'Total Trip Tables Sup #1'!$B170)</f>
        <v>5.0337763920418386</v>
      </c>
      <c r="E115" s="4">
        <f ca="1">$B115*('Updated Population'!E$114/'Updated Population'!$B$114)*('Total Trip Tables Sup #1'!E170/'Total Trip Tables Sup #1'!$B170)</f>
        <v>4.8975251178308357</v>
      </c>
      <c r="F115" s="4">
        <f ca="1">$B115*('Updated Population'!F$114/'Updated Population'!$B$114)*('Total Trip Tables Sup #1'!F170/'Total Trip Tables Sup #1'!$B170)</f>
        <v>4.7182295500633229</v>
      </c>
      <c r="G115" s="4">
        <f ca="1">$B115*('Updated Population'!G$114/'Updated Population'!$B$114)*('Total Trip Tables Sup #1'!G170/'Total Trip Tables Sup #1'!$B170)</f>
        <v>4.5193581246334524</v>
      </c>
      <c r="H115" s="4">
        <f ca="1">$B115*('Updated Population'!H$114/'Updated Population'!$B$114)*('Total Trip Tables Sup #1'!H170/'Total Trip Tables Sup #1'!$B170)</f>
        <v>4.3144882099786113</v>
      </c>
      <c r="I115" s="1">
        <f ca="1">$B115*('Updated Population'!I$114/'Updated Population'!$B$114)*('Total Trip Tables Sup #1'!I170/'Total Trip Tables Sup #1'!$B170)</f>
        <v>4.2035307520213694</v>
      </c>
      <c r="J115" s="1">
        <f ca="1">$B115*('Updated Population'!J$114/'Updated Population'!$B$114)*('Total Trip Tables Sup #1'!J170/'Total Trip Tables Sup #1'!$B170)</f>
        <v>4.0823903831255182</v>
      </c>
      <c r="K115" s="1">
        <f ca="1">$B115*('Updated Population'!K$114/'Updated Population'!$B$114)*('Total Trip Tables Sup #1'!K170/'Total Trip Tables Sup #1'!$B170)</f>
        <v>3.9562206396696027</v>
      </c>
    </row>
    <row r="116" spans="1:11" x14ac:dyDescent="0.2">
      <c r="A116" t="str">
        <f ca="1">OFFSET(West_Coast_Reference,7,2)</f>
        <v>Cyclist</v>
      </c>
      <c r="B116" s="4">
        <f ca="1">OFFSET(West_Coast_Reference,7,5)</f>
        <v>0.73381292249999996</v>
      </c>
      <c r="C116" s="4">
        <f ca="1">$B116*('Updated Population'!C$114/'Updated Population'!$B$114)*('Total Trip Tables Sup #1'!C171/'Total Trip Tables Sup #1'!$B171)</f>
        <v>0.71230911271031239</v>
      </c>
      <c r="D116" s="4">
        <f ca="1">$B116*('Updated Population'!D$114/'Updated Population'!$B$114)*('Total Trip Tables Sup #1'!D171/'Total Trip Tables Sup #1'!$B171)</f>
        <v>0.69554727733272215</v>
      </c>
      <c r="E116" s="4">
        <f ca="1">$B116*('Updated Population'!E$114/'Updated Population'!$B$114)*('Total Trip Tables Sup #1'!E171/'Total Trip Tables Sup #1'!$B171)</f>
        <v>0.67002816800346265</v>
      </c>
      <c r="F116" s="4">
        <f ca="1">$B116*('Updated Population'!F$114/'Updated Population'!$B$114)*('Total Trip Tables Sup #1'!F171/'Total Trip Tables Sup #1'!$B171)</f>
        <v>0.64443586771820316</v>
      </c>
      <c r="G116" s="4">
        <f ca="1">$B116*('Updated Population'!G$114/'Updated Population'!$B$114)*('Total Trip Tables Sup #1'!G171/'Total Trip Tables Sup #1'!$B171)</f>
        <v>0.61840640903940847</v>
      </c>
      <c r="H116" s="4">
        <f ca="1">$B116*('Updated Population'!H$114/'Updated Population'!$B$114)*('Total Trip Tables Sup #1'!H171/'Total Trip Tables Sup #1'!$B171)</f>
        <v>0.59306607013841828</v>
      </c>
      <c r="I116" s="1">
        <f ca="1">$B116*('Updated Population'!I$114/'Updated Population'!$B$114)*('Total Trip Tables Sup #1'!I171/'Total Trip Tables Sup #1'!$B171)</f>
        <v>0.57781394744375991</v>
      </c>
      <c r="J116" s="1">
        <f ca="1">$B116*('Updated Population'!J$114/'Updated Population'!$B$114)*('Total Trip Tables Sup #1'!J171/'Total Trip Tables Sup #1'!$B171)</f>
        <v>0.56116209002298456</v>
      </c>
      <c r="K116" s="1">
        <f ca="1">$B116*('Updated Population'!K$114/'Updated Population'!$B$114)*('Total Trip Tables Sup #1'!K171/'Total Trip Tables Sup #1'!$B171)</f>
        <v>0.54381889883087253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OFFSET(West_Coast_Reference,14,5)</f>
        <v>21.329902885999999</v>
      </c>
      <c r="C117" s="4">
        <f ca="1">$B117*('Updated Population'!C$114/'Updated Population'!$B$114)*('Total Trip Tables Sup #1'!C172/'Total Trip Tables Sup #1'!$B172)</f>
        <v>21.219422714125251</v>
      </c>
      <c r="D117" s="4">
        <f ca="1">$B117*('Updated Population'!D$114/'Updated Population'!$B$114)*('Total Trip Tables Sup #1'!D172/'Total Trip Tables Sup #1'!$B172)</f>
        <v>21.197380905489194</v>
      </c>
      <c r="E117" s="4">
        <f ca="1">$B117*('Updated Population'!E$114/'Updated Population'!$B$114)*('Total Trip Tables Sup #1'!E172/'Total Trip Tables Sup #1'!$B172)</f>
        <v>21.14611482530772</v>
      </c>
      <c r="F117" s="4">
        <f ca="1">$B117*('Updated Population'!F$114/'Updated Population'!$B$114)*('Total Trip Tables Sup #1'!F172/'Total Trip Tables Sup #1'!$B172)</f>
        <v>20.955199183065467</v>
      </c>
      <c r="G117" s="4">
        <f ca="1">$B117*('Updated Population'!G$114/'Updated Population'!$B$114)*('Total Trip Tables Sup #1'!G172/'Total Trip Tables Sup #1'!$B172)</f>
        <v>20.509420638108509</v>
      </c>
      <c r="H117" s="4">
        <f ca="1">$B117*('Updated Population'!H$114/'Updated Population'!$B$114)*('Total Trip Tables Sup #1'!H172/'Total Trip Tables Sup #1'!$B172)</f>
        <v>19.985120682614738</v>
      </c>
      <c r="I117" s="1">
        <f ca="1">$B117*('Updated Population'!I$114/'Updated Population'!$B$114)*('Total Trip Tables Sup #1'!I172/'Total Trip Tables Sup #1'!$B172)</f>
        <v>19.471155159940931</v>
      </c>
      <c r="J117" s="1">
        <f ca="1">$B117*('Updated Population'!J$114/'Updated Population'!$B$114)*('Total Trip Tables Sup #1'!J172/'Total Trip Tables Sup #1'!$B172)</f>
        <v>18.910021423077147</v>
      </c>
      <c r="K117" s="1">
        <f ca="1">$B117*('Updated Population'!K$114/'Updated Population'!$B$114)*('Total Trip Tables Sup #1'!K172/'Total Trip Tables Sup #1'!$B172)</f>
        <v>18.325591143808055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OFFSET(West_Coast_Reference,21,5)</f>
        <v>11.090105214999999</v>
      </c>
      <c r="C118" s="4">
        <f ca="1">$B118*('Updated Population'!C$114/'Updated Population'!$B$114)*('Total Trip Tables Sup #1'!C173/'Total Trip Tables Sup #1'!$B173)</f>
        <v>10.524705200044677</v>
      </c>
      <c r="D118" s="4">
        <f ca="1">$B118*('Updated Population'!D$114/'Updated Population'!$B$114)*('Total Trip Tables Sup #1'!D173/'Total Trip Tables Sup #1'!$B173)</f>
        <v>10.225571739872816</v>
      </c>
      <c r="E118" s="4">
        <f ca="1">$B118*('Updated Population'!E$114/'Updated Population'!$B$114)*('Total Trip Tables Sup #1'!E173/'Total Trip Tables Sup #1'!$B173)</f>
        <v>9.9130226945380642</v>
      </c>
      <c r="F118" s="4">
        <f ca="1">$B118*('Updated Population'!F$114/'Updated Population'!$B$114)*('Total Trip Tables Sup #1'!F173/'Total Trip Tables Sup #1'!$B173)</f>
        <v>9.5746253035015148</v>
      </c>
      <c r="G118" s="4">
        <f ca="1">$B118*('Updated Population'!G$114/'Updated Population'!$B$114)*('Total Trip Tables Sup #1'!G173/'Total Trip Tables Sup #1'!$B173)</f>
        <v>9.1829635696158025</v>
      </c>
      <c r="H118" s="4">
        <f ca="1">$B118*('Updated Population'!H$114/'Updated Population'!$B$114)*('Total Trip Tables Sup #1'!H173/'Total Trip Tables Sup #1'!$B173)</f>
        <v>8.7681028773090937</v>
      </c>
      <c r="I118" s="1">
        <f ca="1">$B118*('Updated Population'!I$114/'Updated Population'!$B$114)*('Total Trip Tables Sup #1'!I173/'Total Trip Tables Sup #1'!$B173)</f>
        <v>8.5426099893870227</v>
      </c>
      <c r="J118" s="1">
        <f ca="1">$B118*('Updated Population'!J$114/'Updated Population'!$B$114)*('Total Trip Tables Sup #1'!J173/'Total Trip Tables Sup #1'!$B173)</f>
        <v>8.2964229179709061</v>
      </c>
      <c r="K118" s="1">
        <f ca="1">$B118*('Updated Population'!K$114/'Updated Population'!$B$114)*('Total Trip Tables Sup #1'!K173/'Total Trip Tables Sup #1'!$B173)</f>
        <v>8.0400149185084082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OFFSET(West_Coast_Reference,28,5)</f>
        <v>0.29973375209999997</v>
      </c>
      <c r="C119" s="4">
        <f ca="1">$B119*('Updated Population'!C$114/'Updated Population'!$B$114)*('Total Trip Tables Sup #1'!C174/'Total Trip Tables Sup #1'!$B174)</f>
        <v>0.3116132755574032</v>
      </c>
      <c r="D119" s="4">
        <f ca="1">$B119*('Updated Population'!D$114/'Updated Population'!$B$114)*('Total Trip Tables Sup #1'!D174/'Total Trip Tables Sup #1'!$B174)</f>
        <v>0.32265456136876297</v>
      </c>
      <c r="E119" s="4">
        <f ca="1">$B119*('Updated Population'!E$114/'Updated Population'!$B$114)*('Total Trip Tables Sup #1'!E174/'Total Trip Tables Sup #1'!$B174)</f>
        <v>0.32727377955221265</v>
      </c>
      <c r="F119" s="4">
        <f ca="1">$B119*('Updated Population'!F$114/'Updated Population'!$B$114)*('Total Trip Tables Sup #1'!F174/'Total Trip Tables Sup #1'!$B174)</f>
        <v>0.32747293408986311</v>
      </c>
      <c r="G119" s="4">
        <f ca="1">$B119*('Updated Population'!G$114/'Updated Population'!$B$114)*('Total Trip Tables Sup #1'!G174/'Total Trip Tables Sup #1'!$B174)</f>
        <v>0.32204372402940307</v>
      </c>
      <c r="H119" s="4">
        <f ca="1">$B119*('Updated Population'!H$114/'Updated Population'!$B$114)*('Total Trip Tables Sup #1'!H174/'Total Trip Tables Sup #1'!$B174)</f>
        <v>0.31571738664285381</v>
      </c>
      <c r="I119" s="1">
        <f ca="1">$B119*('Updated Population'!I$114/'Updated Population'!$B$114)*('Total Trip Tables Sup #1'!I174/'Total Trip Tables Sup #1'!$B174)</f>
        <v>0.30759795347954744</v>
      </c>
      <c r="J119" s="1">
        <f ca="1">$B119*('Updated Population'!J$114/'Updated Population'!$B$114)*('Total Trip Tables Sup #1'!J174/'Total Trip Tables Sup #1'!$B174)</f>
        <v>0.29873337468749206</v>
      </c>
      <c r="K119" s="1">
        <f ca="1">$B119*('Updated Population'!K$114/'Updated Population'!$B$114)*('Total Trip Tables Sup #1'!K174/'Total Trip Tables Sup #1'!$B174)</f>
        <v>0.28950076591939478</v>
      </c>
    </row>
    <row r="120" spans="1:11" x14ac:dyDescent="0.2">
      <c r="A120" t="str">
        <f ca="1">OFFSET(West_Coast_Reference,35,2)</f>
        <v>Motorcyclist</v>
      </c>
      <c r="B120" s="4">
        <f ca="1">OFFSET(West_Coast_Reference,35,5)</f>
        <v>6.1723256599999998E-2</v>
      </c>
      <c r="C120" s="4">
        <f ca="1">$B120*('Updated Population'!C$114/'Updated Population'!$B$114)*('Total Trip Tables Sup #1'!C175/'Total Trip Tables Sup #1'!$B175)</f>
        <v>5.979828877010384E-2</v>
      </c>
      <c r="D120" s="4">
        <f ca="1">$B120*('Updated Population'!D$114/'Updated Population'!$B$114)*('Total Trip Tables Sup #1'!D175/'Total Trip Tables Sup #1'!$B175)</f>
        <v>5.8257015676909253E-2</v>
      </c>
      <c r="E120" s="4">
        <f ca="1">$B120*('Updated Population'!E$114/'Updated Population'!$B$114)*('Total Trip Tables Sup #1'!E175/'Total Trip Tables Sup #1'!$B175)</f>
        <v>5.6632354868452209E-2</v>
      </c>
      <c r="F120" s="4">
        <f ca="1">$B120*('Updated Population'!F$114/'Updated Population'!$B$114)*('Total Trip Tables Sup #1'!F175/'Total Trip Tables Sup #1'!$B175)</f>
        <v>5.4645421118423305E-2</v>
      </c>
      <c r="G120" s="4">
        <f ca="1">$B120*('Updated Population'!G$114/'Updated Population'!$B$114)*('Total Trip Tables Sup #1'!G175/'Total Trip Tables Sup #1'!$B175)</f>
        <v>5.1793190949914678E-2</v>
      </c>
      <c r="H120" s="4">
        <f ca="1">$B120*('Updated Population'!H$114/'Updated Population'!$B$114)*('Total Trip Tables Sup #1'!H175/'Total Trip Tables Sup #1'!$B175)</f>
        <v>4.8789121188825758E-2</v>
      </c>
      <c r="I120" s="1">
        <f ca="1">$B120*('Updated Population'!I$114/'Updated Population'!$B$114)*('Total Trip Tables Sup #1'!I175/'Total Trip Tables Sup #1'!$B175)</f>
        <v>4.7534391404060218E-2</v>
      </c>
      <c r="J120" s="1">
        <f ca="1">$B120*('Updated Population'!J$114/'Updated Population'!$B$114)*('Total Trip Tables Sup #1'!J175/'Total Trip Tables Sup #1'!$B175)</f>
        <v>4.6164511165368356E-2</v>
      </c>
      <c r="K120" s="1">
        <f ca="1">$B120*('Updated Population'!K$114/'Updated Population'!$B$114)*('Total Trip Tables Sup #1'!K175/'Total Trip Tables Sup #1'!$B175)</f>
        <v>4.4737757723419744E-2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Trip Tables Sup #1'!C176/'Total Trip Tables Sup #1'!$B176)</f>
        <v>0</v>
      </c>
      <c r="D121" s="4">
        <f ca="1">$B121*('Updated Population'!D$114/'Updated Population'!$B$114)*('Total Trip Tables Sup #1'!D176/'Total Trip Tables Sup #1'!$B176)</f>
        <v>0</v>
      </c>
      <c r="E121" s="4">
        <f ca="1">$B121*('Updated Population'!E$114/'Updated Population'!$B$114)*('Total Trip Tables Sup #1'!E176/'Total Trip Tables Sup #1'!$B176)</f>
        <v>0</v>
      </c>
      <c r="F121" s="4">
        <f ca="1">$B121*('Updated Population'!F$114/'Updated Population'!$B$114)*('Total Trip Tables Sup #1'!F176/'Total Trip Tables Sup #1'!$B176)</f>
        <v>0</v>
      </c>
      <c r="G121" s="4">
        <f ca="1">$B121*('Updated Population'!G$114/'Updated Population'!$B$114)*('Total Trip Tables Sup #1'!G176/'Total Trip Tables Sup #1'!$B176)</f>
        <v>0</v>
      </c>
      <c r="H121" s="4">
        <f ca="1">$B121*('Updated Population'!H$114/'Updated Population'!$B$114)*('Total Trip Tables Sup #1'!H176/'Total Trip Tables Sup #1'!$B176)</f>
        <v>0</v>
      </c>
      <c r="I121" s="1">
        <f ca="1">$B121*('Updated Population'!I$114/'Updated Population'!$B$114)*('Total Trip Tables Sup #1'!I176/'Total Trip Tables Sup #1'!$B176)</f>
        <v>0</v>
      </c>
      <c r="J121" s="1">
        <f ca="1">$B121*('Updated Population'!J$114/'Updated Population'!$B$114)*('Total Trip Tables Sup #1'!J176/'Total Trip Tables Sup #1'!$B176)</f>
        <v>0</v>
      </c>
      <c r="K121" s="1">
        <f ca="1">$B121*('Updated Population'!K$114/'Updated Population'!$B$114)*('Total Trip Tables Sup #1'!K176/'Total Trip Tables Sup #1'!$B176)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OFFSET(West_Coast_Reference,42,5)</f>
        <v>0.50805546800000001</v>
      </c>
      <c r="C122" s="4">
        <f ca="1">$B122*('Updated Population'!C$114/'Updated Population'!$B$114)*('Total Trip Tables Sup #1'!C177/'Total Trip Tables Sup #1'!$B177)</f>
        <v>0.46406832944744886</v>
      </c>
      <c r="D122" s="4">
        <f ca="1">$B122*('Updated Population'!D$114/'Updated Population'!$B$114)*('Total Trip Tables Sup #1'!D177/'Total Trip Tables Sup #1'!$B177)</f>
        <v>0.43969764909550346</v>
      </c>
      <c r="E122" s="4">
        <f ca="1">$B122*('Updated Population'!E$114/'Updated Population'!$B$114)*('Total Trip Tables Sup #1'!E177/'Total Trip Tables Sup #1'!$B177)</f>
        <v>0.42173043516606584</v>
      </c>
      <c r="F122" s="4">
        <f ca="1">$B122*('Updated Population'!F$114/'Updated Population'!$B$114)*('Total Trip Tables Sup #1'!F177/'Total Trip Tables Sup #1'!$B177)</f>
        <v>0.39894310470949845</v>
      </c>
      <c r="G122" s="4">
        <f ca="1">$B122*('Updated Population'!G$114/'Updated Population'!$B$114)*('Total Trip Tables Sup #1'!G177/'Total Trip Tables Sup #1'!$B177)</f>
        <v>0.37855970067069245</v>
      </c>
      <c r="H122" s="4">
        <f ca="1">$B122*('Updated Population'!H$114/'Updated Population'!$B$114)*('Total Trip Tables Sup #1'!H177/'Total Trip Tables Sup #1'!$B177)</f>
        <v>0.3574863694697078</v>
      </c>
      <c r="I122" s="1">
        <f ca="1">$B122*('Updated Population'!I$114/'Updated Population'!$B$114)*('Total Trip Tables Sup #1'!I177/'Total Trip Tables Sup #1'!$B177)</f>
        <v>0.34829274629118506</v>
      </c>
      <c r="J122" s="1">
        <f ca="1">$B122*('Updated Population'!J$114/'Updated Population'!$B$114)*('Total Trip Tables Sup #1'!J177/'Total Trip Tables Sup #1'!$B177)</f>
        <v>0.33825539572602648</v>
      </c>
      <c r="K122" s="1">
        <f ca="1">$B122*('Updated Population'!K$114/'Updated Population'!$B$114)*('Total Trip Tables Sup #1'!K177/'Total Trip Tables Sup #1'!$B177)</f>
        <v>0.32780132531724376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Trip Tables Sup #1'!C178/'Total Trip Tables Sup #1'!$B178)</f>
        <v>0</v>
      </c>
      <c r="D123" s="4">
        <f ca="1">$B123*('Updated Population'!D$114/'Updated Population'!$B$114)*('Total Trip Tables Sup #1'!D178/'Total Trip Tables Sup #1'!$B178)</f>
        <v>0</v>
      </c>
      <c r="E123" s="4">
        <f ca="1">$B123*('Updated Population'!E$114/'Updated Population'!$B$114)*('Total Trip Tables Sup #1'!E178/'Total Trip Tables Sup #1'!$B178)</f>
        <v>0</v>
      </c>
      <c r="F123" s="4">
        <f ca="1">$B123*('Updated Population'!F$114/'Updated Population'!$B$114)*('Total Trip Tables Sup #1'!F178/'Total Trip Tables Sup #1'!$B178)</f>
        <v>0</v>
      </c>
      <c r="G123" s="4">
        <f ca="1">$B123*('Updated Population'!G$114/'Updated Population'!$B$114)*('Total Trip Tables Sup #1'!G178/'Total Trip Tables Sup #1'!$B178)</f>
        <v>0</v>
      </c>
      <c r="H123" s="4">
        <f ca="1">$B123*('Updated Population'!H$114/'Updated Population'!$B$114)*('Total Trip Tables Sup #1'!H178/'Total Trip Tables Sup #1'!$B178)</f>
        <v>0</v>
      </c>
      <c r="I123" s="1">
        <f ca="1">$B123*('Updated Population'!I$114/'Updated Population'!$B$114)*('Total Trip Tables Sup #1'!I178/'Total Trip Tables Sup #1'!$B178)</f>
        <v>0</v>
      </c>
      <c r="J123" s="1">
        <f ca="1">$B123*('Updated Population'!J$114/'Updated Population'!$B$114)*('Total Trip Tables Sup #1'!J178/'Total Trip Tables Sup #1'!$B178)</f>
        <v>0</v>
      </c>
      <c r="K123" s="1">
        <f ca="1">$B123*('Updated Population'!K$114/'Updated Population'!$B$114)*('Total Trip Tables Sup #1'!K178/'Total Trip Tables Sup #1'!$B178)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OFFSET(West_Coast_Reference,49,5)</f>
        <v>2.77012627E-2</v>
      </c>
      <c r="C124" s="4">
        <f ca="1">$B124*('Updated Population'!C$114/'Updated Population'!$B$114)*('Total Trip Tables Sup #1'!C179/'Total Trip Tables Sup #1'!$B179)</f>
        <v>2.7107926869153965E-2</v>
      </c>
      <c r="D124" s="4">
        <f ca="1">$B124*('Updated Population'!D$114/'Updated Population'!$B$114)*('Total Trip Tables Sup #1'!D179/'Total Trip Tables Sup #1'!$B179)</f>
        <v>2.7282213409930599E-2</v>
      </c>
      <c r="E124" s="4">
        <f ca="1">$B124*('Updated Population'!E$114/'Updated Population'!$B$114)*('Total Trip Tables Sup #1'!E179/'Total Trip Tables Sup #1'!$B179)</f>
        <v>2.7189819558438039E-2</v>
      </c>
      <c r="F124" s="4">
        <f ca="1">$B124*('Updated Population'!F$114/'Updated Population'!$B$114)*('Total Trip Tables Sup #1'!F179/'Total Trip Tables Sup #1'!$B179)</f>
        <v>2.6821028158174744E-2</v>
      </c>
      <c r="G124" s="4">
        <f ca="1">$B124*('Updated Population'!G$114/'Updated Population'!$B$114)*('Total Trip Tables Sup #1'!G179/'Total Trip Tables Sup #1'!$B179)</f>
        <v>2.6212384903000121E-2</v>
      </c>
      <c r="H124" s="4">
        <f ca="1">$B124*('Updated Population'!H$114/'Updated Population'!$B$114)*('Total Trip Tables Sup #1'!H179/'Total Trip Tables Sup #1'!$B179)</f>
        <v>2.5268212003293895E-2</v>
      </c>
      <c r="I124" s="1">
        <f ca="1">$B124*('Updated Population'!I$114/'Updated Population'!$B$114)*('Total Trip Tables Sup #1'!I179/'Total Trip Tables Sup #1'!$B179)</f>
        <v>2.4618379060298311E-2</v>
      </c>
      <c r="J124" s="1">
        <f ca="1">$B124*('Updated Population'!J$114/'Updated Population'!$B$114)*('Total Trip Tables Sup #1'!J179/'Total Trip Tables Sup #1'!$B179)</f>
        <v>2.3908908927470489E-2</v>
      </c>
      <c r="K124" s="1">
        <f ca="1">$B124*('Updated Population'!K$114/'Updated Population'!$B$114)*('Total Trip Tables Sup #1'!K179/'Total Trip Tables Sup #1'!$B179)</f>
        <v>2.3169983782496906E-2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OFFSET(Canterbury_Reference,0,5)</f>
        <v>131.04676542000001</v>
      </c>
      <c r="C126" s="4">
        <f ca="1">$B126*('Updated Population'!C$125/'Updated Population'!$B$125)*('Total Trip Tables Sup #1'!C170/'Total Trip Tables Sup #1'!$B170)</f>
        <v>145.00605866576214</v>
      </c>
      <c r="D126" s="4">
        <f ca="1">$B126*('Updated Population'!D$125/'Updated Population'!$B$125)*('Total Trip Tables Sup #1'!D170/'Total Trip Tables Sup #1'!$B170)</f>
        <v>153.63552941951147</v>
      </c>
      <c r="E126" s="4">
        <f ca="1">$B126*('Updated Population'!E$125/'Updated Population'!$B$125)*('Total Trip Tables Sup #1'!E170/'Total Trip Tables Sup #1'!$B170)</f>
        <v>158.92584977845399</v>
      </c>
      <c r="F126" s="4">
        <f ca="1">$B126*('Updated Population'!F$125/'Updated Population'!$B$125)*('Total Trip Tables Sup #1'!F170/'Total Trip Tables Sup #1'!$B170)</f>
        <v>162.65033764918601</v>
      </c>
      <c r="G126" s="4">
        <f ca="1">$B126*('Updated Population'!G$125/'Updated Population'!$B$125)*('Total Trip Tables Sup #1'!G170/'Total Trip Tables Sup #1'!$B170)</f>
        <v>165.484928718855</v>
      </c>
      <c r="H126" s="4">
        <f ca="1">$B126*('Updated Population'!H$125/'Updated Population'!$B$125)*('Total Trip Tables Sup #1'!H170/'Total Trip Tables Sup #1'!$B170)</f>
        <v>167.61527831487993</v>
      </c>
      <c r="I126" s="1">
        <f ca="1">$B126*('Updated Population'!I$125/'Updated Population'!$B$125)*('Total Trip Tables Sup #1'!I170/'Total Trip Tables Sup #1'!$B170)</f>
        <v>173.27579273096296</v>
      </c>
      <c r="J126" s="1">
        <f ca="1">$B126*('Updated Population'!J$125/'Updated Population'!$B$125)*('Total Trip Tables Sup #1'!J170/'Total Trip Tables Sup #1'!$B170)</f>
        <v>178.57203833450819</v>
      </c>
      <c r="K126" s="1">
        <f ca="1">$B126*('Updated Population'!K$125/'Updated Population'!$B$125)*('Total Trip Tables Sup #1'!K170/'Total Trip Tables Sup #1'!$B170)</f>
        <v>183.64952792272049</v>
      </c>
    </row>
    <row r="127" spans="1:11" x14ac:dyDescent="0.2">
      <c r="A127" t="str">
        <f ca="1">OFFSET(Canterbury_Reference,7,2)</f>
        <v>Cyclist</v>
      </c>
      <c r="B127" s="4">
        <f ca="1">OFFSET(Canterbury_Reference,7,5)</f>
        <v>23.740018446000001</v>
      </c>
      <c r="C127" s="4">
        <f ca="1">$B127*('Updated Population'!C$125/'Updated Population'!$B$125)*('Total Trip Tables Sup #1'!C171/'Total Trip Tables Sup #1'!$B171)</f>
        <v>26.267893010074285</v>
      </c>
      <c r="D127" s="4">
        <f ca="1">$B127*('Updated Population'!D$125/'Updated Population'!$B$125)*('Total Trip Tables Sup #1'!D171/'Total Trip Tables Sup #1'!$B171)</f>
        <v>27.618518403990887</v>
      </c>
      <c r="E127" s="4">
        <f ca="1">$B127*('Updated Population'!E$125/'Updated Population'!$B$125)*('Total Trip Tables Sup #1'!E171/'Total Trip Tables Sup #1'!$B171)</f>
        <v>28.287001376848387</v>
      </c>
      <c r="F127" s="4">
        <f ca="1">$B127*('Updated Population'!F$125/'Updated Population'!$B$125)*('Total Trip Tables Sup #1'!F171/'Total Trip Tables Sup #1'!$B171)</f>
        <v>28.902245629430585</v>
      </c>
      <c r="G127" s="4">
        <f ca="1">$B127*('Updated Population'!G$125/'Updated Population'!$B$125)*('Total Trip Tables Sup #1'!G171/'Total Trip Tables Sup #1'!$B171)</f>
        <v>29.459926052262436</v>
      </c>
      <c r="H127" s="4">
        <f ca="1">$B127*('Updated Population'!H$125/'Updated Population'!$B$125)*('Total Trip Tables Sup #1'!H171/'Total Trip Tables Sup #1'!$B171)</f>
        <v>29.975288715280847</v>
      </c>
      <c r="I127" s="1">
        <f ca="1">$B127*('Updated Population'!I$125/'Updated Population'!$B$125)*('Total Trip Tables Sup #1'!I171/'Total Trip Tables Sup #1'!$B171)</f>
        <v>30.987580408525822</v>
      </c>
      <c r="J127" s="1">
        <f ca="1">$B127*('Updated Population'!J$125/'Updated Population'!$B$125)*('Total Trip Tables Sup #1'!J171/'Total Trip Tables Sup #1'!$B171)</f>
        <v>31.934728500688799</v>
      </c>
      <c r="K127" s="1">
        <f ca="1">$B127*('Updated Population'!K$125/'Updated Population'!$B$125)*('Total Trip Tables Sup #1'!K171/'Total Trip Tables Sup #1'!$B171)</f>
        <v>32.842755608274878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OFFSET(Canterbury_Reference,14,5)</f>
        <v>417.41567177000002</v>
      </c>
      <c r="C128" s="4">
        <f ca="1">$B128*('Updated Population'!C$125/'Updated Population'!$B$125)*('Total Trip Tables Sup #1'!C172/'Total Trip Tables Sup #1'!$B172)</f>
        <v>473.34138653543596</v>
      </c>
      <c r="D128" s="4">
        <f ca="1">$B128*('Updated Population'!D$125/'Updated Population'!$B$125)*('Total Trip Tables Sup #1'!D172/'Total Trip Tables Sup #1'!$B172)</f>
        <v>509.14338062202006</v>
      </c>
      <c r="E128" s="4">
        <f ca="1">$B128*('Updated Population'!E$125/'Updated Population'!$B$125)*('Total Trip Tables Sup #1'!E172/'Total Trip Tables Sup #1'!$B172)</f>
        <v>540.01846827035115</v>
      </c>
      <c r="F128" s="4">
        <f ca="1">$B128*('Updated Population'!F$125/'Updated Population'!$B$125)*('Total Trip Tables Sup #1'!F172/'Total Trip Tables Sup #1'!$B172)</f>
        <v>568.49657484997999</v>
      </c>
      <c r="G128" s="4">
        <f ca="1">$B128*('Updated Population'!G$125/'Updated Population'!$B$125)*('Total Trip Tables Sup #1'!G172/'Total Trip Tables Sup #1'!$B172)</f>
        <v>591.01055702857821</v>
      </c>
      <c r="H128" s="4">
        <f ca="1">$B128*('Updated Population'!H$125/'Updated Population'!$B$125)*('Total Trip Tables Sup #1'!H172/'Total Trip Tables Sup #1'!$B172)</f>
        <v>611.01412119763461</v>
      </c>
      <c r="I128" s="1">
        <f ca="1">$B128*('Updated Population'!I$125/'Updated Population'!$B$125)*('Total Trip Tables Sup #1'!I172/'Total Trip Tables Sup #1'!$B172)</f>
        <v>631.64860199342547</v>
      </c>
      <c r="J128" s="1">
        <f ca="1">$B128*('Updated Population'!J$125/'Updated Population'!$B$125)*('Total Trip Tables Sup #1'!J172/'Total Trip Tables Sup #1'!$B172)</f>
        <v>650.95520032760442</v>
      </c>
      <c r="K128" s="1">
        <f ca="1">$B128*('Updated Population'!K$125/'Updated Population'!$B$125)*('Total Trip Tables Sup #1'!K172/'Total Trip Tables Sup #1'!$B172)</f>
        <v>669.46435933638838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OFFSET(Canterbury_Reference,21,5)</f>
        <v>189.77500577999999</v>
      </c>
      <c r="C129" s="4">
        <f ca="1">$B129*('Updated Population'!C$125/'Updated Population'!$B$125)*('Total Trip Tables Sup #1'!C173/'Total Trip Tables Sup #1'!$B173)</f>
        <v>205.29308855502302</v>
      </c>
      <c r="D129" s="4">
        <f ca="1">$B129*('Updated Population'!D$125/'Updated Population'!$B$125)*('Total Trip Tables Sup #1'!D173/'Total Trip Tables Sup #1'!$B173)</f>
        <v>214.76770307168269</v>
      </c>
      <c r="E129" s="4">
        <f ca="1">$B129*('Updated Population'!E$125/'Updated Population'!$B$125)*('Total Trip Tables Sup #1'!E173/'Total Trip Tables Sup #1'!$B173)</f>
        <v>221.36430972286612</v>
      </c>
      <c r="F129" s="4">
        <f ca="1">$B129*('Updated Population'!F$125/'Updated Population'!$B$125)*('Total Trip Tables Sup #1'!F173/'Total Trip Tables Sup #1'!$B173)</f>
        <v>227.1335667645657</v>
      </c>
      <c r="G129" s="4">
        <f ca="1">$B129*('Updated Population'!G$125/'Updated Population'!$B$125)*('Total Trip Tables Sup #1'!G173/'Total Trip Tables Sup #1'!$B173)</f>
        <v>231.39191598399637</v>
      </c>
      <c r="H129" s="4">
        <f ca="1">$B129*('Updated Population'!H$125/'Updated Population'!$B$125)*('Total Trip Tables Sup #1'!H173/'Total Trip Tables Sup #1'!$B173)</f>
        <v>234.40862291989416</v>
      </c>
      <c r="I129" s="1">
        <f ca="1">$B129*('Updated Population'!I$125/'Updated Population'!$B$125)*('Total Trip Tables Sup #1'!I173/'Total Trip Tables Sup #1'!$B173)</f>
        <v>242.32480694936902</v>
      </c>
      <c r="J129" s="1">
        <f ca="1">$B129*('Updated Population'!J$125/'Updated Population'!$B$125)*('Total Trip Tables Sup #1'!J173/'Total Trip Tables Sup #1'!$B173)</f>
        <v>249.7315639649218</v>
      </c>
      <c r="K129" s="1">
        <f ca="1">$B129*('Updated Population'!K$125/'Updated Population'!$B$125)*('Total Trip Tables Sup #1'!K173/'Total Trip Tables Sup #1'!$B173)</f>
        <v>256.83239244684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OFFSET(Canterbury_Reference,28,5)</f>
        <v>2.2446435044999999</v>
      </c>
      <c r="C130" s="4">
        <f ca="1">$B130*('Updated Population'!C$125/'Updated Population'!$B$125)*('Total Trip Tables Sup #1'!C174/'Total Trip Tables Sup #1'!$B174)</f>
        <v>2.6600433781798869</v>
      </c>
      <c r="D130" s="4">
        <f ca="1">$B130*('Updated Population'!D$125/'Updated Population'!$B$125)*('Total Trip Tables Sup #1'!D174/'Total Trip Tables Sup #1'!$B174)</f>
        <v>2.9657023433475076</v>
      </c>
      <c r="E130" s="4">
        <f ca="1">$B130*('Updated Population'!E$125/'Updated Population'!$B$125)*('Total Trip Tables Sup #1'!E174/'Total Trip Tables Sup #1'!$B174)</f>
        <v>3.1983139460713588</v>
      </c>
      <c r="F130" s="4">
        <f ca="1">$B130*('Updated Population'!F$125/'Updated Population'!$B$125)*('Total Trip Tables Sup #1'!F174/'Total Trip Tables Sup #1'!$B174)</f>
        <v>3.3997213569736049</v>
      </c>
      <c r="G130" s="4">
        <f ca="1">$B130*('Updated Population'!G$125/'Updated Population'!$B$125)*('Total Trip Tables Sup #1'!G174/'Total Trip Tables Sup #1'!$B174)</f>
        <v>3.5513096347934692</v>
      </c>
      <c r="H130" s="4">
        <f ca="1">$B130*('Updated Population'!H$125/'Updated Population'!$B$125)*('Total Trip Tables Sup #1'!H174/'Total Trip Tables Sup #1'!$B174)</f>
        <v>3.6938123140748829</v>
      </c>
      <c r="I130" s="1">
        <f ca="1">$B130*('Updated Population'!I$125/'Updated Population'!$B$125)*('Total Trip Tables Sup #1'!I174/'Total Trip Tables Sup #1'!$B174)</f>
        <v>3.8185555836880902</v>
      </c>
      <c r="J130" s="1">
        <f ca="1">$B130*('Updated Population'!J$125/'Updated Population'!$B$125)*('Total Trip Tables Sup #1'!J174/'Total Trip Tables Sup #1'!$B174)</f>
        <v>3.9352712997339085</v>
      </c>
      <c r="K130" s="1">
        <f ca="1">$B130*('Updated Population'!K$125/'Updated Population'!$B$125)*('Total Trip Tables Sup #1'!K174/'Total Trip Tables Sup #1'!$B174)</f>
        <v>4.047166192336074</v>
      </c>
    </row>
    <row r="131" spans="1:11" x14ac:dyDescent="0.2">
      <c r="A131" t="str">
        <f ca="1">OFFSET(Canterbury_Reference,35,2)</f>
        <v>Motorcyclist</v>
      </c>
      <c r="B131" s="4">
        <f ca="1">OFFSET(Canterbury_Reference,35,5)</f>
        <v>1.4451657518000001</v>
      </c>
      <c r="C131" s="4">
        <f ca="1">$B131*('Updated Population'!C$125/'Updated Population'!$B$125)*('Total Trip Tables Sup #1'!C175/'Total Trip Tables Sup #1'!$B175)</f>
        <v>1.5959475955024467</v>
      </c>
      <c r="D131" s="4">
        <f ca="1">$B131*('Updated Population'!D$125/'Updated Population'!$B$125)*('Total Trip Tables Sup #1'!D175/'Total Trip Tables Sup #1'!$B175)</f>
        <v>1.6741527780941907</v>
      </c>
      <c r="E131" s="4">
        <f ca="1">$B131*('Updated Population'!E$125/'Updated Population'!$B$125)*('Total Trip Tables Sup #1'!E175/'Total Trip Tables Sup #1'!$B175)</f>
        <v>1.7303406230788092</v>
      </c>
      <c r="F131" s="4">
        <f ca="1">$B131*('Updated Population'!F$125/'Updated Population'!$B$125)*('Total Trip Tables Sup #1'!F175/'Total Trip Tables Sup #1'!$B175)</f>
        <v>1.7736943921667987</v>
      </c>
      <c r="G131" s="4">
        <f ca="1">$B131*('Updated Population'!G$125/'Updated Population'!$B$125)*('Total Trip Tables Sup #1'!G175/'Total Trip Tables Sup #1'!$B175)</f>
        <v>1.7856793292920412</v>
      </c>
      <c r="H131" s="4">
        <f ca="1">$B131*('Updated Population'!H$125/'Updated Population'!$B$125)*('Total Trip Tables Sup #1'!H175/'Total Trip Tables Sup #1'!$B175)</f>
        <v>1.7846638400921251</v>
      </c>
      <c r="I131" s="1">
        <f ca="1">$B131*('Updated Population'!I$125/'Updated Population'!$B$125)*('Total Trip Tables Sup #1'!I175/'Total Trip Tables Sup #1'!$B175)</f>
        <v>1.8449334974662328</v>
      </c>
      <c r="J131" s="1">
        <f ca="1">$B131*('Updated Population'!J$125/'Updated Population'!$B$125)*('Total Trip Tables Sup #1'!J175/'Total Trip Tables Sup #1'!$B175)</f>
        <v>1.9013246457667929</v>
      </c>
      <c r="K131" s="1">
        <f ca="1">$B131*('Updated Population'!K$125/'Updated Population'!$B$125)*('Total Trip Tables Sup #1'!K175/'Total Trip Tables Sup #1'!$B175)</f>
        <v>1.9553866152819093</v>
      </c>
    </row>
    <row r="132" spans="1:11" x14ac:dyDescent="0.2">
      <c r="A132" t="str">
        <f ca="1">OFFSET(Canterbury_Reference,42,2)</f>
        <v>Local Train</v>
      </c>
      <c r="B132" s="4">
        <f ca="1">OFFSET(Canterbury_Reference,42,5)</f>
        <v>2.1901243099999999E-2</v>
      </c>
      <c r="C132" s="4">
        <f ca="1">OFFSET(Canterbury_Reference,43,5)</f>
        <v>2.25451279E-2</v>
      </c>
      <c r="D132" s="4">
        <f ca="1">OFFSET(Canterbury_Reference,44,5)</f>
        <v>1.9279195900000001E-2</v>
      </c>
      <c r="E132" s="4">
        <f ca="1">OFFSET(Canterbury_Reference,45,5)</f>
        <v>1.79855854E-2</v>
      </c>
      <c r="F132" s="4">
        <f ca="1">OFFSET(Canterbury_Reference,46,5)</f>
        <v>1.7138687699999999E-2</v>
      </c>
      <c r="G132" s="4">
        <f ca="1">OFFSET(Canterbury_Reference,47,5)</f>
        <v>1.45208987E-2</v>
      </c>
      <c r="H132" s="4">
        <f ca="1">OFFSET(Canterbury_Reference,48,5)</f>
        <v>1.2069111400000001E-2</v>
      </c>
      <c r="I132" s="1">
        <f ca="1">OFFSET(Canterbury_Reference,48,5)</f>
        <v>1.2069111400000001E-2</v>
      </c>
      <c r="J132" s="1">
        <f ca="1">OFFSET(Canterbury_Reference,48,5)</f>
        <v>1.2069111400000001E-2</v>
      </c>
      <c r="K132" s="1">
        <f ca="1">OFFSET(Canterbury_Reference,48,5)</f>
        <v>1.2069111400000001E-2</v>
      </c>
    </row>
    <row r="133" spans="1:11" x14ac:dyDescent="0.2">
      <c r="A133" t="str">
        <f ca="1">OFFSET(Canterbury_Reference,49,2)</f>
        <v>Local Bus</v>
      </c>
      <c r="B133" s="4">
        <f ca="1">OFFSET(Canterbury_Reference,49,5)</f>
        <v>20.502079716000001</v>
      </c>
      <c r="C133" s="4">
        <f ca="1">OFFSET(Canterbury_Reference,50,5)</f>
        <v>20.976049086</v>
      </c>
      <c r="D133" s="4">
        <f ca="1">OFFSET(Canterbury_Reference,51,5)</f>
        <v>20.901951312000001</v>
      </c>
      <c r="E133" s="4">
        <f ca="1">OFFSET(Canterbury_Reference,52,5)</f>
        <v>20.780114531999999</v>
      </c>
      <c r="F133" s="4">
        <f ca="1">OFFSET(Canterbury_Reference,53,5)</f>
        <v>20.189459515999999</v>
      </c>
      <c r="G133" s="4">
        <f ca="1">OFFSET(Canterbury_Reference,54,5)</f>
        <v>19.612895277</v>
      </c>
      <c r="H133" s="4">
        <f ca="1">OFFSET(Canterbury_Reference,55,5)</f>
        <v>18.968578354999998</v>
      </c>
      <c r="I133" s="1">
        <f ca="1">OFFSET(Canterbury_Reference,55,5)</f>
        <v>18.968578354999998</v>
      </c>
      <c r="J133" s="1">
        <f ca="1">OFFSET(Canterbury_Reference,55,5)</f>
        <v>18.968578354999998</v>
      </c>
      <c r="K133" s="1">
        <f ca="1">OFFSET(Canterbury_Reference,55,5)</f>
        <v>18.968578354999998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Trip Tables Sup #1'!C178/'Total Trip Tables Sup #1'!$B178)</f>
        <v>0</v>
      </c>
      <c r="D134" s="4">
        <f ca="1">$B134*('Updated Population'!D$125/'Updated Population'!$B$125)*('Total Trip Tables Sup #1'!D178/'Total Trip Tables Sup #1'!$B178)</f>
        <v>0</v>
      </c>
      <c r="E134" s="4">
        <f ca="1">$B134*('Updated Population'!E$125/'Updated Population'!$B$125)*('Total Trip Tables Sup #1'!E178/'Total Trip Tables Sup #1'!$B178)</f>
        <v>0</v>
      </c>
      <c r="F134" s="4">
        <f ca="1">$B134*('Updated Population'!F$125/'Updated Population'!$B$125)*('Total Trip Tables Sup #1'!F178/'Total Trip Tables Sup #1'!$B178)</f>
        <v>0</v>
      </c>
      <c r="G134" s="4">
        <f ca="1">$B134*('Updated Population'!G$125/'Updated Population'!$B$125)*('Total Trip Tables Sup #1'!G178/'Total Trip Tables Sup #1'!$B178)</f>
        <v>0</v>
      </c>
      <c r="H134" s="4">
        <f ca="1">$B134*('Updated Population'!H$125/'Updated Population'!$B$125)*('Total Trip Tables Sup #1'!H178/'Total Trip Tables Sup #1'!$B178)</f>
        <v>0</v>
      </c>
      <c r="I134" s="1">
        <f ca="1">$B134*('Updated Population'!I$125/'Updated Population'!$B$125)*('Total Trip Tables Sup #1'!I178/'Total Trip Tables Sup #1'!$B178)</f>
        <v>0</v>
      </c>
      <c r="J134" s="1">
        <f ca="1">$B134*('Updated Population'!J$125/'Updated Population'!$B$125)*('Total Trip Tables Sup #1'!J178/'Total Trip Tables Sup #1'!$B178)</f>
        <v>0</v>
      </c>
      <c r="K134" s="1">
        <f ca="1">$B134*('Updated Population'!K$125/'Updated Population'!$B$125)*('Total Trip Tables Sup #1'!K178/'Total Trip Tables Sup #1'!$B178)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OFFSET(Canterbury_Reference,56,5)</f>
        <v>1.5386198845000001</v>
      </c>
      <c r="C135" s="4">
        <f ca="1">$B135*('Updated Population'!C$125/'Updated Population'!$B$125)*('Total Trip Tables Sup #1'!C179/'Total Trip Tables Sup #1'!$B179)</f>
        <v>1.7162838742232993</v>
      </c>
      <c r="D135" s="4">
        <f ca="1">$B135*('Updated Population'!D$125/'Updated Population'!$B$125)*('Total Trip Tables Sup #1'!D179/'Total Trip Tables Sup #1'!$B179)</f>
        <v>1.8598991771431703</v>
      </c>
      <c r="E135" s="4">
        <f ca="1">$B135*('Updated Population'!E$125/'Updated Population'!$B$125)*('Total Trip Tables Sup #1'!E179/'Total Trip Tables Sup #1'!$B179)</f>
        <v>1.9707714154084484</v>
      </c>
      <c r="F135" s="4">
        <f ca="1">$B135*('Updated Population'!F$125/'Updated Population'!$B$125)*('Total Trip Tables Sup #1'!F179/'Total Trip Tables Sup #1'!$B179)</f>
        <v>2.065206027168744</v>
      </c>
      <c r="G135" s="4">
        <f ca="1">$B135*('Updated Population'!G$125/'Updated Population'!$B$125)*('Total Trip Tables Sup #1'!G179/'Total Trip Tables Sup #1'!$B179)</f>
        <v>2.1438790744916543</v>
      </c>
      <c r="H135" s="4">
        <f ca="1">$B135*('Updated Population'!H$125/'Updated Population'!$B$125)*('Total Trip Tables Sup #1'!H179/'Total Trip Tables Sup #1'!$B179)</f>
        <v>2.1926579442001106</v>
      </c>
      <c r="I135" s="1">
        <f ca="1">$B135*('Updated Population'!I$125/'Updated Population'!$B$125)*('Total Trip Tables Sup #1'!I179/'Total Trip Tables Sup #1'!$B179)</f>
        <v>2.2667059189877521</v>
      </c>
      <c r="J135" s="1">
        <f ca="1">$B135*('Updated Population'!J$125/'Updated Population'!$B$125)*('Total Trip Tables Sup #1'!J179/'Total Trip Tables Sup #1'!$B179)</f>
        <v>2.3359887141708535</v>
      </c>
      <c r="K135" s="1">
        <f ca="1">$B135*('Updated Population'!K$125/'Updated Population'!$B$125)*('Total Trip Tables Sup #1'!K179/'Total Trip Tables Sup #1'!$B179)</f>
        <v>2.4024098542609131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OFFSET(Otago_Reference,0,5)</f>
        <v>58.261736425999999</v>
      </c>
      <c r="C137" s="4">
        <f ca="1">$B137*('Updated Population'!C$136/'Updated Population'!$B$136)*('Total Trip Tables Sup #1'!C170/'Total Trip Tables Sup #1'!$B170)</f>
        <v>64.324050674211719</v>
      </c>
      <c r="D137" s="4">
        <f ca="1">$B137*('Updated Population'!D$136/'Updated Population'!$B$136)*('Total Trip Tables Sup #1'!D170/'Total Trip Tables Sup #1'!$B170)</f>
        <v>67.969352366753498</v>
      </c>
      <c r="E137" s="4">
        <f ca="1">$B137*('Updated Population'!E$136/'Updated Population'!$B$136)*('Total Trip Tables Sup #1'!E170/'Total Trip Tables Sup #1'!$B170)</f>
        <v>69.962608909743466</v>
      </c>
      <c r="F137" s="4">
        <f ca="1">$B137*('Updated Population'!F$136/'Updated Population'!$B$136)*('Total Trip Tables Sup #1'!F170/'Total Trip Tables Sup #1'!$B170)</f>
        <v>71.269338847664343</v>
      </c>
      <c r="G137" s="4">
        <f ca="1">$B137*('Updated Population'!G$136/'Updated Population'!$B$136)*('Total Trip Tables Sup #1'!G170/'Total Trip Tables Sup #1'!$B170)</f>
        <v>72.146997721171374</v>
      </c>
      <c r="H137" s="4">
        <f ca="1">$B137*('Updated Population'!H$136/'Updated Population'!$B$136)*('Total Trip Tables Sup #1'!H170/'Total Trip Tables Sup #1'!$B170)</f>
        <v>72.732204245658309</v>
      </c>
      <c r="I137" s="1">
        <f ca="1">$B137*('Updated Population'!I$136/'Updated Population'!$B$136)*('Total Trip Tables Sup #1'!I170/'Total Trip Tables Sup #1'!$B170)</f>
        <v>74.831138040024399</v>
      </c>
      <c r="J137" s="1">
        <f ca="1">$B137*('Updated Population'!J$136/'Updated Population'!$B$136)*('Total Trip Tables Sup #1'!J170/'Total Trip Tables Sup #1'!$B170)</f>
        <v>76.74858395362439</v>
      </c>
      <c r="K137" s="1">
        <f ca="1">$B137*('Updated Population'!K$136/'Updated Population'!$B$136)*('Total Trip Tables Sup #1'!K170/'Total Trip Tables Sup #1'!$B170)</f>
        <v>78.54949649058814</v>
      </c>
    </row>
    <row r="138" spans="1:11" x14ac:dyDescent="0.2">
      <c r="A138" t="str">
        <f ca="1">OFFSET(Otago_Reference,7,2)</f>
        <v>Cyclist</v>
      </c>
      <c r="B138" s="4">
        <f ca="1">OFFSET(Otago_Reference,7,5)</f>
        <v>4.5847179276999999</v>
      </c>
      <c r="C138" s="4">
        <f ca="1">$B138*('Updated Population'!C$136/'Updated Population'!$B$136)*('Total Trip Tables Sup #1'!C171/'Total Trip Tables Sup #1'!$B171)</f>
        <v>5.0615895697156104</v>
      </c>
      <c r="D138" s="4">
        <f ca="1">$B138*('Updated Population'!D$136/'Updated Population'!$B$136)*('Total Trip Tables Sup #1'!D171/'Total Trip Tables Sup #1'!$B171)</f>
        <v>5.3075769388120531</v>
      </c>
      <c r="E138" s="4">
        <f ca="1">$B138*('Updated Population'!E$136/'Updated Population'!$B$136)*('Total Trip Tables Sup #1'!E171/'Total Trip Tables Sup #1'!$B171)</f>
        <v>5.4091972185767734</v>
      </c>
      <c r="F138" s="4">
        <f ca="1">$B138*('Updated Population'!F$136/'Updated Population'!$B$136)*('Total Trip Tables Sup #1'!F171/'Total Trip Tables Sup #1'!$B171)</f>
        <v>5.5011539535935174</v>
      </c>
      <c r="G138" s="4">
        <f ca="1">$B138*('Updated Population'!G$136/'Updated Population'!$B$136)*('Total Trip Tables Sup #1'!G171/'Total Trip Tables Sup #1'!$B171)</f>
        <v>5.5791227828436574</v>
      </c>
      <c r="H138" s="4">
        <f ca="1">$B138*('Updated Population'!H$136/'Updated Population'!$B$136)*('Total Trip Tables Sup #1'!H171/'Total Trip Tables Sup #1'!$B171)</f>
        <v>5.6500328478997606</v>
      </c>
      <c r="I138" s="1">
        <f ca="1">$B138*('Updated Population'!I$136/'Updated Population'!$B$136)*('Total Trip Tables Sup #1'!I171/'Total Trip Tables Sup #1'!$B171)</f>
        <v>5.8130836588401316</v>
      </c>
      <c r="J138" s="1">
        <f ca="1">$B138*('Updated Population'!J$136/'Updated Population'!$B$136)*('Total Trip Tables Sup #1'!J171/'Total Trip Tables Sup #1'!$B171)</f>
        <v>5.9620360040670093</v>
      </c>
      <c r="K138" s="1">
        <f ca="1">$B138*('Updated Population'!K$136/'Updated Population'!$B$136)*('Total Trip Tables Sup #1'!K171/'Total Trip Tables Sup #1'!$B171)</f>
        <v>6.1019357238070038</v>
      </c>
    </row>
    <row r="139" spans="1:11" x14ac:dyDescent="0.2">
      <c r="A139" t="str">
        <f ca="1">OFFSET(Otago_Reference,14,2)</f>
        <v>Light Vehicle Driver</v>
      </c>
      <c r="B139" s="4">
        <f ca="1">OFFSET(Otago_Reference,14,5)</f>
        <v>150.49144967999999</v>
      </c>
      <c r="C139" s="4">
        <f ca="1">$B139*('Updated Population'!C$136/'Updated Population'!$B$136)*('Total Trip Tables Sup #1'!C172/'Total Trip Tables Sup #1'!$B172)</f>
        <v>170.27373896324758</v>
      </c>
      <c r="D139" s="4">
        <f ca="1">$B139*('Updated Population'!D$136/'Updated Population'!$B$136)*('Total Trip Tables Sup #1'!D172/'Total Trip Tables Sup #1'!$B172)</f>
        <v>182.66171436691175</v>
      </c>
      <c r="E139" s="4">
        <f ca="1">$B139*('Updated Population'!E$136/'Updated Population'!$B$136)*('Total Trip Tables Sup #1'!E172/'Total Trip Tables Sup #1'!$B172)</f>
        <v>192.78179661421896</v>
      </c>
      <c r="F139" s="4">
        <f ca="1">$B139*('Updated Population'!F$136/'Updated Population'!$B$136)*('Total Trip Tables Sup #1'!F172/'Total Trip Tables Sup #1'!$B172)</f>
        <v>202.00474464616164</v>
      </c>
      <c r="G139" s="4">
        <f ca="1">$B139*('Updated Population'!G$136/'Updated Population'!$B$136)*('Total Trip Tables Sup #1'!G172/'Total Trip Tables Sup #1'!$B172)</f>
        <v>208.94934386339551</v>
      </c>
      <c r="H139" s="4">
        <f ca="1">$B139*('Updated Population'!H$136/'Updated Population'!$B$136)*('Total Trip Tables Sup #1'!H172/'Total Trip Tables Sup #1'!$B172)</f>
        <v>215.00588706883275</v>
      </c>
      <c r="I139" s="1">
        <f ca="1">$B139*('Updated Population'!I$136/'Updated Population'!$B$136)*('Total Trip Tables Sup #1'!I172/'Total Trip Tables Sup #1'!$B172)</f>
        <v>221.21060926908658</v>
      </c>
      <c r="J139" s="1">
        <f ca="1">$B139*('Updated Population'!J$136/'Updated Population'!$B$136)*('Total Trip Tables Sup #1'!J172/'Total Trip Tables Sup #1'!$B172)</f>
        <v>226.87882961021126</v>
      </c>
      <c r="K139" s="1">
        <f ca="1">$B139*('Updated Population'!K$136/'Updated Population'!$B$136)*('Total Trip Tables Sup #1'!K172/'Total Trip Tables Sup #1'!$B172)</f>
        <v>232.2025620827684</v>
      </c>
    </row>
    <row r="140" spans="1:11" x14ac:dyDescent="0.2">
      <c r="A140" t="str">
        <f ca="1">OFFSET(Otago_Reference,21,2)</f>
        <v>Light Vehicle Passenger</v>
      </c>
      <c r="B140" s="4">
        <f ca="1">OFFSET(Otago_Reference,21,5)</f>
        <v>71.232164202000007</v>
      </c>
      <c r="C140" s="4">
        <f ca="1">$B140*('Updated Population'!C$136/'Updated Population'!$B$136)*('Total Trip Tables Sup #1'!C173/'Total Trip Tables Sup #1'!$B173)</f>
        <v>76.884991986097035</v>
      </c>
      <c r="D140" s="4">
        <f ca="1">$B140*('Updated Population'!D$136/'Updated Population'!$B$136)*('Total Trip Tables Sup #1'!D173/'Total Trip Tables Sup #1'!$B173)</f>
        <v>80.217745263129117</v>
      </c>
      <c r="E140" s="4">
        <f ca="1">$B140*('Updated Population'!E$136/'Updated Population'!$B$136)*('Total Trip Tables Sup #1'!E173/'Total Trip Tables Sup #1'!$B173)</f>
        <v>82.273327600463546</v>
      </c>
      <c r="F140" s="4">
        <f ca="1">$B140*('Updated Population'!F$136/'Updated Population'!$B$136)*('Total Trip Tables Sup #1'!F173/'Total Trip Tables Sup #1'!$B173)</f>
        <v>84.025109956441568</v>
      </c>
      <c r="G140" s="4">
        <f ca="1">$B140*('Updated Population'!G$136/'Updated Population'!$B$136)*('Total Trip Tables Sup #1'!G173/'Total Trip Tables Sup #1'!$B173)</f>
        <v>85.170266496397275</v>
      </c>
      <c r="H140" s="4">
        <f ca="1">$B140*('Updated Population'!H$136/'Updated Population'!$B$136)*('Total Trip Tables Sup #1'!H173/'Total Trip Tables Sup #1'!$B173)</f>
        <v>85.874997714156052</v>
      </c>
      <c r="I140" s="1">
        <f ca="1">$B140*('Updated Population'!I$136/'Updated Population'!$B$136)*('Total Trip Tables Sup #1'!I173/'Total Trip Tables Sup #1'!$B173)</f>
        <v>88.353211273923307</v>
      </c>
      <c r="J140" s="1">
        <f ca="1">$B140*('Updated Population'!J$136/'Updated Population'!$B$136)*('Total Trip Tables Sup #1'!J173/'Total Trip Tables Sup #1'!$B173)</f>
        <v>90.617141882863237</v>
      </c>
      <c r="K140" s="1">
        <f ca="1">$B140*('Updated Population'!K$136/'Updated Population'!$B$136)*('Total Trip Tables Sup #1'!K173/'Total Trip Tables Sup #1'!$B173)</f>
        <v>92.743481399163386</v>
      </c>
    </row>
    <row r="141" spans="1:11" x14ac:dyDescent="0.2">
      <c r="A141" t="str">
        <f ca="1">OFFSET(Otago_Reference,28,2)</f>
        <v>Taxi/Vehicle Share</v>
      </c>
      <c r="B141" s="4">
        <f ca="1">OFFSET(Otago_Reference,28,5)</f>
        <v>0.85820748670000002</v>
      </c>
      <c r="C141" s="4">
        <f ca="1">$B141*('Updated Population'!C$136/'Updated Population'!$B$136)*('Total Trip Tables Sup #1'!C174/'Total Trip Tables Sup #1'!$B174)</f>
        <v>1.0147609831290298</v>
      </c>
      <c r="D141" s="4">
        <f ca="1">$B141*('Updated Population'!D$136/'Updated Population'!$B$136)*('Total Trip Tables Sup #1'!D174/'Total Trip Tables Sup #1'!$B174)</f>
        <v>1.1283318192295977</v>
      </c>
      <c r="E141" s="4">
        <f ca="1">$B141*('Updated Population'!E$136/'Updated Population'!$B$136)*('Total Trip Tables Sup #1'!E174/'Total Trip Tables Sup #1'!$B174)</f>
        <v>1.2108221306737708</v>
      </c>
      <c r="F141" s="4">
        <f ca="1">$B141*('Updated Population'!F$136/'Updated Population'!$B$136)*('Total Trip Tables Sup #1'!F174/'Total Trip Tables Sup #1'!$B174)</f>
        <v>1.2810877809640391</v>
      </c>
      <c r="G141" s="4">
        <f ca="1">$B141*('Updated Population'!G$136/'Updated Population'!$B$136)*('Total Trip Tables Sup #1'!G174/'Total Trip Tables Sup #1'!$B174)</f>
        <v>1.3314846387991834</v>
      </c>
      <c r="H141" s="4">
        <f ca="1">$B141*('Updated Population'!H$136/'Updated Population'!$B$136)*('Total Trip Tables Sup #1'!H174/'Total Trip Tables Sup #1'!$B174)</f>
        <v>1.3784016253706084</v>
      </c>
      <c r="I141" s="1">
        <f ca="1">$B141*('Updated Population'!I$136/'Updated Population'!$B$136)*('Total Trip Tables Sup #1'!I174/'Total Trip Tables Sup #1'!$B174)</f>
        <v>1.4181800671723668</v>
      </c>
      <c r="J141" s="1">
        <f ca="1">$B141*('Updated Population'!J$136/'Updated Population'!$B$136)*('Total Trip Tables Sup #1'!J174/'Total Trip Tables Sup #1'!$B174)</f>
        <v>1.454518998341557</v>
      </c>
      <c r="K141" s="1">
        <f ca="1">$B141*('Updated Population'!K$136/'Updated Population'!$B$136)*('Total Trip Tables Sup #1'!K174/'Total Trip Tables Sup #1'!$B174)</f>
        <v>1.48864941957445</v>
      </c>
    </row>
    <row r="142" spans="1:11" x14ac:dyDescent="0.2">
      <c r="A142" t="str">
        <f ca="1">OFFSET(Otago_Reference,35,2)</f>
        <v>Motorcyclist</v>
      </c>
      <c r="B142" s="4">
        <f ca="1">OFFSET(Otago_Reference,35,5)</f>
        <v>2.0937246197000001</v>
      </c>
      <c r="C142" s="4">
        <f ca="1">$B142*('Updated Population'!C$136/'Updated Population'!$B$136)*('Total Trip Tables Sup #1'!C175/'Total Trip Tables Sup #1'!$B175)</f>
        <v>2.3070162016164231</v>
      </c>
      <c r="D142" s="4">
        <f ca="1">$B142*('Updated Population'!D$136/'Updated Population'!$B$136)*('Total Trip Tables Sup #1'!D175/'Total Trip Tables Sup #1'!$B175)</f>
        <v>2.4135780029745937</v>
      </c>
      <c r="E142" s="4">
        <f ca="1">$B142*('Updated Population'!E$136/'Updated Population'!$B$136)*('Total Trip Tables Sup #1'!E175/'Total Trip Tables Sup #1'!$B175)</f>
        <v>2.4822632533907556</v>
      </c>
      <c r="F142" s="4">
        <f ca="1">$B142*('Updated Population'!F$136/'Updated Population'!$B$136)*('Total Trip Tables Sup #1'!F175/'Total Trip Tables Sup #1'!$B175)</f>
        <v>2.5326275940404099</v>
      </c>
      <c r="G142" s="4">
        <f ca="1">$B142*('Updated Population'!G$136/'Updated Population'!$B$136)*('Total Trip Tables Sup #1'!G175/'Total Trip Tables Sup #1'!$B175)</f>
        <v>2.5369275699215654</v>
      </c>
      <c r="H142" s="4">
        <f ca="1">$B142*('Updated Population'!H$136/'Updated Population'!$B$136)*('Total Trip Tables Sup #1'!H175/'Total Trip Tables Sup #1'!$B175)</f>
        <v>2.5235641671723159</v>
      </c>
      <c r="I142" s="1">
        <f ca="1">$B142*('Updated Population'!I$136/'Updated Population'!$B$136)*('Total Trip Tables Sup #1'!I175/'Total Trip Tables Sup #1'!$B175)</f>
        <v>2.596390148010721</v>
      </c>
      <c r="J142" s="1">
        <f ca="1">$B142*('Updated Population'!J$136/'Updated Population'!$B$136)*('Total Trip Tables Sup #1'!J175/'Total Trip Tables Sup #1'!$B175)</f>
        <v>2.6629191065406799</v>
      </c>
      <c r="K142" s="1">
        <f ca="1">$B142*('Updated Population'!K$136/'Updated Population'!$B$136)*('Total Trip Tables Sup #1'!K175/'Total Trip Tables Sup #1'!$B175)</f>
        <v>2.7254047467550611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Trip Tables Sup #1'!C176/'Total Trip Tables Sup #1'!$B176)</f>
        <v>0</v>
      </c>
      <c r="D143" s="4">
        <f ca="1">$B143*('Updated Population'!D$136/'Updated Population'!$B$136)*('Total Trip Tables Sup #1'!D176/'Total Trip Tables Sup #1'!$B176)</f>
        <v>0</v>
      </c>
      <c r="E143" s="4">
        <f ca="1">$B143*('Updated Population'!E$136/'Updated Population'!$B$136)*('Total Trip Tables Sup #1'!E176/'Total Trip Tables Sup #1'!$B176)</f>
        <v>0</v>
      </c>
      <c r="F143" s="4">
        <f ca="1">$B143*('Updated Population'!F$136/'Updated Population'!$B$136)*('Total Trip Tables Sup #1'!F176/'Total Trip Tables Sup #1'!$B176)</f>
        <v>0</v>
      </c>
      <c r="G143" s="4">
        <f ca="1">$B143*('Updated Population'!G$136/'Updated Population'!$B$136)*('Total Trip Tables Sup #1'!G176/'Total Trip Tables Sup #1'!$B176)</f>
        <v>0</v>
      </c>
      <c r="H143" s="4">
        <f ca="1">$B143*('Updated Population'!H$136/'Updated Population'!$B$136)*('Total Trip Tables Sup #1'!H176/'Total Trip Tables Sup #1'!$B176)</f>
        <v>0</v>
      </c>
      <c r="I143" s="1">
        <f ca="1">$B143*('Updated Population'!I$136/'Updated Population'!$B$136)*('Total Trip Tables Sup #1'!I176/'Total Trip Tables Sup #1'!$B176)</f>
        <v>0</v>
      </c>
      <c r="J143" s="1">
        <f ca="1">$B143*('Updated Population'!J$136/'Updated Population'!$B$136)*('Total Trip Tables Sup #1'!J176/'Total Trip Tables Sup #1'!$B176)</f>
        <v>0</v>
      </c>
      <c r="K143" s="1">
        <f ca="1">$B143*('Updated Population'!K$136/'Updated Population'!$B$136)*('Total Trip Tables Sup #1'!K176/'Total Trip Tables Sup #1'!$B176)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OFFSET(Otago_Reference,42,5)</f>
        <v>4.2627057848999996</v>
      </c>
      <c r="C144" s="4">
        <f ca="1">$B144*('Updated Population'!C$136/'Updated Population'!$B$136)*('Total Trip Tables Sup #1'!C177/'Total Trip Tables Sup #1'!$B177)</f>
        <v>4.4284048707155295</v>
      </c>
      <c r="D144" s="4">
        <f ca="1">$B144*('Updated Population'!D$136/'Updated Population'!$B$136)*('Total Trip Tables Sup #1'!D177/'Total Trip Tables Sup #1'!$B177)</f>
        <v>4.5057879573164676</v>
      </c>
      <c r="E144" s="4">
        <f ca="1">$B144*('Updated Population'!E$136/'Updated Population'!$B$136)*('Total Trip Tables Sup #1'!E177/'Total Trip Tables Sup #1'!$B177)</f>
        <v>4.5721625499709075</v>
      </c>
      <c r="F144" s="4">
        <f ca="1">$B144*('Updated Population'!F$136/'Updated Population'!$B$136)*('Total Trip Tables Sup #1'!F177/'Total Trip Tables Sup #1'!$B177)</f>
        <v>4.5733245333421539</v>
      </c>
      <c r="G144" s="4">
        <f ca="1">$B144*('Updated Population'!G$136/'Updated Population'!$B$136)*('Total Trip Tables Sup #1'!G177/'Total Trip Tables Sup #1'!$B177)</f>
        <v>4.5864142676221826</v>
      </c>
      <c r="H144" s="4">
        <f ca="1">$B144*('Updated Population'!H$136/'Updated Population'!$B$136)*('Total Trip Tables Sup #1'!H177/'Total Trip Tables Sup #1'!$B177)</f>
        <v>4.5735596166776169</v>
      </c>
      <c r="I144" s="1">
        <f ca="1">$B144*('Updated Population'!I$136/'Updated Population'!$B$136)*('Total Trip Tables Sup #1'!I177/'Total Trip Tables Sup #1'!$B177)</f>
        <v>4.7055451510025401</v>
      </c>
      <c r="J144" s="1">
        <f ca="1">$B144*('Updated Population'!J$136/'Updated Population'!$B$136)*('Total Trip Tables Sup #1'!J177/'Total Trip Tables Sup #1'!$B177)</f>
        <v>4.8261183315978187</v>
      </c>
      <c r="K144" s="1">
        <f ca="1">$B144*('Updated Population'!K$136/'Updated Population'!$B$136)*('Total Trip Tables Sup #1'!K177/'Total Trip Tables Sup #1'!$B177)</f>
        <v>4.939363639335312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Trip Tables Sup #1'!C178/'Total Trip Tables Sup #1'!$B178)</f>
        <v>0</v>
      </c>
      <c r="D145" s="4">
        <f ca="1">$B145*('Updated Population'!D$136/'Updated Population'!$B$136)*('Total Trip Tables Sup #1'!D178/'Total Trip Tables Sup #1'!$B178)</f>
        <v>0</v>
      </c>
      <c r="E145" s="4">
        <f ca="1">$B145*('Updated Population'!E$136/'Updated Population'!$B$136)*('Total Trip Tables Sup #1'!E178/'Total Trip Tables Sup #1'!$B178)</f>
        <v>0</v>
      </c>
      <c r="F145" s="4">
        <f ca="1">$B145*('Updated Population'!F$136/'Updated Population'!$B$136)*('Total Trip Tables Sup #1'!F178/'Total Trip Tables Sup #1'!$B178)</f>
        <v>0</v>
      </c>
      <c r="G145" s="4">
        <f ca="1">$B145*('Updated Population'!G$136/'Updated Population'!$B$136)*('Total Trip Tables Sup #1'!G178/'Total Trip Tables Sup #1'!$B178)</f>
        <v>0</v>
      </c>
      <c r="H145" s="4">
        <f ca="1">$B145*('Updated Population'!H$136/'Updated Population'!$B$136)*('Total Trip Tables Sup #1'!H178/'Total Trip Tables Sup #1'!$B178)</f>
        <v>0</v>
      </c>
      <c r="I145" s="1">
        <f ca="1">$B145*('Updated Population'!I$136/'Updated Population'!$B$136)*('Total Trip Tables Sup #1'!I178/'Total Trip Tables Sup #1'!$B178)</f>
        <v>0</v>
      </c>
      <c r="J145" s="1">
        <f ca="1">$B145*('Updated Population'!J$136/'Updated Population'!$B$136)*('Total Trip Tables Sup #1'!J178/'Total Trip Tables Sup #1'!$B178)</f>
        <v>0</v>
      </c>
      <c r="K145" s="1">
        <f ca="1">$B145*('Updated Population'!K$136/'Updated Population'!$B$136)*('Total Trip Tables Sup #1'!K178/'Total Trip Tables Sup #1'!$B178)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OFFSET(Otago_Reference,49,5)</f>
        <v>0.77539158779999995</v>
      </c>
      <c r="C146" s="4">
        <f ca="1">$B146*('Updated Population'!C$136/'Updated Population'!$B$136)*('Total Trip Tables Sup #1'!C179/'Total Trip Tables Sup #1'!$B179)</f>
        <v>0.86299640189210147</v>
      </c>
      <c r="D146" s="4">
        <f ca="1">$B146*('Updated Population'!D$136/'Updated Population'!$B$136)*('Total Trip Tables Sup #1'!D179/'Total Trip Tables Sup #1'!$B179)</f>
        <v>0.93270326880961241</v>
      </c>
      <c r="E146" s="4">
        <f ca="1">$B146*('Updated Population'!E$136/'Updated Population'!$B$136)*('Total Trip Tables Sup #1'!E179/'Total Trip Tables Sup #1'!$B179)</f>
        <v>0.98342293884483145</v>
      </c>
      <c r="F146" s="4">
        <f ca="1">$B146*('Updated Population'!F$136/'Updated Population'!$B$136)*('Total Trip Tables Sup #1'!F179/'Total Trip Tables Sup #1'!$B179)</f>
        <v>1.0257553023436445</v>
      </c>
      <c r="G146" s="4">
        <f ca="1">$B146*('Updated Population'!G$136/'Updated Population'!$B$136)*('Total Trip Tables Sup #1'!G179/'Total Trip Tables Sup #1'!$B179)</f>
        <v>1.0594799136256603</v>
      </c>
      <c r="H146" s="4">
        <f ca="1">$B146*('Updated Population'!H$136/'Updated Population'!$B$136)*('Total Trip Tables Sup #1'!H179/'Total Trip Tables Sup #1'!$B179)</f>
        <v>1.0784913343774494</v>
      </c>
      <c r="I146" s="1">
        <f ca="1">$B146*('Updated Population'!I$136/'Updated Population'!$B$136)*('Total Trip Tables Sup #1'!I179/'Total Trip Tables Sup #1'!$B179)</f>
        <v>1.1096148501863481</v>
      </c>
      <c r="J146" s="1">
        <f ca="1">$B146*('Updated Population'!J$136/'Updated Population'!$B$136)*('Total Trip Tables Sup #1'!J179/'Total Trip Tables Sup #1'!$B179)</f>
        <v>1.1380472182604735</v>
      </c>
      <c r="K146" s="1">
        <f ca="1">$B146*('Updated Population'!K$136/'Updated Population'!$B$136)*('Total Trip Tables Sup #1'!K179/'Total Trip Tables Sup #1'!$B179)</f>
        <v>1.1647516002495983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OFFSET(Southland_Reference,0,5)</f>
        <v>12.52065131</v>
      </c>
      <c r="C148" s="4">
        <f ca="1">$B148*('Updated Population'!C$147/'Updated Population'!$B$147)*('Total Trip Tables Sup #1'!C170/'Total Trip Tables Sup #1'!$B170)</f>
        <v>12.752541331238916</v>
      </c>
      <c r="D148" s="4">
        <f ca="1">$B148*('Updated Population'!D$147/'Updated Population'!$B$147)*('Total Trip Tables Sup #1'!D170/'Total Trip Tables Sup #1'!$B170)</f>
        <v>12.662156418747795</v>
      </c>
      <c r="E148" s="4">
        <f ca="1">$B148*('Updated Population'!E$147/'Updated Population'!$B$147)*('Total Trip Tables Sup #1'!E170/'Total Trip Tables Sup #1'!$B170)</f>
        <v>12.457622558282123</v>
      </c>
      <c r="F148" s="4">
        <f ca="1">$B148*('Updated Population'!F$147/'Updated Population'!$B$147)*('Total Trip Tables Sup #1'!F170/'Total Trip Tables Sup #1'!$B170)</f>
        <v>12.152045919572812</v>
      </c>
      <c r="G148" s="4">
        <f ca="1">$B148*('Updated Population'!G$147/'Updated Population'!$B$147)*('Total Trip Tables Sup #1'!G170/'Total Trip Tables Sup #1'!$B170)</f>
        <v>11.792216871057118</v>
      </c>
      <c r="H148" s="4">
        <f ca="1">$B148*('Updated Population'!H$147/'Updated Population'!$B$147)*('Total Trip Tables Sup #1'!H170/'Total Trip Tables Sup #1'!$B170)</f>
        <v>11.400032585347638</v>
      </c>
      <c r="I148" s="1">
        <f ca="1">$B148*('Updated Population'!I$147/'Updated Population'!$B$147)*('Total Trip Tables Sup #1'!I170/'Total Trip Tables Sup #1'!$B170)</f>
        <v>11.2473223114782</v>
      </c>
      <c r="J148" s="1">
        <f ca="1">$B148*('Updated Population'!J$147/'Updated Population'!$B$147)*('Total Trip Tables Sup #1'!J170/'Total Trip Tables Sup #1'!$B170)</f>
        <v>11.061335109909651</v>
      </c>
      <c r="K148" s="1">
        <f ca="1">$B148*('Updated Population'!K$147/'Updated Population'!$B$147)*('Total Trip Tables Sup #1'!K170/'Total Trip Tables Sup #1'!$B170)</f>
        <v>10.85504498268357</v>
      </c>
    </row>
    <row r="149" spans="1:11" x14ac:dyDescent="0.2">
      <c r="A149" t="str">
        <f ca="1">OFFSET(Southland_Reference,7,2)</f>
        <v>Cyclist</v>
      </c>
      <c r="B149" s="4">
        <f ca="1">OFFSET(Southland_Reference,7,5)</f>
        <v>1.0312878256</v>
      </c>
      <c r="C149" s="4">
        <f ca="1">$B149*('Updated Population'!C$147/'Updated Population'!$B$147)*('Total Trip Tables Sup #1'!C171/'Total Trip Tables Sup #1'!$B171)</f>
        <v>1.050350034104903</v>
      </c>
      <c r="D149" s="4">
        <f ca="1">$B149*('Updated Population'!D$147/'Updated Population'!$B$147)*('Total Trip Tables Sup #1'!D171/'Total Trip Tables Sup #1'!$B171)</f>
        <v>1.0349386683061006</v>
      </c>
      <c r="E149" s="4">
        <f ca="1">$B149*('Updated Population'!E$147/'Updated Population'!$B$147)*('Total Trip Tables Sup #1'!E171/'Total Trip Tables Sup #1'!$B171)</f>
        <v>1.0081514092379933</v>
      </c>
      <c r="F149" s="4">
        <f ca="1">$B149*('Updated Population'!F$147/'Updated Population'!$B$147)*('Total Trip Tables Sup #1'!F171/'Total Trip Tables Sup #1'!$B171)</f>
        <v>0.98180274987015637</v>
      </c>
      <c r="G149" s="4">
        <f ca="1">$B149*('Updated Population'!G$147/'Updated Population'!$B$147)*('Total Trip Tables Sup #1'!G171/'Total Trip Tables Sup #1'!$B171)</f>
        <v>0.95448011854068193</v>
      </c>
      <c r="H149" s="4">
        <f ca="1">$B149*('Updated Population'!H$147/'Updated Population'!$B$147)*('Total Trip Tables Sup #1'!H171/'Total Trip Tables Sup #1'!$B171)</f>
        <v>0.92694526166867219</v>
      </c>
      <c r="I149" s="1">
        <f ca="1">$B149*('Updated Population'!I$147/'Updated Population'!$B$147)*('Total Trip Tables Sup #1'!I171/'Total Trip Tables Sup #1'!$B171)</f>
        <v>0.91452827393537917</v>
      </c>
      <c r="J149" s="1">
        <f ca="1">$B149*('Updated Population'!J$147/'Updated Population'!$B$147)*('Total Trip Tables Sup #1'!J171/'Total Trip Tables Sup #1'!$B171)</f>
        <v>0.89940551407181801</v>
      </c>
      <c r="K149" s="1">
        <f ca="1">$B149*('Updated Population'!K$147/'Updated Population'!$B$147)*('Total Trip Tables Sup #1'!K171/'Total Trip Tables Sup #1'!$B171)</f>
        <v>0.88263190798519908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OFFSET(Southland_Reference,14,5)</f>
        <v>66.981547285000005</v>
      </c>
      <c r="C150" s="4">
        <f ca="1">$B150*('Updated Population'!C$147/'Updated Population'!$B$147)*('Total Trip Tables Sup #1'!C172/'Total Trip Tables Sup #1'!$B172)</f>
        <v>69.915083390051251</v>
      </c>
      <c r="D150" s="4">
        <f ca="1">$B150*('Updated Population'!D$147/'Updated Population'!$B$147)*('Total Trip Tables Sup #1'!D172/'Total Trip Tables Sup #1'!$B172)</f>
        <v>70.476109996632857</v>
      </c>
      <c r="E150" s="4">
        <f ca="1">$B150*('Updated Population'!E$147/'Updated Population'!$B$147)*('Total Trip Tables Sup #1'!E172/'Total Trip Tables Sup #1'!$B172)</f>
        <v>71.094343601426587</v>
      </c>
      <c r="F150" s="4">
        <f ca="1">$B150*('Updated Population'!F$147/'Updated Population'!$B$147)*('Total Trip Tables Sup #1'!F172/'Total Trip Tables Sup #1'!$B172)</f>
        <v>71.335891848092317</v>
      </c>
      <c r="G150" s="4">
        <f ca="1">$B150*('Updated Population'!G$147/'Updated Population'!$B$147)*('Total Trip Tables Sup #1'!G172/'Total Trip Tables Sup #1'!$B172)</f>
        <v>70.732345414562033</v>
      </c>
      <c r="H150" s="4">
        <f ca="1">$B150*('Updated Population'!H$147/'Updated Population'!$B$147)*('Total Trip Tables Sup #1'!H172/'Total Trip Tables Sup #1'!$B172)</f>
        <v>69.795841472657528</v>
      </c>
      <c r="I150" s="1">
        <f ca="1">$B150*('Updated Population'!I$147/'Updated Population'!$B$147)*('Total Trip Tables Sup #1'!I172/'Total Trip Tables Sup #1'!$B172)</f>
        <v>68.860884314733539</v>
      </c>
      <c r="J150" s="1">
        <f ca="1">$B150*('Updated Population'!J$147/'Updated Population'!$B$147)*('Total Trip Tables Sup #1'!J172/'Total Trip Tables Sup #1'!$B172)</f>
        <v>67.722191671582138</v>
      </c>
      <c r="K150" s="1">
        <f ca="1">$B150*('Updated Population'!K$147/'Updated Population'!$B$147)*('Total Trip Tables Sup #1'!K172/'Total Trip Tables Sup #1'!$B172)</f>
        <v>66.459195894205877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OFFSET(Southland_Reference,21,5)</f>
        <v>28.419434702</v>
      </c>
      <c r="C151" s="4">
        <f ca="1">$B151*('Updated Population'!C$147/'Updated Population'!$B$147)*('Total Trip Tables Sup #1'!C173/'Total Trip Tables Sup #1'!$B173)</f>
        <v>28.298324771941971</v>
      </c>
      <c r="D151" s="4">
        <f ca="1">$B151*('Updated Population'!D$147/'Updated Population'!$B$147)*('Total Trip Tables Sup #1'!D173/'Total Trip Tables Sup #1'!$B173)</f>
        <v>27.743470803726552</v>
      </c>
      <c r="E151" s="4">
        <f ca="1">$B151*('Updated Population'!E$147/'Updated Population'!$B$147)*('Total Trip Tables Sup #1'!E173/'Total Trip Tables Sup #1'!$B173)</f>
        <v>27.197189935808687</v>
      </c>
      <c r="F151" s="4">
        <f ca="1">$B151*('Updated Population'!F$147/'Updated Population'!$B$147)*('Total Trip Tables Sup #1'!F173/'Total Trip Tables Sup #1'!$B173)</f>
        <v>26.598157921206955</v>
      </c>
      <c r="G151" s="4">
        <f ca="1">$B151*('Updated Population'!G$147/'Updated Population'!$B$147)*('Total Trip Tables Sup #1'!G173/'Total Trip Tables Sup #1'!$B173)</f>
        <v>25.844075390665111</v>
      </c>
      <c r="H151" s="4">
        <f ca="1">$B151*('Updated Population'!H$147/'Updated Population'!$B$147)*('Total Trip Tables Sup #1'!H173/'Total Trip Tables Sup #1'!$B173)</f>
        <v>24.988597417158765</v>
      </c>
      <c r="I151" s="1">
        <f ca="1">$B151*('Updated Population'!I$147/'Updated Population'!$B$147)*('Total Trip Tables Sup #1'!I173/'Total Trip Tables Sup #1'!$B173)</f>
        <v>24.653860167364225</v>
      </c>
      <c r="J151" s="1">
        <f ca="1">$B151*('Updated Population'!J$147/'Updated Population'!$B$147)*('Total Trip Tables Sup #1'!J173/'Total Trip Tables Sup #1'!$B173)</f>
        <v>24.246180691893784</v>
      </c>
      <c r="K151" s="1">
        <f ca="1">$B151*('Updated Population'!K$147/'Updated Population'!$B$147)*('Total Trip Tables Sup #1'!K173/'Total Trip Tables Sup #1'!$B173)</f>
        <v>23.793997691380909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OFFSET(Southland_Reference,28,5)</f>
        <v>0.47613164409999997</v>
      </c>
      <c r="C152" s="4">
        <f ca="1">$B152*('Updated Population'!C$147/'Updated Population'!$B$147)*('Total Trip Tables Sup #1'!C174/'Total Trip Tables Sup #1'!$B174)</f>
        <v>0.51937179990507643</v>
      </c>
      <c r="D152" s="4">
        <f ca="1">$B152*('Updated Population'!D$147/'Updated Population'!$B$147)*('Total Trip Tables Sup #1'!D174/'Total Trip Tables Sup #1'!$B174)</f>
        <v>0.54265352463537175</v>
      </c>
      <c r="E152" s="4">
        <f ca="1">$B152*('Updated Population'!E$147/'Updated Population'!$B$147)*('Total Trip Tables Sup #1'!E174/'Total Trip Tables Sup #1'!$B174)</f>
        <v>0.55659688689592468</v>
      </c>
      <c r="F152" s="4">
        <f ca="1">$B152*('Updated Population'!F$147/'Updated Population'!$B$147)*('Total Trip Tables Sup #1'!F174/'Total Trip Tables Sup #1'!$B174)</f>
        <v>0.56391910883599794</v>
      </c>
      <c r="G152" s="4">
        <f ca="1">$B152*('Updated Population'!G$147/'Updated Population'!$B$147)*('Total Trip Tables Sup #1'!G174/'Total Trip Tables Sup #1'!$B174)</f>
        <v>0.5618295855246489</v>
      </c>
      <c r="H152" s="4">
        <f ca="1">$B152*('Updated Population'!H$147/'Updated Population'!$B$147)*('Total Trip Tables Sup #1'!H174/'Total Trip Tables Sup #1'!$B174)</f>
        <v>0.55775872151861339</v>
      </c>
      <c r="I152" s="1">
        <f ca="1">$B152*('Updated Population'!I$147/'Updated Population'!$B$147)*('Total Trip Tables Sup #1'!I174/'Total Trip Tables Sup #1'!$B174)</f>
        <v>0.5502872089173555</v>
      </c>
      <c r="J152" s="1">
        <f ca="1">$B152*('Updated Population'!J$147/'Updated Population'!$B$147)*('Total Trip Tables Sup #1'!J174/'Total Trip Tables Sup #1'!$B174)</f>
        <v>0.54118758722863958</v>
      </c>
      <c r="K152" s="1">
        <f ca="1">$B152*('Updated Population'!K$147/'Updated Population'!$B$147)*('Total Trip Tables Sup #1'!K174/'Total Trip Tables Sup #1'!$B174)</f>
        <v>0.53109462330400847</v>
      </c>
    </row>
    <row r="153" spans="1:11" x14ac:dyDescent="0.2">
      <c r="A153" t="str">
        <f ca="1">OFFSET(Southland_Reference,35,2)</f>
        <v>Motorcyclist</v>
      </c>
      <c r="B153" s="4">
        <f ca="1">OFFSET(Southland_Reference,35,5)</f>
        <v>0.62652592730000001</v>
      </c>
      <c r="C153" s="4">
        <f ca="1">$B153*('Updated Population'!C$147/'Updated Population'!$B$147)*('Total Trip Tables Sup #1'!C175/'Total Trip Tables Sup #1'!$B175)</f>
        <v>0.63686882443001425</v>
      </c>
      <c r="D153" s="4">
        <f ca="1">$B153*('Updated Population'!D$147/'Updated Population'!$B$147)*('Total Trip Tables Sup #1'!D175/'Total Trip Tables Sup #1'!$B175)</f>
        <v>0.6260829439347454</v>
      </c>
      <c r="E153" s="4">
        <f ca="1">$B153*('Updated Population'!E$147/'Updated Population'!$B$147)*('Total Trip Tables Sup #1'!E175/'Total Trip Tables Sup #1'!$B175)</f>
        <v>0.61545032014977508</v>
      </c>
      <c r="F153" s="4">
        <f ca="1">$B153*('Updated Population'!F$147/'Updated Population'!$B$147)*('Total Trip Tables Sup #1'!F175/'Total Trip Tables Sup #1'!$B175)</f>
        <v>0.60130386817866832</v>
      </c>
      <c r="G153" s="4">
        <f ca="1">$B153*('Updated Population'!G$147/'Updated Population'!$B$147)*('Total Trip Tables Sup #1'!G175/'Total Trip Tables Sup #1'!$B175)</f>
        <v>0.57737935868398171</v>
      </c>
      <c r="H153" s="4">
        <f ca="1">$B153*('Updated Population'!H$147/'Updated Population'!$B$147)*('Total Trip Tables Sup #1'!H175/'Total Trip Tables Sup #1'!$B175)</f>
        <v>0.55076925162631984</v>
      </c>
      <c r="I153" s="1">
        <f ca="1">$B153*('Updated Population'!I$147/'Updated Population'!$B$147)*('Total Trip Tables Sup #1'!I175/'Total Trip Tables Sup #1'!$B175)</f>
        <v>0.54339136716633818</v>
      </c>
      <c r="J153" s="1">
        <f ca="1">$B153*('Updated Population'!J$147/'Updated Population'!$B$147)*('Total Trip Tables Sup #1'!J175/'Total Trip Tables Sup #1'!$B175)</f>
        <v>0.53440577602411254</v>
      </c>
      <c r="K153" s="1">
        <f ca="1">$B153*('Updated Population'!K$147/'Updated Population'!$B$147)*('Total Trip Tables Sup #1'!K175/'Total Trip Tables Sup #1'!$B175)</f>
        <v>0.52443929056544458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Trip Tables Sup #1'!C176/'Total Trip Tables Sup #1'!$B176)</f>
        <v>0</v>
      </c>
      <c r="D154" s="4">
        <f ca="1">$B154*('Updated Population'!D$147/'Updated Population'!$B$147)*('Total Trip Tables Sup #1'!D176/'Total Trip Tables Sup #1'!$B176)</f>
        <v>0</v>
      </c>
      <c r="E154" s="4">
        <f ca="1">$B154*('Updated Population'!E$147/'Updated Population'!$B$147)*('Total Trip Tables Sup #1'!E176/'Total Trip Tables Sup #1'!$B176)</f>
        <v>0</v>
      </c>
      <c r="F154" s="4">
        <f ca="1">$B154*('Updated Population'!F$147/'Updated Population'!$B$147)*('Total Trip Tables Sup #1'!F176/'Total Trip Tables Sup #1'!$B176)</f>
        <v>0</v>
      </c>
      <c r="G154" s="4">
        <f ca="1">$B154*('Updated Population'!G$147/'Updated Population'!$B$147)*('Total Trip Tables Sup #1'!G176/'Total Trip Tables Sup #1'!$B176)</f>
        <v>0</v>
      </c>
      <c r="H154" s="4">
        <f ca="1">$B154*('Updated Population'!H$147/'Updated Population'!$B$147)*('Total Trip Tables Sup #1'!H176/'Total Trip Tables Sup #1'!$B176)</f>
        <v>0</v>
      </c>
      <c r="I154" s="1">
        <f ca="1">$B154*('Updated Population'!I$147/'Updated Population'!$B$147)*('Total Trip Tables Sup #1'!I176/'Total Trip Tables Sup #1'!$B176)</f>
        <v>0</v>
      </c>
      <c r="J154" s="1">
        <f ca="1">$B154*('Updated Population'!J$147/'Updated Population'!$B$147)*('Total Trip Tables Sup #1'!J176/'Total Trip Tables Sup #1'!$B176)</f>
        <v>0</v>
      </c>
      <c r="K154" s="1">
        <f ca="1">$B154*('Updated Population'!K$147/'Updated Population'!$B$147)*('Total Trip Tables Sup #1'!K176/'Total Trip Tables Sup #1'!$B176)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OFFSET(Southland_Reference,42,5)</f>
        <v>2.6369167839999998</v>
      </c>
      <c r="C155" s="4">
        <f ca="1">$B155*('Updated Population'!C$147/'Updated Population'!$B$147)*('Total Trip Tables Sup #1'!C177/'Total Trip Tables Sup #1'!$B177)</f>
        <v>2.5271920311928278</v>
      </c>
      <c r="D155" s="4">
        <f ca="1">$B155*('Updated Population'!D$147/'Updated Population'!$B$147)*('Total Trip Tables Sup #1'!D177/'Total Trip Tables Sup #1'!$B177)</f>
        <v>2.4161998976732009</v>
      </c>
      <c r="E155" s="4">
        <f ca="1">$B155*('Updated Population'!E$147/'Updated Population'!$B$147)*('Total Trip Tables Sup #1'!E177/'Total Trip Tables Sup #1'!$B177)</f>
        <v>2.3434646344238921</v>
      </c>
      <c r="F155" s="4">
        <f ca="1">$B155*('Updated Population'!F$147/'Updated Population'!$B$147)*('Total Trip Tables Sup #1'!F177/'Total Trip Tables Sup #1'!$B177)</f>
        <v>2.2446377488539162</v>
      </c>
      <c r="G155" s="4">
        <f ca="1">$B155*('Updated Population'!G$147/'Updated Population'!$B$147)*('Total Trip Tables Sup #1'!G177/'Total Trip Tables Sup #1'!$B177)</f>
        <v>2.157834058113913</v>
      </c>
      <c r="H155" s="4">
        <f ca="1">$B155*('Updated Population'!H$147/'Updated Population'!$B$147)*('Total Trip Tables Sup #1'!H177/'Total Trip Tables Sup #1'!$B177)</f>
        <v>2.063484718231086</v>
      </c>
      <c r="I155" s="1">
        <f ca="1">$B155*('Updated Population'!I$147/'Updated Population'!$B$147)*('Total Trip Tables Sup #1'!I177/'Total Trip Tables Sup #1'!$B177)</f>
        <v>2.0358431028157509</v>
      </c>
      <c r="J155" s="1">
        <f ca="1">$B155*('Updated Population'!J$147/'Updated Population'!$B$147)*('Total Trip Tables Sup #1'!J177/'Total Trip Tables Sup #1'!$B177)</f>
        <v>2.002178133408862</v>
      </c>
      <c r="K155" s="1">
        <f ca="1">$B155*('Updated Population'!K$147/'Updated Population'!$B$147)*('Total Trip Tables Sup #1'!K177/'Total Trip Tables Sup #1'!$B177)</f>
        <v>1.9648381940827162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Trip Tables Sup #1'!C178/'Total Trip Tables Sup #1'!$B178)</f>
        <v>0</v>
      </c>
      <c r="D156" s="4">
        <f ca="1">$B156*('Updated Population'!D$147/'Updated Population'!$B$147)*('Total Trip Tables Sup #1'!D178/'Total Trip Tables Sup #1'!$B178)</f>
        <v>0</v>
      </c>
      <c r="E156" s="4">
        <f ca="1">$B156*('Updated Population'!E$147/'Updated Population'!$B$147)*('Total Trip Tables Sup #1'!E178/'Total Trip Tables Sup #1'!$B178)</f>
        <v>0</v>
      </c>
      <c r="F156" s="4">
        <f ca="1">$B156*('Updated Population'!F$147/'Updated Population'!$B$147)*('Total Trip Tables Sup #1'!F178/'Total Trip Tables Sup #1'!$B178)</f>
        <v>0</v>
      </c>
      <c r="G156" s="4">
        <f ca="1">$B156*('Updated Population'!G$147/'Updated Population'!$B$147)*('Total Trip Tables Sup #1'!G178/'Total Trip Tables Sup #1'!$B178)</f>
        <v>0</v>
      </c>
      <c r="H156" s="4">
        <f ca="1">$B156*('Updated Population'!H$147/'Updated Population'!$B$147)*('Total Trip Tables Sup #1'!H178/'Total Trip Tables Sup #1'!$B178)</f>
        <v>0</v>
      </c>
      <c r="I156" s="1">
        <f ca="1">$B156*('Updated Population'!I$147/'Updated Population'!$B$147)*('Total Trip Tables Sup #1'!I178/'Total Trip Tables Sup #1'!$B178)</f>
        <v>0</v>
      </c>
      <c r="J156" s="1">
        <f ca="1">$B156*('Updated Population'!J$147/'Updated Population'!$B$147)*('Total Trip Tables Sup #1'!J178/'Total Trip Tables Sup #1'!$B178)</f>
        <v>0</v>
      </c>
      <c r="K156" s="1">
        <f ca="1">$B156*('Updated Population'!K$147/'Updated Population'!$B$147)*('Total Trip Tables Sup #1'!K178/'Total Trip Tables Sup #1'!$B178)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OFFSET(Southland_Reference,49,5)</f>
        <v>0.42937289560000003</v>
      </c>
      <c r="C157" s="4">
        <f ca="1">$B157*('Updated Population'!C$147/'Updated Population'!$B$147)*('Total Trip Tables Sup #1'!C179/'Total Trip Tables Sup #1'!$B179)</f>
        <v>0.4408617125824425</v>
      </c>
      <c r="D157" s="4">
        <f ca="1">$B157*('Updated Population'!D$147/'Updated Population'!$B$147)*('Total Trip Tables Sup #1'!D179/'Total Trip Tables Sup #1'!$B179)</f>
        <v>0.44772163922687347</v>
      </c>
      <c r="E157" s="4">
        <f ca="1">$B157*('Updated Population'!E$147/'Updated Population'!$B$147)*('Total Trip Tables Sup #1'!E179/'Total Trip Tables Sup #1'!$B179)</f>
        <v>0.45121086703424212</v>
      </c>
      <c r="F157" s="4">
        <f ca="1">$B157*('Updated Population'!F$147/'Updated Population'!$B$147)*('Total Trip Tables Sup #1'!F179/'Total Trip Tables Sup #1'!$B179)</f>
        <v>0.45067190680370717</v>
      </c>
      <c r="G157" s="4">
        <f ca="1">$B157*('Updated Population'!G$147/'Updated Population'!$B$147)*('Total Trip Tables Sup #1'!G179/'Total Trip Tables Sup #1'!$B179)</f>
        <v>0.44621068511683504</v>
      </c>
      <c r="H157" s="4">
        <f ca="1">$B157*('Updated Population'!H$147/'Updated Population'!$B$147)*('Total Trip Tables Sup #1'!H179/'Total Trip Tables Sup #1'!$B179)</f>
        <v>0.43557811086671733</v>
      </c>
      <c r="I157" s="1">
        <f ca="1">$B157*('Updated Population'!I$147/'Updated Population'!$B$147)*('Total Trip Tables Sup #1'!I179/'Total Trip Tables Sup #1'!$B179)</f>
        <v>0.42974328082531171</v>
      </c>
      <c r="J157" s="1">
        <f ca="1">$B157*('Updated Population'!J$147/'Updated Population'!$B$147)*('Total Trip Tables Sup #1'!J179/'Total Trip Tables Sup #1'!$B179)</f>
        <v>0.42263698939165917</v>
      </c>
      <c r="K157" s="1">
        <f ca="1">$B157*('Updated Population'!K$147/'Updated Population'!$B$147)*('Total Trip Tables Sup #1'!K179/'Total Trip Tables Sup #1'!$B179)</f>
        <v>0.41475495368387688</v>
      </c>
    </row>
    <row r="158" spans="1:11" x14ac:dyDescent="0.2">
      <c r="A158" t="s">
        <v>19</v>
      </c>
      <c r="I158" s="1"/>
      <c r="J158" s="1"/>
      <c r="K158" s="1"/>
    </row>
    <row r="159" spans="1:11" x14ac:dyDescent="0.2">
      <c r="A159" t="str">
        <f t="shared" ref="A159:A165" ca="1" si="0">A5</f>
        <v>Pedestrian</v>
      </c>
      <c r="B159" s="4">
        <f t="shared" ref="B159:H164" ca="1" si="1">B5+B16+B27+B38+B49+B60+B71+B82+B93+B104+B115+B126+B137+B148</f>
        <v>986.56972308989998</v>
      </c>
      <c r="C159" s="4">
        <f t="shared" ca="1" si="1"/>
        <v>1066.1929549731888</v>
      </c>
      <c r="D159" s="4">
        <f t="shared" ca="1" si="1"/>
        <v>1113.8168486007592</v>
      </c>
      <c r="E159" s="4">
        <f t="shared" ca="1" si="1"/>
        <v>1140.5805542266498</v>
      </c>
      <c r="F159" s="4">
        <f t="shared" ca="1" si="1"/>
        <v>1156.1944357314319</v>
      </c>
      <c r="G159" s="4">
        <f t="shared" ca="1" si="1"/>
        <v>1165.1574131022583</v>
      </c>
      <c r="H159" s="4">
        <f t="shared" ca="1" si="1"/>
        <v>1169.2034698692728</v>
      </c>
      <c r="I159" s="1">
        <f t="shared" ref="I159" ca="1" si="2">I5+I16+I27+I38+I49+I60+I71+I82+I93+I104+I115+I126+I137+I148</f>
        <v>1197.7376226371448</v>
      </c>
      <c r="J159" s="1">
        <f t="shared" ref="J159:K159" ca="1" si="3">J5+J16+J27+J38+J49+J60+J71+J82+J93+J104+J115+J126+J137+J148</f>
        <v>1223.4367400334552</v>
      </c>
      <c r="K159" s="1">
        <f t="shared" ca="1" si="3"/>
        <v>1247.3806869314981</v>
      </c>
    </row>
    <row r="160" spans="1:11" x14ac:dyDescent="0.2">
      <c r="A160" t="str">
        <f t="shared" ca="1" si="0"/>
        <v>Cyclist</v>
      </c>
      <c r="B160" s="4">
        <f t="shared" ca="1" si="1"/>
        <v>71.074316198400012</v>
      </c>
      <c r="C160" s="4">
        <f t="shared" ca="1" si="1"/>
        <v>76.806748996490953</v>
      </c>
      <c r="D160" s="4">
        <f t="shared" ca="1" si="1"/>
        <v>79.51448097519976</v>
      </c>
      <c r="E160" s="4">
        <f t="shared" ca="1" si="1"/>
        <v>80.507408532693049</v>
      </c>
      <c r="F160" s="4">
        <f t="shared" ca="1" si="1"/>
        <v>81.355519964695489</v>
      </c>
      <c r="G160" s="4">
        <f t="shared" ca="1" si="1"/>
        <v>82.021529381367088</v>
      </c>
      <c r="H160" s="4">
        <f t="shared" ca="1" si="1"/>
        <v>82.568404487611787</v>
      </c>
      <c r="I160" s="1">
        <f t="shared" ref="I160" ca="1" si="4">I6+I17+I28+I39+I50+I61+I72+I83+I94+I105+I116+I127+I138+I149</f>
        <v>84.467447220174407</v>
      </c>
      <c r="J160" s="1">
        <f t="shared" ref="J160:K160" ca="1" si="5">J6+J17+J28+J39+J50+J61+J72+J83+J94+J105+J116+J127+J138+J149</f>
        <v>86.161368783570111</v>
      </c>
      <c r="K160" s="1">
        <f t="shared" ca="1" si="5"/>
        <v>87.726866106666634</v>
      </c>
    </row>
    <row r="161" spans="1:20" x14ac:dyDescent="0.2">
      <c r="A161" t="str">
        <f t="shared" ca="1" si="0"/>
        <v>Light Vehicle Driver</v>
      </c>
      <c r="B161" s="4">
        <f t="shared" ca="1" si="1"/>
        <v>3093.3887589700003</v>
      </c>
      <c r="C161" s="4">
        <f t="shared" ca="1" si="1"/>
        <v>3421.672209546623</v>
      </c>
      <c r="D161" s="4">
        <f t="shared" ca="1" si="1"/>
        <v>3623.965179390626</v>
      </c>
      <c r="E161" s="4">
        <f t="shared" ca="1" si="1"/>
        <v>3800.8212824379389</v>
      </c>
      <c r="F161" s="4">
        <f t="shared" ca="1" si="1"/>
        <v>3958.7824806608514</v>
      </c>
      <c r="G161" s="4">
        <f t="shared" ca="1" si="1"/>
        <v>4072.0235422373594</v>
      </c>
      <c r="H161" s="4">
        <f t="shared" ca="1" si="1"/>
        <v>4166.3719288096254</v>
      </c>
      <c r="I161" s="1">
        <f t="shared" ref="I161" ca="1" si="6">I7+I18+I29+I40+I51+I62+I73+I84+I95+I106+I117+I128+I139+I150</f>
        <v>4263.6215860128068</v>
      </c>
      <c r="J161" s="1">
        <f t="shared" ref="J161:K161" ca="1" si="7">J7+J18+J29+J40+J51+J62+J73+J84+J95+J106+J117+J128+J139+J150</f>
        <v>4350.6576647487582</v>
      </c>
      <c r="K161" s="1">
        <f t="shared" ca="1" si="7"/>
        <v>4431.3500674710922</v>
      </c>
    </row>
    <row r="162" spans="1:20" x14ac:dyDescent="0.2">
      <c r="A162" t="str">
        <f t="shared" ca="1" si="0"/>
        <v>Light Vehicle Passenger</v>
      </c>
      <c r="B162" s="4">
        <f t="shared" ca="1" si="1"/>
        <v>1512.9377645669999</v>
      </c>
      <c r="C162" s="4">
        <f t="shared" ca="1" si="1"/>
        <v>1595.8656655684622</v>
      </c>
      <c r="D162" s="4">
        <f t="shared" ca="1" si="1"/>
        <v>1643.6002366042269</v>
      </c>
      <c r="E162" s="4">
        <f t="shared" ca="1" si="1"/>
        <v>1674.9625465926517</v>
      </c>
      <c r="F162" s="4">
        <f t="shared" ca="1" si="1"/>
        <v>1700.1514418114539</v>
      </c>
      <c r="G162" s="4">
        <f t="shared" ca="1" si="1"/>
        <v>1713.4692321165076</v>
      </c>
      <c r="H162" s="4">
        <f t="shared" ca="1" si="1"/>
        <v>1717.6532701795613</v>
      </c>
      <c r="I162" s="1">
        <f t="shared" ref="I162" ca="1" si="8">I8+I19+I30+I41+I52+I63+I74+I85+I96+I107+I118+I129+I140+I151</f>
        <v>1757.5162309721879</v>
      </c>
      <c r="J162" s="1">
        <f t="shared" ref="J162:K162" ca="1" si="9">J8+J19+J30+J41+J52+J63+J74+J85+J96+J107+J118+J129+J140+J151</f>
        <v>1793.1642140525953</v>
      </c>
      <c r="K162" s="1">
        <f t="shared" ca="1" si="9"/>
        <v>1826.1941323772357</v>
      </c>
    </row>
    <row r="163" spans="1:20" x14ac:dyDescent="0.2">
      <c r="A163" t="str">
        <f t="shared" ca="1" si="0"/>
        <v>Taxi/Vehicle Share</v>
      </c>
      <c r="B163" s="4">
        <f t="shared" ca="1" si="1"/>
        <v>15.600131729099999</v>
      </c>
      <c r="C163" s="4">
        <f t="shared" ca="1" si="1"/>
        <v>18.049725103029928</v>
      </c>
      <c r="D163" s="4">
        <f t="shared" ca="1" si="1"/>
        <v>19.846229050942931</v>
      </c>
      <c r="E163" s="4">
        <f t="shared" ca="1" si="1"/>
        <v>21.190888538847112</v>
      </c>
      <c r="F163" s="4">
        <f t="shared" ca="1" si="1"/>
        <v>22.316953063664482</v>
      </c>
      <c r="G163" s="4">
        <f t="shared" ca="1" si="1"/>
        <v>23.099028533187049</v>
      </c>
      <c r="H163" s="4">
        <f t="shared" ca="1" si="1"/>
        <v>23.813780779168489</v>
      </c>
      <c r="I163" s="1">
        <f t="shared" ref="I163" ca="1" si="10">I9+I20+I31+I42+I53+I64+I75+I86+I97+I108+I119+I130+I141+I152</f>
        <v>24.407390318480662</v>
      </c>
      <c r="J163" s="1">
        <f t="shared" ref="J163:K163" ca="1" si="11">J9+J20+J31+J42+J53+J64+J75+J86+J97+J108+J119+J130+J141+J152</f>
        <v>24.945081749726214</v>
      </c>
      <c r="K163" s="1">
        <f t="shared" ca="1" si="11"/>
        <v>25.448812543210604</v>
      </c>
    </row>
    <row r="164" spans="1:20" x14ac:dyDescent="0.2">
      <c r="A164" t="str">
        <f t="shared" ca="1" si="0"/>
        <v>Motorcyclist</v>
      </c>
      <c r="B164" s="4">
        <f t="shared" ca="1" si="1"/>
        <v>19.272283824500001</v>
      </c>
      <c r="C164" s="4">
        <f t="shared" ca="1" si="1"/>
        <v>20.677432703884318</v>
      </c>
      <c r="D164" s="4">
        <f t="shared" ca="1" si="1"/>
        <v>21.292207516413406</v>
      </c>
      <c r="E164" s="4">
        <f t="shared" ca="1" si="1"/>
        <v>21.706682047332574</v>
      </c>
      <c r="F164" s="4">
        <f t="shared" ca="1" si="1"/>
        <v>21.959137325930712</v>
      </c>
      <c r="G164" s="4">
        <f t="shared" ca="1" si="1"/>
        <v>21.8186788439839</v>
      </c>
      <c r="H164" s="4">
        <f t="shared" ca="1" si="1"/>
        <v>21.525677954973915</v>
      </c>
      <c r="I164" s="1">
        <f t="shared" ref="I164" ca="1" si="12">I10+I21+I32+I43+I54+I65+I76+I87+I98+I109+I120+I131+I142+I153</f>
        <v>21.971669341685828</v>
      </c>
      <c r="J164" s="1">
        <f t="shared" ref="J164:K164" ca="1" si="13">J10+J21+J32+J43+J54+J65+J76+J87+J98+J109+J120+J131+J142+J153</f>
        <v>22.362875763959266</v>
      </c>
      <c r="K164" s="1">
        <f t="shared" ca="1" si="13"/>
        <v>22.719600135379142</v>
      </c>
      <c r="L164" s="4"/>
    </row>
    <row r="165" spans="1:20" x14ac:dyDescent="0.2">
      <c r="A165" t="str">
        <f t="shared" ca="1" si="0"/>
        <v>Local Train</v>
      </c>
      <c r="B165" s="4">
        <f t="shared" ref="B165:H165" ca="1" si="14">B22+B99</f>
        <v>20.753709268000001</v>
      </c>
      <c r="C165" s="4">
        <f t="shared" ca="1" si="14"/>
        <v>22.518037342</v>
      </c>
      <c r="D165" s="4">
        <f t="shared" ca="1" si="14"/>
        <v>23.580292740000001</v>
      </c>
      <c r="E165" s="4">
        <f t="shared" ca="1" si="14"/>
        <v>24.275901069</v>
      </c>
      <c r="F165" s="4">
        <f t="shared" ca="1" si="14"/>
        <v>24.695698463999999</v>
      </c>
      <c r="G165" s="4">
        <f t="shared" ca="1" si="14"/>
        <v>25.001430137</v>
      </c>
      <c r="H165" s="4">
        <f t="shared" ca="1" si="14"/>
        <v>25.157493760999998</v>
      </c>
      <c r="I165" s="1">
        <f t="shared" ref="I165" ca="1" si="15">I22+I99</f>
        <v>25.847777008022611</v>
      </c>
      <c r="J165" s="1">
        <f t="shared" ref="J165:K165" ca="1" si="16">J22+J99</f>
        <v>26.479290000341159</v>
      </c>
      <c r="K165" s="1">
        <f t="shared" ca="1" si="16"/>
        <v>27.074932567133516</v>
      </c>
    </row>
    <row r="166" spans="1:20" x14ac:dyDescent="0.2">
      <c r="A166" t="s">
        <v>16</v>
      </c>
      <c r="B166" s="4">
        <f t="shared" ref="B166:H166" ca="1" si="17">B12+B34+B45+B56+B67+B78+B89+B111+B122+B144+B155</f>
        <v>37.710964695899996</v>
      </c>
      <c r="C166" s="4">
        <f t="shared" ca="1" si="17"/>
        <v>37.649193977353612</v>
      </c>
      <c r="D166" s="4">
        <f t="shared" ca="1" si="17"/>
        <v>37.263520251671231</v>
      </c>
      <c r="E166" s="4">
        <f t="shared" ca="1" si="17"/>
        <v>37.124036378524963</v>
      </c>
      <c r="F166" s="4">
        <f t="shared" ca="1" si="17"/>
        <v>36.46342067239727</v>
      </c>
      <c r="G166" s="4">
        <f t="shared" ca="1" si="17"/>
        <v>35.920524420454853</v>
      </c>
      <c r="H166" s="4">
        <f t="shared" ca="1" si="17"/>
        <v>35.182694462263008</v>
      </c>
      <c r="I166" s="1">
        <f t="shared" ref="I166" ca="1" si="18">I12+I34+I45+I56+I67+I78+I89+I111+I122+I144+I155</f>
        <v>35.563301528011557</v>
      </c>
      <c r="J166" s="1">
        <f t="shared" ref="J166:K166" ca="1" si="19">J12+J34+J45+J56+J67+J78+J89+J111+J122+J144+J155</f>
        <v>35.84410633889631</v>
      </c>
      <c r="K166" s="1">
        <f t="shared" ca="1" si="19"/>
        <v>36.060112350053828</v>
      </c>
    </row>
    <row r="167" spans="1:20" x14ac:dyDescent="0.2">
      <c r="A167" t="str">
        <f ca="1">A13</f>
        <v>Local Ferry</v>
      </c>
      <c r="B167" s="4">
        <f t="shared" ref="B167:H168" ca="1" si="20">B13+B24+B35+B46+B57+B68+B79+B90+B101+B112+B123+B134+B145+B156</f>
        <v>4.9488267775000008</v>
      </c>
      <c r="C167" s="4">
        <f t="shared" ca="1" si="20"/>
        <v>5.6731264617664099</v>
      </c>
      <c r="D167" s="4">
        <f t="shared" ca="1" si="20"/>
        <v>6.213211082937014</v>
      </c>
      <c r="E167" s="4">
        <f t="shared" ca="1" si="20"/>
        <v>6.5319321295773811</v>
      </c>
      <c r="F167" s="4">
        <f t="shared" ca="1" si="20"/>
        <v>6.7647352916050671</v>
      </c>
      <c r="G167" s="4">
        <f t="shared" ca="1" si="20"/>
        <v>7.1338947519023233</v>
      </c>
      <c r="H167" s="4">
        <f t="shared" ca="1" si="20"/>
        <v>7.4512899892454261</v>
      </c>
      <c r="I167" s="1">
        <f t="shared" ref="I167" ca="1" si="21">I13+I24+I35+I46+I57+I68+I79+I90+I101+I112+I123+I134+I145+I156</f>
        <v>7.6819837619474294</v>
      </c>
      <c r="J167" s="1">
        <f t="shared" ref="J167:K167" ca="1" si="22">J13+J24+J35+J46+J57+J68+J79+J90+J101+J112+J123+J134+J145+J156</f>
        <v>7.8966008930209579</v>
      </c>
      <c r="K167" s="1">
        <f t="shared" ca="1" si="22"/>
        <v>8.1017785889943248</v>
      </c>
    </row>
    <row r="168" spans="1:20" x14ac:dyDescent="0.2">
      <c r="A168" t="str">
        <f ca="1">A14</f>
        <v>Other Household Travel</v>
      </c>
      <c r="B168" s="4">
        <f t="shared" ca="1" si="20"/>
        <v>10.3599389081</v>
      </c>
      <c r="C168" s="4">
        <f t="shared" ca="1" si="20"/>
        <v>11.23104465728175</v>
      </c>
      <c r="D168" s="4">
        <f t="shared" ca="1" si="20"/>
        <v>11.941729075217971</v>
      </c>
      <c r="E168" s="4">
        <f t="shared" ca="1" si="20"/>
        <v>12.475991815339803</v>
      </c>
      <c r="F168" s="4">
        <f t="shared" ca="1" si="20"/>
        <v>12.897343925668311</v>
      </c>
      <c r="G168" s="4">
        <f t="shared" ca="1" si="20"/>
        <v>13.208066076728651</v>
      </c>
      <c r="H168" s="4">
        <f t="shared" ca="1" si="20"/>
        <v>13.328182233424098</v>
      </c>
      <c r="I168" s="1">
        <f t="shared" ref="I168" ca="1" si="23">I14+I25+I36+I47+I58+I69+I80+I91+I102+I113+I124+I135+I146+I157</f>
        <v>13.597252294740297</v>
      </c>
      <c r="J168" s="1">
        <f t="shared" ref="J168:K168" ca="1" si="24">J14+J25+J36+J47+J58+J69+J80+J91+J102+J113+J124+J135+J146+J157</f>
        <v>13.831766075063962</v>
      </c>
      <c r="K168" s="1">
        <f t="shared" ca="1" si="24"/>
        <v>14.044295007610767</v>
      </c>
    </row>
    <row r="169" spans="1:20" x14ac:dyDescent="0.2">
      <c r="A169" s="59" t="s">
        <v>109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110</v>
      </c>
      <c r="N169" s="59"/>
      <c r="O169" s="59"/>
      <c r="P169" s="59"/>
      <c r="Q169" s="59"/>
      <c r="R169" s="59"/>
      <c r="S169" s="59"/>
      <c r="T169" s="59"/>
    </row>
    <row r="170" spans="1:20" x14ac:dyDescent="0.2">
      <c r="A170" s="59" t="str">
        <f t="shared" ref="A170:A179" ca="1" si="25">A16</f>
        <v>Pedestrian</v>
      </c>
      <c r="B170" s="60">
        <f ca="1">B181*1000000/'Original Population'!B$158</f>
        <v>222.12034471584565</v>
      </c>
      <c r="C170" s="60">
        <f ca="1">(C181*1000000/'Original Population'!C$158)</f>
        <v>218.93627186966799</v>
      </c>
      <c r="D170" s="60">
        <f ca="1">(D181*1000000/'Original Population'!D$158)</f>
        <v>215.43003279377936</v>
      </c>
      <c r="E170" s="60">
        <f ca="1">(E181*1000000/'Original Population'!E$158)</f>
        <v>210.89672643089756</v>
      </c>
      <c r="F170" s="60">
        <f ca="1">(F181*1000000/'Original Population'!F$158)</f>
        <v>205.7235794298507</v>
      </c>
      <c r="G170" s="60">
        <f ca="1">(G181*1000000/'Original Population'!G$158)</f>
        <v>200.8297781841741</v>
      </c>
      <c r="H170" s="60">
        <f ca="1">(H181*1000000/'Original Population'!H$158)</f>
        <v>196.11172013222674</v>
      </c>
      <c r="I170" s="60">
        <f ca="1">H170</f>
        <v>196.11172013222674</v>
      </c>
      <c r="J170" s="60">
        <f t="shared" ref="J170:K170" ca="1" si="26">I170</f>
        <v>196.11172013222674</v>
      </c>
      <c r="K170" s="60">
        <f t="shared" ca="1" si="26"/>
        <v>196.11172013222674</v>
      </c>
      <c r="L170" s="60"/>
      <c r="M170" s="60">
        <f ca="1">B159*'Total Trip Tables Sup #2'!B159*1000000/'Updated Population'!B$158</f>
        <v>222.12034471584565</v>
      </c>
      <c r="N170" s="60">
        <f ca="1">C159*'Total Trip Tables Sup #2'!C159*1000000/'Updated Population'!C$158</f>
        <v>218.93627186966799</v>
      </c>
      <c r="O170" s="60">
        <f ca="1">D159*'Total Trip Tables Sup #2'!D159*1000000/'Updated Population'!D$158</f>
        <v>215.4300327937793</v>
      </c>
      <c r="P170" s="60">
        <f ca="1">E159*'Total Trip Tables Sup #2'!E159*1000000/'Updated Population'!E$158</f>
        <v>210.89672643089762</v>
      </c>
      <c r="Q170" s="60">
        <f ca="1">F159*'Total Trip Tables Sup #2'!F159*1000000/'Updated Population'!F$158</f>
        <v>205.72357942985064</v>
      </c>
      <c r="R170" s="60">
        <f ca="1">G159*'Total Trip Tables Sup #2'!G159*1000000/'Updated Population'!G$158</f>
        <v>200.8297781841741</v>
      </c>
      <c r="S170" s="60">
        <f ca="1">H159*'Total Trip Tables Sup #2'!H159*1000000/'Updated Population'!H$158</f>
        <v>196.11172013222671</v>
      </c>
      <c r="T170" s="59"/>
    </row>
    <row r="171" spans="1:20" x14ac:dyDescent="0.2">
      <c r="A171" s="59" t="str">
        <f t="shared" ca="1" si="25"/>
        <v>Cyclist</v>
      </c>
      <c r="B171" s="60">
        <f ca="1">B182*1000000/'Original Population'!B$158</f>
        <v>16.001962400576371</v>
      </c>
      <c r="C171" s="60">
        <f ca="1">(C182*1000000/'Original Population'!C$158)</f>
        <v>15.772007302159183</v>
      </c>
      <c r="D171" s="60">
        <f ca="1">(D182*1000000/'Original Population'!D$158)</f>
        <v>15.400865356540892</v>
      </c>
      <c r="E171" s="60">
        <f ca="1">(E182*1000000/'Original Population'!E$158)</f>
        <v>14.927681783736055</v>
      </c>
      <c r="F171" s="60">
        <f ca="1">(F182*1000000/'Original Population'!F$158)</f>
        <v>14.53753760611851</v>
      </c>
      <c r="G171" s="60">
        <f ca="1">(G182*1000000/'Original Population'!G$158)</f>
        <v>14.217769672298401</v>
      </c>
      <c r="H171" s="60">
        <f ca="1">(H182*1000000/'Original Population'!H$158)</f>
        <v>13.947086099099097</v>
      </c>
      <c r="I171" s="60">
        <f t="shared" ref="I171:K179" ca="1" si="27">H171</f>
        <v>13.947086099099097</v>
      </c>
      <c r="J171" s="60">
        <f t="shared" ca="1" si="27"/>
        <v>13.947086099099097</v>
      </c>
      <c r="K171" s="60">
        <f t="shared" ca="1" si="27"/>
        <v>13.947086099099097</v>
      </c>
      <c r="L171" s="60"/>
      <c r="M171" s="60">
        <f ca="1">B160*'Total Trip Tables Sup #2'!B160*1000000/'Updated Population'!B$158</f>
        <v>16.001962400576371</v>
      </c>
      <c r="N171" s="60">
        <f ca="1">C160*'Total Trip Tables Sup #2'!C160*1000000/'Updated Population'!C$158</f>
        <v>15.772007302159182</v>
      </c>
      <c r="O171" s="60">
        <f ca="1">D160*'Total Trip Tables Sup #2'!D160*1000000/'Updated Population'!D$158</f>
        <v>15.400865356540896</v>
      </c>
      <c r="P171" s="60">
        <f ca="1">E160*'Total Trip Tables Sup #2'!E160*1000000/'Updated Population'!E$158</f>
        <v>14.927681783736057</v>
      </c>
      <c r="Q171" s="60">
        <f ca="1">F160*'Total Trip Tables Sup #2'!F160*1000000/'Updated Population'!F$158</f>
        <v>14.53753760611851</v>
      </c>
      <c r="R171" s="60">
        <f ca="1">G160*'Total Trip Tables Sup #2'!G160*1000000/'Updated Population'!G$158</f>
        <v>14.217769672298404</v>
      </c>
      <c r="S171" s="60">
        <f ca="1">H160*'Total Trip Tables Sup #2'!H160*1000000/'Updated Population'!H$158</f>
        <v>13.947086099099099</v>
      </c>
      <c r="T171" s="59"/>
    </row>
    <row r="172" spans="1:20" x14ac:dyDescent="0.2">
      <c r="A172" s="59" t="str">
        <f t="shared" ca="1" si="25"/>
        <v>Light Vehicle Driver</v>
      </c>
      <c r="B172" s="60">
        <f ca="1">B183*1000000/'Original Population'!B$158</f>
        <v>696.45820401882213</v>
      </c>
      <c r="C172" s="60">
        <f ca="1">C183*1000000/'Original Population'!C$158</f>
        <v>703.51007903248262</v>
      </c>
      <c r="D172" s="60">
        <f ca="1">D183*1000000/'Original Population'!D$158</f>
        <v>702.7793035187243</v>
      </c>
      <c r="E172" s="60">
        <f ca="1">E183*1000000/'Original Population'!E$158</f>
        <v>705.42067497040284</v>
      </c>
      <c r="F172" s="60">
        <f ca="1">F183*1000000/'Original Population'!F$158</f>
        <v>707.81739345135725</v>
      </c>
      <c r="G172" s="60">
        <f ca="1">G183*1000000/'Original Population'!G$158</f>
        <v>706.03978678045314</v>
      </c>
      <c r="H172" s="60">
        <f ca="1">H183*1000000/'Original Population'!H$158</f>
        <v>703.72903359278575</v>
      </c>
      <c r="I172" s="60">
        <f t="shared" ca="1" si="27"/>
        <v>703.72903359278575</v>
      </c>
      <c r="J172" s="60">
        <f t="shared" ca="1" si="27"/>
        <v>703.72903359278575</v>
      </c>
      <c r="K172" s="60">
        <f t="shared" ca="1" si="27"/>
        <v>703.72903359278575</v>
      </c>
      <c r="L172" s="60"/>
      <c r="M172" s="60">
        <f ca="1">B161*'Total Trip Tables Sup #2'!B161*1000000/'Updated Population'!B$158</f>
        <v>696.45820401882213</v>
      </c>
      <c r="N172" s="60">
        <f ca="1">C161*'Total Trip Tables Sup #2'!C161*1000000/'Updated Population'!C$158</f>
        <v>703.51007903248262</v>
      </c>
      <c r="O172" s="60">
        <f ca="1">D161*'Total Trip Tables Sup #2'!D161*1000000/'Updated Population'!D$158</f>
        <v>702.77930351872419</v>
      </c>
      <c r="P172" s="60">
        <f ca="1">E161*'Total Trip Tables Sup #2'!E161*1000000/'Updated Population'!E$158</f>
        <v>705.42067497040296</v>
      </c>
      <c r="Q172" s="60">
        <f ca="1">F161*'Total Trip Tables Sup #2'!F161*1000000/'Updated Population'!F$158</f>
        <v>707.81739345135725</v>
      </c>
      <c r="R172" s="60">
        <f ca="1">G161*'Total Trip Tables Sup #2'!G161*1000000/'Updated Population'!G$158</f>
        <v>706.03978678045303</v>
      </c>
      <c r="S172" s="60">
        <f ca="1">H161*'Total Trip Tables Sup #2'!H161*1000000/'Updated Population'!H$158</f>
        <v>703.72903359278575</v>
      </c>
      <c r="T172" s="59"/>
    </row>
    <row r="173" spans="1:20" x14ac:dyDescent="0.2">
      <c r="A173" s="59" t="str">
        <f t="shared" ca="1" si="25"/>
        <v>Light Vehicle Passenger</v>
      </c>
      <c r="B173" s="60">
        <f ca="1">B184*1000000/'Original Population'!B$158</f>
        <v>340.62899958731089</v>
      </c>
      <c r="C173" s="60">
        <f ca="1">C184*1000000/'Original Population'!C$158</f>
        <v>328.23619645539168</v>
      </c>
      <c r="D173" s="60">
        <f ca="1">D184*1000000/'Original Population'!D$158</f>
        <v>318.90705826737525</v>
      </c>
      <c r="E173" s="60">
        <f ca="1">E184*1000000/'Original Population'!E$158</f>
        <v>311.07382586787003</v>
      </c>
      <c r="F173" s="60">
        <f ca="1">F184*1000000/'Original Population'!F$158</f>
        <v>304.22226579716749</v>
      </c>
      <c r="G173" s="60">
        <f ca="1">G184*1000000/'Original Population'!G$158</f>
        <v>297.37086512714143</v>
      </c>
      <c r="H173" s="60">
        <f ca="1">H184*1000000/'Original Population'!H$158</f>
        <v>290.43175741978786</v>
      </c>
      <c r="I173" s="60">
        <f t="shared" ca="1" si="27"/>
        <v>290.43175741978786</v>
      </c>
      <c r="J173" s="60">
        <f t="shared" ca="1" si="27"/>
        <v>290.43175741978786</v>
      </c>
      <c r="K173" s="60">
        <f t="shared" ca="1" si="27"/>
        <v>290.43175741978786</v>
      </c>
      <c r="L173" s="60"/>
      <c r="M173" s="60">
        <f ca="1">B162*'Total Trip Tables Sup #2'!B162*1000000/'Updated Population'!B$158</f>
        <v>340.62899958731089</v>
      </c>
      <c r="N173" s="60">
        <f ca="1">C162*'Total Trip Tables Sup #2'!C162*1000000/'Updated Population'!C$158</f>
        <v>328.23619645539173</v>
      </c>
      <c r="O173" s="60">
        <f ca="1">D162*'Total Trip Tables Sup #2'!D162*1000000/'Updated Population'!D$158</f>
        <v>318.90705826737525</v>
      </c>
      <c r="P173" s="60">
        <f ca="1">E162*'Total Trip Tables Sup #2'!E162*1000000/'Updated Population'!E$158</f>
        <v>311.07382586787003</v>
      </c>
      <c r="Q173" s="60">
        <f ca="1">F162*'Total Trip Tables Sup #2'!F162*1000000/'Updated Population'!F$158</f>
        <v>304.22226579716744</v>
      </c>
      <c r="R173" s="60">
        <f ca="1">G162*'Total Trip Tables Sup #2'!G162*1000000/'Updated Population'!G$158</f>
        <v>297.37086512714143</v>
      </c>
      <c r="S173" s="60">
        <f ca="1">H162*'Total Trip Tables Sup #2'!H162*1000000/'Updated Population'!H$158</f>
        <v>290.43175741978791</v>
      </c>
      <c r="T173" s="59"/>
    </row>
    <row r="174" spans="1:20" x14ac:dyDescent="0.2">
      <c r="A174" s="59" t="str">
        <f t="shared" ca="1" si="25"/>
        <v>Taxi/Vehicle Share</v>
      </c>
      <c r="B174" s="60">
        <f ca="1">B185*1000000/'Original Population'!B$158</f>
        <v>3.5122774966453529</v>
      </c>
      <c r="C174" s="60">
        <f ca="1">C185*1000000/'Original Population'!C$158</f>
        <v>3.7076582898119428</v>
      </c>
      <c r="D174" s="60">
        <f ca="1">D185*1000000/'Original Population'!D$158</f>
        <v>3.8390304683413827</v>
      </c>
      <c r="E174" s="60">
        <f ca="1">E185*1000000/'Original Population'!E$158</f>
        <v>3.9181025650072785</v>
      </c>
      <c r="F174" s="60">
        <f ca="1">F185*1000000/'Original Population'!F$158</f>
        <v>3.9696465409805359</v>
      </c>
      <c r="G174" s="60">
        <f ca="1">G185*1000000/'Original Population'!G$158</f>
        <v>3.9786671968864793</v>
      </c>
      <c r="H174" s="60">
        <f ca="1">H185*1000000/'Original Population'!H$158</f>
        <v>3.9897362212882177</v>
      </c>
      <c r="I174" s="60">
        <f t="shared" ca="1" si="27"/>
        <v>3.9897362212882177</v>
      </c>
      <c r="J174" s="60">
        <f t="shared" ca="1" si="27"/>
        <v>3.9897362212882177</v>
      </c>
      <c r="K174" s="60">
        <f t="shared" ca="1" si="27"/>
        <v>3.9897362212882177</v>
      </c>
      <c r="L174" s="60"/>
      <c r="M174" s="60">
        <f ca="1">B163*'Total Trip Tables Sup #2'!B163*1000000/'Updated Population'!B$158</f>
        <v>3.5122774966453529</v>
      </c>
      <c r="N174" s="60">
        <f ca="1">C163*'Total Trip Tables Sup #2'!C163*1000000/'Updated Population'!C$158</f>
        <v>3.7076582898119428</v>
      </c>
      <c r="O174" s="60">
        <f ca="1">D163*'Total Trip Tables Sup #2'!D163*1000000/'Updated Population'!D$158</f>
        <v>3.8390304683413827</v>
      </c>
      <c r="P174" s="60">
        <f ca="1">E163*'Total Trip Tables Sup #2'!E163*1000000/'Updated Population'!E$158</f>
        <v>3.9181025650072789</v>
      </c>
      <c r="Q174" s="60">
        <f ca="1">F163*'Total Trip Tables Sup #2'!F163*1000000/'Updated Population'!F$158</f>
        <v>3.9696465409805364</v>
      </c>
      <c r="R174" s="60">
        <f ca="1">G163*'Total Trip Tables Sup #2'!G163*1000000/'Updated Population'!G$158</f>
        <v>3.9786671968864789</v>
      </c>
      <c r="S174" s="60">
        <f ca="1">H163*'Total Trip Tables Sup #2'!H163*1000000/'Updated Population'!H$158</f>
        <v>3.9897362212882177</v>
      </c>
      <c r="T174" s="59"/>
    </row>
    <row r="175" spans="1:20" x14ac:dyDescent="0.2">
      <c r="A175" s="59" t="str">
        <f t="shared" ca="1" si="25"/>
        <v>Motorcyclist</v>
      </c>
      <c r="B175" s="60">
        <f ca="1">B186*1000000/'Original Population'!B$158</f>
        <v>4.3390408466543589</v>
      </c>
      <c r="C175" s="60">
        <f ca="1">C186*1000000/'Original Population'!C$158</f>
        <v>4.2683914523100945</v>
      </c>
      <c r="D175" s="60">
        <f ca="1">D186*1000000/'Original Population'!D$158</f>
        <v>4.1583756469756059</v>
      </c>
      <c r="E175" s="60">
        <f ca="1">E186*1000000/'Original Population'!E$158</f>
        <v>4.067438028898593</v>
      </c>
      <c r="F175" s="60">
        <f ca="1">F186*1000000/'Original Population'!F$158</f>
        <v>3.973945808913617</v>
      </c>
      <c r="G175" s="60">
        <f ca="1">G186*1000000/'Original Population'!G$158</f>
        <v>3.8387265581420715</v>
      </c>
      <c r="H175" s="60">
        <f ca="1">H186*1000000/'Original Population'!H$158</f>
        <v>3.6987963076718455</v>
      </c>
      <c r="I175" s="60">
        <f t="shared" ca="1" si="27"/>
        <v>3.6987963076718455</v>
      </c>
      <c r="J175" s="60">
        <f t="shared" ca="1" si="27"/>
        <v>3.6987963076718455</v>
      </c>
      <c r="K175" s="60">
        <f t="shared" ca="1" si="27"/>
        <v>3.6987963076718455</v>
      </c>
      <c r="L175" s="60"/>
      <c r="M175" s="60">
        <f ca="1">B164*'Total Trip Tables Sup #2'!B164*1000000/'Updated Population'!B$158</f>
        <v>4.3390408466543589</v>
      </c>
      <c r="N175" s="60">
        <f ca="1">C164*'Total Trip Tables Sup #2'!C164*1000000/'Updated Population'!C$158</f>
        <v>4.2683914523100945</v>
      </c>
      <c r="O175" s="60">
        <f ca="1">D164*'Total Trip Tables Sup #2'!D164*1000000/'Updated Population'!D$158</f>
        <v>4.1583756469756059</v>
      </c>
      <c r="P175" s="60">
        <f ca="1">E164*'Total Trip Tables Sup #2'!E164*1000000/'Updated Population'!E$158</f>
        <v>4.067438028898593</v>
      </c>
      <c r="Q175" s="60">
        <f ca="1">F164*'Total Trip Tables Sup #2'!F164*1000000/'Updated Population'!F$158</f>
        <v>3.9739458089136179</v>
      </c>
      <c r="R175" s="60">
        <f ca="1">G164*'Total Trip Tables Sup #2'!G164*1000000/'Updated Population'!G$158</f>
        <v>3.8387265581420715</v>
      </c>
      <c r="S175" s="60">
        <f ca="1">H164*'Total Trip Tables Sup #2'!H164*1000000/'Updated Population'!H$158</f>
        <v>3.6987963076718455</v>
      </c>
      <c r="T175" s="59"/>
    </row>
    <row r="176" spans="1:20" x14ac:dyDescent="0.2">
      <c r="A176" s="59" t="str">
        <f t="shared" ca="1" si="25"/>
        <v>Local Train</v>
      </c>
      <c r="B176" s="60">
        <f ca="1">B187*1000000/'Original Population'!B$158</f>
        <v>4.6725750333213263</v>
      </c>
      <c r="C176" s="60">
        <f ca="1">C187*1000000/'Original Population'!C$158</f>
        <v>4.7527464366069356</v>
      </c>
      <c r="D176" s="60">
        <f ca="1">D187*1000000/'Original Population'!D$158</f>
        <v>4.765524694327115</v>
      </c>
      <c r="E176" s="60">
        <f ca="1">E187*1000000/'Original Population'!E$158</f>
        <v>4.7114800716157204</v>
      </c>
      <c r="F176" s="60">
        <f ca="1">F187*1000000/'Original Population'!F$158</f>
        <v>4.6264820367560269</v>
      </c>
      <c r="G176" s="60">
        <f ca="1">G187*1000000/'Original Population'!G$158</f>
        <v>4.5468719559524233</v>
      </c>
      <c r="H176" s="60">
        <f ca="1">H187*1000000/'Original Population'!H$158</f>
        <v>4.4614977940341909</v>
      </c>
      <c r="I176" s="60">
        <f t="shared" ca="1" si="27"/>
        <v>4.4614977940341909</v>
      </c>
      <c r="J176" s="60">
        <f t="shared" ca="1" si="27"/>
        <v>4.4614977940341909</v>
      </c>
      <c r="K176" s="60">
        <f t="shared" ca="1" si="27"/>
        <v>4.4614977940341909</v>
      </c>
      <c r="L176" s="60"/>
      <c r="M176" s="60">
        <f ca="1">B165*'Total Trip Tables Sup #2'!B165*1000000/'Updated Population'!B$158</f>
        <v>4.6725750333213263</v>
      </c>
      <c r="N176" s="60">
        <f ca="1">C165*'Total Trip Tables Sup #2'!C165*1000000/'Updated Population'!C$158</f>
        <v>4.7527464366069356</v>
      </c>
      <c r="O176" s="60">
        <f ca="1">D165*'Total Trip Tables Sup #2'!D165*1000000/'Updated Population'!D$158</f>
        <v>4.7655246943271141</v>
      </c>
      <c r="P176" s="60">
        <f ca="1">E165*'Total Trip Tables Sup #2'!E165*1000000/'Updated Population'!E$158</f>
        <v>4.7114800716157212</v>
      </c>
      <c r="Q176" s="60">
        <f ca="1">F165*'Total Trip Tables Sup #2'!F165*1000000/'Updated Population'!F$158</f>
        <v>4.6264820367560278</v>
      </c>
      <c r="R176" s="60">
        <f ca="1">G165*'Total Trip Tables Sup #2'!G165*1000000/'Updated Population'!G$158</f>
        <v>4.5468719559524242</v>
      </c>
      <c r="S176" s="60">
        <f ca="1">H165*'Total Trip Tables Sup #2'!H165*1000000/'Updated Population'!H$158</f>
        <v>4.4614977940341909</v>
      </c>
      <c r="T176" s="59"/>
    </row>
    <row r="177" spans="1:20" x14ac:dyDescent="0.2">
      <c r="A177" s="59" t="s">
        <v>16</v>
      </c>
      <c r="B177" s="60">
        <f ca="1">B188*1000000/'Original Population'!B$169</f>
        <v>19.860419578628605</v>
      </c>
      <c r="C177" s="60">
        <f ca="1">C188*1000000/'Original Population'!C$169</f>
        <v>18.420007350446728</v>
      </c>
      <c r="D177" s="60">
        <f ca="1">D188*1000000/'Original Population'!D$169</f>
        <v>17.452675423804109</v>
      </c>
      <c r="E177" s="60">
        <f ca="1">E188*1000000/'Original Population'!E$169</f>
        <v>16.843162979429813</v>
      </c>
      <c r="F177" s="60">
        <f ca="1">F188*1000000/'Original Population'!F$169</f>
        <v>16.132865364542287</v>
      </c>
      <c r="G177" s="60">
        <f ca="1">G188*1000000/'Original Population'!G$169</f>
        <v>15.602035844976928</v>
      </c>
      <c r="H177" s="60">
        <f ca="1">H188*1000000/'Original Population'!H$169</f>
        <v>15.070556523348243</v>
      </c>
      <c r="I177" s="60">
        <f t="shared" ca="1" si="27"/>
        <v>15.070556523348243</v>
      </c>
      <c r="J177" s="60">
        <f t="shared" ca="1" si="27"/>
        <v>15.070556523348243</v>
      </c>
      <c r="K177" s="60">
        <f t="shared" ca="1" si="27"/>
        <v>15.070556523348243</v>
      </c>
      <c r="L177" s="60"/>
      <c r="M177" s="60">
        <f ca="1">B166*'Total Trip Tables Sup #2'!B166*1000000/'Updated Population'!B$169</f>
        <v>19.860419578628605</v>
      </c>
      <c r="N177" s="60">
        <f ca="1">C166*'Total Trip Tables Sup #2'!C166*1000000/'Updated Population'!C$169</f>
        <v>18.420007350446728</v>
      </c>
      <c r="O177" s="60">
        <f ca="1">D166*'Total Trip Tables Sup #2'!D166*1000000/'Updated Population'!D$169</f>
        <v>17.452675423804109</v>
      </c>
      <c r="P177" s="60">
        <f ca="1">E166*'Total Trip Tables Sup #2'!E166*1000000/'Updated Population'!E$169</f>
        <v>16.843162979429813</v>
      </c>
      <c r="Q177" s="60">
        <f ca="1">F166*'Total Trip Tables Sup #2'!F166*1000000/'Updated Population'!F$169</f>
        <v>16.132865364542287</v>
      </c>
      <c r="R177" s="60">
        <f ca="1">G166*'Total Trip Tables Sup #2'!G166*1000000/'Updated Population'!G$169</f>
        <v>15.60203584497693</v>
      </c>
      <c r="S177" s="60">
        <f ca="1">H166*'Total Trip Tables Sup #2'!H166*1000000/'Updated Population'!H$169</f>
        <v>15.070556523348243</v>
      </c>
      <c r="T177" s="59"/>
    </row>
    <row r="178" spans="1:20" x14ac:dyDescent="0.2">
      <c r="A178" s="59" t="str">
        <f t="shared" ca="1" si="25"/>
        <v>Local Ferry</v>
      </c>
      <c r="B178" s="60">
        <f ca="1">B189*1000000/'Original Population'!B$158</f>
        <v>1.1141991123694166</v>
      </c>
      <c r="C178" s="60">
        <f ca="1">C189*1000000/'Original Population'!C$158</f>
        <v>1.1542317767365287</v>
      </c>
      <c r="D178" s="60">
        <f ca="1">D189*1000000/'Original Population'!D$158</f>
        <v>1.1807864071865968</v>
      </c>
      <c r="E178" s="60">
        <f ca="1">E189*1000000/'Original Population'!E$158</f>
        <v>1.1788608189422609</v>
      </c>
      <c r="F178" s="60">
        <f ca="1">F189*1000000/'Original Population'!F$158</f>
        <v>1.1670555804717209</v>
      </c>
      <c r="G178" s="60">
        <f ca="1">G189*1000000/'Original Population'!G$158</f>
        <v>1.1844900747826717</v>
      </c>
      <c r="H178" s="60">
        <f ca="1">H189*1000000/'Original Population'!H$158</f>
        <v>1.1962266197949918</v>
      </c>
      <c r="I178" s="60">
        <f t="shared" ca="1" si="27"/>
        <v>1.1962266197949918</v>
      </c>
      <c r="J178" s="60">
        <f t="shared" ca="1" si="27"/>
        <v>1.1962266197949918</v>
      </c>
      <c r="K178" s="60">
        <f t="shared" ca="1" si="27"/>
        <v>1.1962266197949918</v>
      </c>
      <c r="L178" s="60"/>
      <c r="M178" s="60">
        <f ca="1">B167*'Total Trip Tables Sup #2'!B167*1000000/'Updated Population'!B$158</f>
        <v>1.1141991123694166</v>
      </c>
      <c r="N178" s="60">
        <f ca="1">C167*'Total Trip Tables Sup #2'!C167*1000000/'Updated Population'!C$158</f>
        <v>1.1542317767365287</v>
      </c>
      <c r="O178" s="60">
        <f ca="1">D167*'Total Trip Tables Sup #2'!D167*1000000/'Updated Population'!D$158</f>
        <v>1.1807864071865968</v>
      </c>
      <c r="P178" s="60">
        <f ca="1">E167*'Total Trip Tables Sup #2'!E167*1000000/'Updated Population'!E$158</f>
        <v>1.1788608189422609</v>
      </c>
      <c r="Q178" s="60">
        <f ca="1">F167*'Total Trip Tables Sup #2'!F167*1000000/'Updated Population'!F$158</f>
        <v>1.1670555804717206</v>
      </c>
      <c r="R178" s="60">
        <f ca="1">G167*'Total Trip Tables Sup #2'!G167*1000000/'Updated Population'!G$158</f>
        <v>1.1844900747826717</v>
      </c>
      <c r="S178" s="60">
        <f ca="1">H167*'Total Trip Tables Sup #2'!H167*1000000/'Updated Population'!H$158</f>
        <v>1.1962266197949918</v>
      </c>
      <c r="T178" s="59"/>
    </row>
    <row r="179" spans="1:20" x14ac:dyDescent="0.2">
      <c r="A179" s="59" t="str">
        <f t="shared" ca="1" si="25"/>
        <v>Other Household Travel</v>
      </c>
      <c r="B179" s="60">
        <f ca="1">B190*1000000/'Original Population'!B$158</f>
        <v>2.3324790409086815</v>
      </c>
      <c r="C179" s="60">
        <f ca="1">C190*1000000/'Original Population'!C$158</f>
        <v>2.3176351471326955</v>
      </c>
      <c r="D179" s="60">
        <f ca="1">D190*1000000/'Original Population'!D$158</f>
        <v>2.3325360510094777</v>
      </c>
      <c r="E179" s="60">
        <f ca="1">E190*1000000/'Original Population'!E$158</f>
        <v>2.3390307275691415</v>
      </c>
      <c r="F179" s="60">
        <f ca="1">F190*1000000/'Original Population'!F$158</f>
        <v>2.3362368131662263</v>
      </c>
      <c r="G179" s="60">
        <f ca="1">G190*1000000/'Original Population'!G$158</f>
        <v>2.3269889605717817</v>
      </c>
      <c r="H179" s="60">
        <f ca="1">H190*1000000/'Original Population'!H$158</f>
        <v>2.2944849294885441</v>
      </c>
      <c r="I179" s="60">
        <f t="shared" ca="1" si="27"/>
        <v>2.2944849294885441</v>
      </c>
      <c r="J179" s="60">
        <f t="shared" ca="1" si="27"/>
        <v>2.2944849294885441</v>
      </c>
      <c r="K179" s="60">
        <f t="shared" ca="1" si="27"/>
        <v>2.2944849294885441</v>
      </c>
      <c r="L179" s="60"/>
      <c r="M179" s="60">
        <f ca="1">B168*'Total Trip Tables Sup #2'!B168*1000000/'Updated Population'!B$158</f>
        <v>2.3324790409086815</v>
      </c>
      <c r="N179" s="60">
        <f ca="1">C168*'Total Trip Tables Sup #2'!C168*1000000/'Updated Population'!C$158</f>
        <v>2.3176351471326959</v>
      </c>
      <c r="O179" s="60">
        <f ca="1">D168*'Total Trip Tables Sup #2'!D168*1000000/'Updated Population'!D$158</f>
        <v>2.3325360510094777</v>
      </c>
      <c r="P179" s="60">
        <f ca="1">E168*'Total Trip Tables Sup #2'!E168*1000000/'Updated Population'!E$158</f>
        <v>2.3390307275691411</v>
      </c>
      <c r="Q179" s="60">
        <f ca="1">F168*'Total Trip Tables Sup #2'!F168*1000000/'Updated Population'!F$158</f>
        <v>2.3362368131662268</v>
      </c>
      <c r="R179" s="60">
        <f ca="1">G168*'Total Trip Tables Sup #2'!G168*1000000/'Updated Population'!G$158</f>
        <v>2.3269889605717817</v>
      </c>
      <c r="S179" s="60">
        <f ca="1">H168*'Total Trip Tables Sup #2'!H168*1000000/'Updated Population'!H$158</f>
        <v>2.2944849294885441</v>
      </c>
      <c r="T179" s="59"/>
    </row>
    <row r="180" spans="1:20" x14ac:dyDescent="0.2">
      <c r="A180" t="s">
        <v>21</v>
      </c>
    </row>
    <row r="181" spans="1:20" x14ac:dyDescent="0.2">
      <c r="A181" t="str">
        <f t="shared" ref="A181:A187" ca="1" si="28">A27</f>
        <v>Pedestrian</v>
      </c>
      <c r="B181" s="4">
        <f ca="1">'Total Trip Tables Original'!B159</f>
        <v>986.56972308989998</v>
      </c>
      <c r="C181" s="4">
        <f ca="1">'Total Trip Tables Original'!C159</f>
        <v>1037.2981624913</v>
      </c>
      <c r="D181" s="4">
        <f ca="1">'Total Trip Tables Original'!D159</f>
        <v>1065.9693452668998</v>
      </c>
      <c r="E181" s="4">
        <f ca="1">'Total Trip Tables Original'!E159</f>
        <v>1086.6453829351997</v>
      </c>
      <c r="F181" s="4">
        <f ca="1">'Total Trip Tables Original'!F159</f>
        <v>1098.1318946386002</v>
      </c>
      <c r="G181" s="4">
        <f ca="1">'Total Trip Tables Original'!G159</f>
        <v>1104.2826183234999</v>
      </c>
      <c r="H181" s="4">
        <f ca="1">'Total Trip Tables Original'!H159</f>
        <v>1105.8347674816</v>
      </c>
      <c r="I181" s="4">
        <f ca="1">'Total Trip Tables Original'!I159</f>
        <v>1132.6256443931882</v>
      </c>
      <c r="J181" s="4">
        <f ca="1">'Total Trip Tables Original'!J159</f>
        <v>1156.7210353919463</v>
      </c>
      <c r="K181" s="4">
        <f ca="1">'Total Trip Tables Original'!K159</f>
        <v>1179.143290235306</v>
      </c>
    </row>
    <row r="182" spans="1:20" x14ac:dyDescent="0.2">
      <c r="A182" t="str">
        <f t="shared" ca="1" si="28"/>
        <v>Cyclist</v>
      </c>
      <c r="B182" s="4">
        <f ca="1">'Total Trip Tables Original'!B160</f>
        <v>71.074316198400012</v>
      </c>
      <c r="C182" s="4">
        <f ca="1">'Total Trip Tables Original'!C160</f>
        <v>74.726193396900001</v>
      </c>
      <c r="D182" s="4">
        <f ca="1">'Total Trip Tables Original'!D160</f>
        <v>76.205021870700008</v>
      </c>
      <c r="E182" s="4">
        <f ca="1">'Total Trip Tables Original'!E160</f>
        <v>76.91488039070002</v>
      </c>
      <c r="F182" s="4">
        <f ca="1">'Total Trip Tables Original'!F160</f>
        <v>77.5999219877</v>
      </c>
      <c r="G182" s="4">
        <f ca="1">'Total Trip Tables Original'!G160</f>
        <v>78.177828320099991</v>
      </c>
      <c r="H182" s="4">
        <f ca="1">'Total Trip Tables Original'!H160</f>
        <v>78.644829095599988</v>
      </c>
      <c r="I182" s="4">
        <f ca="1">'Total Trip Tables Original'!I160</f>
        <v>80.414250931447697</v>
      </c>
      <c r="J182" s="4">
        <f ca="1">'Total Trip Tables Original'!J160</f>
        <v>81.987538630201428</v>
      </c>
      <c r="K182" s="4">
        <f ca="1">'Total Trip Tables Original'!K160</f>
        <v>83.437970113196002</v>
      </c>
    </row>
    <row r="183" spans="1:20" x14ac:dyDescent="0.2">
      <c r="A183" t="str">
        <f t="shared" ca="1" si="28"/>
        <v>Light Vehicle Driver</v>
      </c>
      <c r="B183" s="4">
        <f ca="1">'Total Trip Tables Original'!B161</f>
        <v>3093.3887589700003</v>
      </c>
      <c r="C183" s="4">
        <f ca="1">'Total Trip Tables Original'!C161</f>
        <v>3333.1604034479997</v>
      </c>
      <c r="D183" s="4">
        <f ca="1">'Total Trip Tables Original'!D161</f>
        <v>3477.4222717410003</v>
      </c>
      <c r="E183" s="4">
        <f ca="1">'Total Trip Tables Original'!E161</f>
        <v>3634.6800277850007</v>
      </c>
      <c r="F183" s="4">
        <f ca="1">'Total Trip Tables Original'!F161</f>
        <v>3778.2584645039997</v>
      </c>
      <c r="G183" s="4">
        <f ca="1">'Total Trip Tables Original'!G161</f>
        <v>3882.2303715910007</v>
      </c>
      <c r="H183" s="4">
        <f ca="1">'Total Trip Tables Original'!H161</f>
        <v>3968.1872746230001</v>
      </c>
      <c r="I183" s="4">
        <f ca="1">'Total Trip Tables Original'!I161</f>
        <v>4060.2119147228677</v>
      </c>
      <c r="J183" s="4">
        <f ca="1">'Total Trip Tables Original'!J161</f>
        <v>4142.4936309109271</v>
      </c>
      <c r="K183" s="4">
        <f ca="1">'Total Trip Tables Original'!K161</f>
        <v>4218.7216661186549</v>
      </c>
    </row>
    <row r="184" spans="1:20" x14ac:dyDescent="0.2">
      <c r="A184" t="str">
        <f t="shared" ca="1" si="28"/>
        <v>Light Vehicle Passenger</v>
      </c>
      <c r="B184" s="4">
        <f ca="1">'Total Trip Tables Original'!B162</f>
        <v>1512.9377645669999</v>
      </c>
      <c r="C184" s="4">
        <f ca="1">'Total Trip Tables Original'!C162</f>
        <v>1555.150275186</v>
      </c>
      <c r="D184" s="4">
        <f ca="1">'Total Trip Tables Original'!D162</f>
        <v>1577.9840150127998</v>
      </c>
      <c r="E184" s="4">
        <f ca="1">'Total Trip Tables Original'!E162</f>
        <v>1602.8078877842001</v>
      </c>
      <c r="F184" s="4">
        <f ca="1">'Total Trip Tables Original'!F162</f>
        <v>1623.9080325987002</v>
      </c>
      <c r="G184" s="4">
        <f ca="1">'Total Trip Tables Original'!G162</f>
        <v>1635.1234389881001</v>
      </c>
      <c r="H184" s="4">
        <f ca="1">'Total Trip Tables Original'!H162</f>
        <v>1637.6865937386999</v>
      </c>
      <c r="I184" s="4">
        <f ca="1">'Total Trip Tables Original'!I162</f>
        <v>1675.9124694063905</v>
      </c>
      <c r="J184" s="4">
        <f ca="1">'Total Trip Tables Original'!J162</f>
        <v>1710.1245342876152</v>
      </c>
      <c r="K184" s="4">
        <f ca="1">'Total Trip Tables Original'!K162</f>
        <v>1741.8442920599982</v>
      </c>
    </row>
    <row r="185" spans="1:20" x14ac:dyDescent="0.2">
      <c r="A185" t="str">
        <f t="shared" ca="1" si="28"/>
        <v>Taxi/Vehicle Share</v>
      </c>
      <c r="B185" s="4">
        <f ca="1">'Total Trip Tables Original'!B163</f>
        <v>15.600131729099999</v>
      </c>
      <c r="C185" s="4">
        <f ca="1">'Total Trip Tables Original'!C163</f>
        <v>17.566514211300003</v>
      </c>
      <c r="D185" s="4">
        <f ca="1">'Total Trip Tables Original'!D163</f>
        <v>18.995906660399999</v>
      </c>
      <c r="E185" s="4">
        <f ca="1">'Total Trip Tables Original'!E163</f>
        <v>20.188023466200001</v>
      </c>
      <c r="F185" s="4">
        <f ca="1">'Total Trip Tables Original'!F163</f>
        <v>21.189576271100002</v>
      </c>
      <c r="G185" s="4">
        <f ca="1">'Total Trip Tables Original'!G163</f>
        <v>21.877099448799999</v>
      </c>
      <c r="H185" s="4">
        <f ca="1">'Total Trip Tables Original'!H163</f>
        <v>22.497324604599999</v>
      </c>
      <c r="I185" s="4">
        <f ca="1">'Total Trip Tables Original'!I163</f>
        <v>23.056523349280852</v>
      </c>
      <c r="J185" s="4">
        <f ca="1">'Total Trip Tables Original'!J163</f>
        <v>23.563147213927451</v>
      </c>
      <c r="K185" s="4">
        <f ca="1">'Total Trip Tables Original'!K163</f>
        <v>24.037959028450373</v>
      </c>
    </row>
    <row r="186" spans="1:20" x14ac:dyDescent="0.2">
      <c r="A186" t="str">
        <f t="shared" ca="1" si="28"/>
        <v>Motorcyclist</v>
      </c>
      <c r="B186" s="4">
        <f ca="1">'Total Trip Tables Original'!B164</f>
        <v>19.272283824500001</v>
      </c>
      <c r="C186" s="4">
        <f ca="1">'Total Trip Tables Original'!C164</f>
        <v>20.223211861899998</v>
      </c>
      <c r="D186" s="4">
        <f ca="1">'Total Trip Tables Original'!D164</f>
        <v>20.576058538799998</v>
      </c>
      <c r="E186" s="4">
        <f ca="1">'Total Trip Tables Original'!E164</f>
        <v>20.957474443900001</v>
      </c>
      <c r="F186" s="4">
        <f ca="1">'Total Trip Tables Original'!F164</f>
        <v>21.212525333399995</v>
      </c>
      <c r="G186" s="4">
        <f ca="1">'Total Trip Tables Original'!G164</f>
        <v>21.107621852599998</v>
      </c>
      <c r="H186" s="4">
        <f ca="1">'Total Trip Tables Original'!H164</f>
        <v>20.856772619700003</v>
      </c>
      <c r="I186" s="4">
        <f ca="1">'Total Trip Tables Original'!I164</f>
        <v>21.298034144891453</v>
      </c>
      <c r="J186" s="4">
        <f ca="1">'Total Trip Tables Original'!J164</f>
        <v>21.686940630780498</v>
      </c>
      <c r="K186" s="4">
        <f ca="1">'Total Trip Tables Original'!K164</f>
        <v>22.04312925405603</v>
      </c>
    </row>
    <row r="187" spans="1:20" x14ac:dyDescent="0.2">
      <c r="A187" t="str">
        <f t="shared" ca="1" si="28"/>
        <v>Local Train</v>
      </c>
      <c r="B187" s="4">
        <f ca="1">'Total Trip Tables Original'!B22+'Total Trip Tables Original'!B99</f>
        <v>20.753709268000001</v>
      </c>
      <c r="C187" s="4">
        <f ca="1">'Total Trip Tables Original'!C22+'Total Trip Tables Original'!C99</f>
        <v>22.518037342</v>
      </c>
      <c r="D187" s="4">
        <f ca="1">'Total Trip Tables Original'!D22+'Total Trip Tables Original'!D99</f>
        <v>23.580292740000001</v>
      </c>
      <c r="E187" s="4">
        <f ca="1">'Total Trip Tables Original'!E22+'Total Trip Tables Original'!E99</f>
        <v>24.275901069</v>
      </c>
      <c r="F187" s="4">
        <f ca="1">'Total Trip Tables Original'!F22+'Total Trip Tables Original'!F99</f>
        <v>24.695698463999999</v>
      </c>
      <c r="G187" s="4">
        <f ca="1">'Total Trip Tables Original'!G22+'Total Trip Tables Original'!G99</f>
        <v>25.001430137</v>
      </c>
      <c r="H187" s="4">
        <f ca="1">'Total Trip Tables Original'!H22+'Total Trip Tables Original'!H99</f>
        <v>25.157493760999998</v>
      </c>
      <c r="I187" s="4">
        <f ca="1">'Total Trip Tables Original'!I22+'Total Trip Tables Original'!I99</f>
        <v>25.847777008022611</v>
      </c>
      <c r="J187" s="4">
        <f ca="1">'Total Trip Tables Original'!J22+'Total Trip Tables Original'!J99</f>
        <v>26.479290000341159</v>
      </c>
      <c r="K187" s="4">
        <f ca="1">'Total Trip Tables Original'!K22+'Total Trip Tables Original'!K99</f>
        <v>27.074932567133516</v>
      </c>
    </row>
    <row r="188" spans="1:20" x14ac:dyDescent="0.2">
      <c r="A188" t="s">
        <v>16</v>
      </c>
      <c r="B188" s="4">
        <f ca="1">'Total Trip Tables Original'!B12+'Total Trip Tables Original'!B34+'Total Trip Tables Original'!B45+'Total Trip Tables Original'!B56+'Total Trip Tables Original'!B67+'Total Trip Tables Original'!B78+'Total Trip Tables Original'!B89+'Total Trip Tables Original'!B111+'Total Trip Tables Original'!B122+'Total Trip Tables Original'!B144+'Total Trip Tables Original'!B155</f>
        <v>37.710964695899996</v>
      </c>
      <c r="C188" s="4">
        <f ca="1">'Total Trip Tables Original'!C12+'Total Trip Tables Original'!C34+'Total Trip Tables Original'!C45+'Total Trip Tables Original'!C56+'Total Trip Tables Original'!C67+'Total Trip Tables Original'!C78+'Total Trip Tables Original'!C89+'Total Trip Tables Original'!C111+'Total Trip Tables Original'!C122+'Total Trip Tables Original'!C144+'Total Trip Tables Original'!C155</f>
        <v>36.650257100600001</v>
      </c>
      <c r="D188" s="4">
        <f ca="1">'Total Trip Tables Original'!D12+'Total Trip Tables Original'!D34+'Total Trip Tables Original'!D45+'Total Trip Tables Original'!D56+'Total Trip Tables Original'!D67+'Total Trip Tables Original'!D78+'Total Trip Tables Original'!D89+'Total Trip Tables Original'!D111+'Total Trip Tables Original'!D122+'Total Trip Tables Original'!D144+'Total Trip Tables Original'!D155</f>
        <v>35.802345886200001</v>
      </c>
      <c r="E188" s="4">
        <f ca="1">'Total Trip Tables Original'!E12+'Total Trip Tables Original'!E34+'Total Trip Tables Original'!E45+'Total Trip Tables Original'!E56+'Total Trip Tables Original'!E67+'Total Trip Tables Original'!E78+'Total Trip Tables Original'!E89+'Total Trip Tables Original'!E111+'Total Trip Tables Original'!E122+'Total Trip Tables Original'!E144+'Total Trip Tables Original'!E155</f>
        <v>35.510749770499999</v>
      </c>
      <c r="F188" s="4">
        <f ca="1">'Total Trip Tables Original'!F12+'Total Trip Tables Original'!F34+'Total Trip Tables Original'!F45+'Total Trip Tables Original'!F56+'Total Trip Tables Original'!F67+'Total Trip Tables Original'!F78+'Total Trip Tables Original'!F89+'Total Trip Tables Original'!F111+'Total Trip Tables Original'!F122+'Total Trip Tables Original'!F144+'Total Trip Tables Original'!F155</f>
        <v>34.764629024899996</v>
      </c>
      <c r="G188" s="4">
        <f ca="1">'Total Trip Tables Original'!G12+'Total Trip Tables Original'!G34+'Total Trip Tables Original'!G45+'Total Trip Tables Original'!G56+'Total Trip Tables Original'!G67+'Total Trip Tables Original'!G78+'Total Trip Tables Original'!G89+'Total Trip Tables Original'!G111+'Total Trip Tables Original'!G122+'Total Trip Tables Original'!G144+'Total Trip Tables Original'!G155</f>
        <v>34.1536701072</v>
      </c>
      <c r="H188" s="4">
        <f ca="1">'Total Trip Tables Original'!H12+'Total Trip Tables Original'!H34+'Total Trip Tables Original'!H45+'Total Trip Tables Original'!H56+'Total Trip Tables Original'!H67+'Total Trip Tables Original'!H78+'Total Trip Tables Original'!H89+'Total Trip Tables Original'!H111+'Total Trip Tables Original'!H122+'Total Trip Tables Original'!H144+'Total Trip Tables Original'!H155</f>
        <v>33.357010791800001</v>
      </c>
      <c r="I188" s="4">
        <f ca="1">'Total Trip Tables Original'!I12+'Total Trip Tables Original'!I34+'Total Trip Tables Original'!I45+'Total Trip Tables Original'!I56+'Total Trip Tables Original'!I67+'Total Trip Tables Original'!I78+'Total Trip Tables Original'!I89+'Total Trip Tables Original'!I111+'Total Trip Tables Original'!I122+'Total Trip Tables Original'!I144+'Total Trip Tables Original'!I155</f>
        <v>33.707517036614618</v>
      </c>
      <c r="J188" s="4">
        <f ca="1">'Total Trip Tables Original'!J12+'Total Trip Tables Original'!J34+'Total Trip Tables Original'!J45+'Total Trip Tables Original'!J56+'Total Trip Tables Original'!J67+'Total Trip Tables Original'!J78+'Total Trip Tables Original'!J89+'Total Trip Tables Original'!J111+'Total Trip Tables Original'!J122+'Total Trip Tables Original'!J144+'Total Trip Tables Original'!J155</f>
        <v>33.963032312157225</v>
      </c>
      <c r="K188" s="4">
        <f ca="1">'Total Trip Tables Original'!K12+'Total Trip Tables Original'!K34+'Total Trip Tables Original'!K45+'Total Trip Tables Original'!K56+'Total Trip Tables Original'!K67+'Total Trip Tables Original'!K78+'Total Trip Tables Original'!K89+'Total Trip Tables Original'!K111+'Total Trip Tables Original'!K122+'Total Trip Tables Original'!K144+'Total Trip Tables Original'!K155</f>
        <v>34.156788773679935</v>
      </c>
    </row>
    <row r="189" spans="1:20" x14ac:dyDescent="0.2">
      <c r="A189" t="str">
        <f ca="1">A35</f>
        <v>Local Ferry</v>
      </c>
      <c r="B189" s="4">
        <f ca="1">'Total Trip Tables Original'!B167</f>
        <v>4.9488267775000008</v>
      </c>
      <c r="C189" s="4">
        <f ca="1">'Total Trip Tables Original'!C167</f>
        <v>5.4686347349999993</v>
      </c>
      <c r="D189" s="4">
        <f ca="1">'Total Trip Tables Original'!D167</f>
        <v>5.8426492214000003</v>
      </c>
      <c r="E189" s="4">
        <f ca="1">'Total Trip Tables Original'!E167</f>
        <v>6.074080369599999</v>
      </c>
      <c r="F189" s="4">
        <f ca="1">'Total Trip Tables Original'!F167</f>
        <v>6.2296259829999991</v>
      </c>
      <c r="G189" s="4">
        <f ca="1">'Total Trip Tables Original'!G167</f>
        <v>6.5130371251999994</v>
      </c>
      <c r="H189" s="4">
        <f ca="1">'Total Trip Tables Original'!H167</f>
        <v>6.7452826636999994</v>
      </c>
      <c r="I189" s="4">
        <f ca="1">'Total Trip Tables Original'!I167</f>
        <v>6.9520373129662065</v>
      </c>
      <c r="J189" s="4">
        <f ca="1">'Total Trip Tables Original'!J167</f>
        <v>7.1441619065196766</v>
      </c>
      <c r="K189" s="4">
        <f ca="1">'Total Trip Tables Original'!K167</f>
        <v>7.3276765027813742</v>
      </c>
    </row>
    <row r="190" spans="1:20" x14ac:dyDescent="0.2">
      <c r="A190" t="str">
        <f ca="1">A36</f>
        <v>Other Household Travel</v>
      </c>
      <c r="B190" s="4">
        <f ca="1">'Total Trip Tables Original'!B168</f>
        <v>10.3599389081</v>
      </c>
      <c r="C190" s="4">
        <f ca="1">'Total Trip Tables Original'!C168</f>
        <v>10.980723563599998</v>
      </c>
      <c r="D190" s="4">
        <f ca="1">'Total Trip Tables Original'!D168</f>
        <v>11.541621634</v>
      </c>
      <c r="E190" s="4">
        <f ca="1">'Total Trip Tables Original'!E168</f>
        <v>12.051855823800002</v>
      </c>
      <c r="F190" s="4">
        <f ca="1">'Total Trip Tables Original'!F168</f>
        <v>12.470598485</v>
      </c>
      <c r="G190" s="4">
        <f ca="1">'Total Trip Tables Original'!G168</f>
        <v>12.7951814986</v>
      </c>
      <c r="H190" s="4">
        <f ca="1">'Total Trip Tables Original'!H168</f>
        <v>12.938141620400001</v>
      </c>
      <c r="I190" s="4">
        <f ca="1">'Total Trip Tables Original'!I168</f>
        <v>13.200000237695582</v>
      </c>
      <c r="J190" s="4">
        <f ca="1">'Total Trip Tables Original'!J168</f>
        <v>13.42869202220988</v>
      </c>
      <c r="K190" s="4">
        <f ca="1">'Total Trip Tables Original'!K168</f>
        <v>13.636426021343883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K190"/>
  <sheetViews>
    <sheetView workbookViewId="0">
      <selection activeCell="H24" sqref="H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11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OFFSET(Northland_Reference,0,5)</f>
        <v>23.706864376999999</v>
      </c>
      <c r="C5" s="4">
        <f ca="1">OFFSET(Northland_Reference,1,5)</f>
        <v>24.204158259</v>
      </c>
      <c r="D5" s="4">
        <f ca="1">OFFSET(Northland_Reference,2,5)</f>
        <v>24.432664984999999</v>
      </c>
      <c r="E5" s="4">
        <f ca="1">OFFSET(Northland_Reference,3,5)</f>
        <v>24.530438723</v>
      </c>
      <c r="F5" s="4">
        <f ca="1">OFFSET(Northland_Reference,4,5)</f>
        <v>24.360605504999999</v>
      </c>
      <c r="G5" s="4">
        <f ca="1">OFFSET(Northland_Reference,5,5)</f>
        <v>23.96272797</v>
      </c>
      <c r="H5" s="4">
        <f ca="1">OFFSET(Northland_Reference,6,5)</f>
        <v>23.474969459</v>
      </c>
      <c r="I5" s="1">
        <f ca="1">H5*('Updated Population'!I$4/'Updated Population'!H$4)</f>
        <v>23.800081343567804</v>
      </c>
      <c r="J5" s="1">
        <f ca="1">I5*('Updated Population'!J$4/'Updated Population'!I$4)</f>
        <v>24.062534410621222</v>
      </c>
      <c r="K5" s="1">
        <f ca="1">J5*('Updated Population'!K$4/'Updated Population'!J$4)</f>
        <v>24.2855181351376</v>
      </c>
    </row>
    <row r="6" spans="1:11" x14ac:dyDescent="0.2">
      <c r="A6" t="str">
        <f ca="1">OFFSET(Northland_Reference,7,2)</f>
        <v>Cyclist</v>
      </c>
      <c r="B6" s="4">
        <f ca="1">OFFSET(Northland_Reference,7,5)</f>
        <v>0.66592947719999995</v>
      </c>
      <c r="C6" s="4">
        <f ca="1">OFFSET(Northland_Reference,8,5)</f>
        <v>0.62665387790000004</v>
      </c>
      <c r="D6" s="4">
        <f ca="1">OFFSET(Northland_Reference,9,5)</f>
        <v>0.63783943210000005</v>
      </c>
      <c r="E6" s="4">
        <f ca="1">OFFSET(Northland_Reference,10,5)</f>
        <v>0.62394237320000001</v>
      </c>
      <c r="F6" s="4">
        <f ca="1">OFFSET(Northland_Reference,11,5)</f>
        <v>0.58590263580000002</v>
      </c>
      <c r="G6" s="4">
        <f ca="1">OFFSET(Northland_Reference,12,5)</f>
        <v>0.49134130259999997</v>
      </c>
      <c r="H6" s="4">
        <f ca="1">OFFSET(Northland_Reference,13,5)</f>
        <v>0.40361572159999998</v>
      </c>
      <c r="I6" s="1">
        <f ca="1">H6*('Updated Population'!I$4/'Updated Population'!H$4)</f>
        <v>0.40920551664189558</v>
      </c>
      <c r="J6" s="1">
        <f ca="1">I6*('Updated Population'!J$4/'Updated Population'!I$4)</f>
        <v>0.41371799041656482</v>
      </c>
      <c r="K6" s="1">
        <f ca="1">J6*('Updated Population'!K$4/'Updated Population'!J$4)</f>
        <v>0.41755185001041528</v>
      </c>
    </row>
    <row r="7" spans="1:11" x14ac:dyDescent="0.2">
      <c r="A7" t="str">
        <f ca="1">OFFSET(Northland_Reference,14,2)</f>
        <v>Light Vehicle Driver</v>
      </c>
      <c r="B7" s="4">
        <f ca="1">OFFSET(Northland_Reference,14,5)</f>
        <v>86.333691700000003</v>
      </c>
      <c r="C7" s="4">
        <f ca="1">OFFSET(Northland_Reference,15,5)</f>
        <v>90.810339967999994</v>
      </c>
      <c r="D7" s="4">
        <f ca="1">OFFSET(Northland_Reference,16,5)</f>
        <v>93.502987924999999</v>
      </c>
      <c r="E7" s="4">
        <f ca="1">OFFSET(Northland_Reference,17,5)</f>
        <v>97.395297670000005</v>
      </c>
      <c r="F7" s="4">
        <f ca="1">OFFSET(Northland_Reference,18,5)</f>
        <v>100.71381083</v>
      </c>
      <c r="G7" s="4">
        <f ca="1">OFFSET(Northland_Reference,19,5)</f>
        <v>102.07565332999999</v>
      </c>
      <c r="H7" s="4">
        <f ca="1">OFFSET(Northland_Reference,20,5)</f>
        <v>103.08701818999999</v>
      </c>
      <c r="I7" s="1">
        <f ca="1">H7*('Updated Population'!I$4/'Updated Population'!H$4)</f>
        <v>104.51470118727764</v>
      </c>
      <c r="J7" s="1">
        <f ca="1">I7*('Updated Population'!J$4/'Updated Population'!I$4)</f>
        <v>105.66722682291736</v>
      </c>
      <c r="K7" s="1">
        <f ca="1">J7*('Updated Population'!K$4/'Updated Population'!J$4)</f>
        <v>106.64642840635035</v>
      </c>
    </row>
    <row r="8" spans="1:11" x14ac:dyDescent="0.2">
      <c r="A8" t="str">
        <f ca="1">OFFSET(Northland_Reference,21,2)</f>
        <v>Light Vehicle Passenger</v>
      </c>
      <c r="B8" s="4">
        <f ca="1">OFFSET(Northland_Reference,21,5)</f>
        <v>50.299563868</v>
      </c>
      <c r="C8" s="4">
        <f ca="1">OFFSET(Northland_Reference,22,5)</f>
        <v>50.294252911000001</v>
      </c>
      <c r="D8" s="4">
        <f ca="1">OFFSET(Northland_Reference,23,5)</f>
        <v>50.043539699999997</v>
      </c>
      <c r="E8" s="4">
        <f ca="1">OFFSET(Northland_Reference,24,5)</f>
        <v>50.358372277000001</v>
      </c>
      <c r="F8" s="4">
        <f ca="1">OFFSET(Northland_Reference,25,5)</f>
        <v>50.774381144000003</v>
      </c>
      <c r="G8" s="4">
        <f ca="1">OFFSET(Northland_Reference,26,5)</f>
        <v>50.467069518999999</v>
      </c>
      <c r="H8" s="4">
        <f ca="1">OFFSET(Northland_Reference,27,5)</f>
        <v>50.028677604999999</v>
      </c>
      <c r="I8" s="1">
        <f ca="1">H8*('Updated Population'!I$4/'Updated Population'!H$4)</f>
        <v>50.721539748527128</v>
      </c>
      <c r="J8" s="1">
        <f ca="1">I8*('Updated Population'!J$4/'Updated Population'!I$4)</f>
        <v>51.280866562604196</v>
      </c>
      <c r="K8" s="1">
        <f ca="1">J8*('Updated Population'!K$4/'Updated Population'!J$4)</f>
        <v>51.756078293314893</v>
      </c>
    </row>
    <row r="9" spans="1:11" x14ac:dyDescent="0.2">
      <c r="A9" t="str">
        <f ca="1">OFFSET(Northland_Reference,28,2)</f>
        <v>Taxi/Vehicle Share</v>
      </c>
      <c r="B9" s="4">
        <f ca="1">OFFSET(Northland_Reference,28,5)</f>
        <v>0.18126348840000001</v>
      </c>
      <c r="C9" s="4">
        <f ca="1">OFFSET(Northland_Reference,29,5)</f>
        <v>0.1834144895</v>
      </c>
      <c r="D9" s="4">
        <f ca="1">OFFSET(Northland_Reference,30,5)</f>
        <v>0.1890964852</v>
      </c>
      <c r="E9" s="4">
        <f ca="1">OFFSET(Northland_Reference,31,5)</f>
        <v>0.2019608722</v>
      </c>
      <c r="F9" s="4">
        <f ca="1">OFFSET(Northland_Reference,32,5)</f>
        <v>0.200151469</v>
      </c>
      <c r="G9" s="4">
        <f ca="1">OFFSET(Northland_Reference,33,5)</f>
        <v>0.19181391510000001</v>
      </c>
      <c r="H9" s="4">
        <f ca="1">OFFSET(Northland_Reference,34,5)</f>
        <v>0.18271819580000001</v>
      </c>
      <c r="I9" s="1">
        <f ca="1">H9*('Updated Population'!I$4/'Updated Population'!H$4)</f>
        <v>0.1852487148315633</v>
      </c>
      <c r="J9" s="1">
        <f ca="1">I9*('Updated Population'!J$4/'Updated Population'!I$4)</f>
        <v>0.18729152689902659</v>
      </c>
      <c r="K9" s="1">
        <f ca="1">J9*('Updated Population'!K$4/'Updated Population'!J$4)</f>
        <v>0.18902712804251506</v>
      </c>
    </row>
    <row r="10" spans="1:11" x14ac:dyDescent="0.2">
      <c r="A10" t="str">
        <f ca="1">OFFSET(Northland_Reference,35,2)</f>
        <v>Motorcyclist</v>
      </c>
      <c r="B10" s="4">
        <f ca="1">OFFSET(Northland_Reference,35,5)</f>
        <v>1.4141085707000001</v>
      </c>
      <c r="C10" s="4">
        <f ca="1">OFFSET(Northland_Reference,36,5)</f>
        <v>1.4332547929999999</v>
      </c>
      <c r="D10" s="4">
        <f ca="1">OFFSET(Northland_Reference,37,5)</f>
        <v>1.3872448195</v>
      </c>
      <c r="E10" s="4">
        <f ca="1">OFFSET(Northland_Reference,38,5)</f>
        <v>1.316323508</v>
      </c>
      <c r="F10" s="4">
        <f ca="1">OFFSET(Northland_Reference,39,5)</f>
        <v>1.3004489078000001</v>
      </c>
      <c r="G10" s="4">
        <f ca="1">OFFSET(Northland_Reference,40,5)</f>
        <v>1.328254144</v>
      </c>
      <c r="H10" s="4">
        <f ca="1">OFFSET(Northland_Reference,41,5)</f>
        <v>1.3387908873000001</v>
      </c>
      <c r="I10" s="1">
        <f ca="1">H10*('Updated Population'!I$4/'Updated Population'!H$4)</f>
        <v>1.357332203367418</v>
      </c>
      <c r="J10" s="1">
        <f ca="1">I10*('Updated Population'!J$4/'Updated Population'!I$4)</f>
        <v>1.3723000513609471</v>
      </c>
      <c r="K10" s="1">
        <f ca="1">J10*('Updated Population'!K$4/'Updated Population'!J$4)</f>
        <v>1.3850169402548873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OFFSET(Northland_Reference,42,5)</f>
        <v>3.6339219343</v>
      </c>
      <c r="C12" s="4">
        <f ca="1">OFFSET(Northland_Reference,43,5)</f>
        <v>3.310483209</v>
      </c>
      <c r="D12" s="4">
        <f ca="1">OFFSET(Northland_Reference,44,5)</f>
        <v>3.1063782566999998</v>
      </c>
      <c r="E12" s="4">
        <f ca="1">OFFSET(Northland_Reference,45,5)</f>
        <v>2.9265171552</v>
      </c>
      <c r="F12" s="4">
        <f ca="1">OFFSET(Northland_Reference,46,5)</f>
        <v>2.7482612411999998</v>
      </c>
      <c r="G12" s="4">
        <f ca="1">OFFSET(Northland_Reference,47,5)</f>
        <v>2.5839824382000001</v>
      </c>
      <c r="H12" s="4">
        <f ca="1">OFFSET(Northland_Reference,48,5)</f>
        <v>2.4115093731999999</v>
      </c>
      <c r="I12" s="1">
        <f ca="1">H12*('Updated Population'!I$4/'Updated Population'!H$4)</f>
        <v>2.4449070889390248</v>
      </c>
      <c r="J12" s="1">
        <f ca="1">I12*('Updated Population'!J$4/'Updated Population'!I$4)</f>
        <v>2.4718680625125926</v>
      </c>
      <c r="K12" s="1">
        <f ca="1">J12*('Updated Population'!K$4/'Updated Population'!J$4)</f>
        <v>2.4947744753486756</v>
      </c>
    </row>
    <row r="13" spans="1:11" x14ac:dyDescent="0.2">
      <c r="A13" t="str">
        <f ca="1">OFFSET(Northland_Reference,49,2)</f>
        <v>Local Ferry</v>
      </c>
      <c r="B13" s="4">
        <f ca="1">OFFSET(Northland_Reference,49,5)</f>
        <v>4.69171767E-2</v>
      </c>
      <c r="C13" s="4">
        <f ca="1">OFFSET(Northland_Reference,50,5)</f>
        <v>5.1946996199999998E-2</v>
      </c>
      <c r="D13" s="4">
        <f ca="1">OFFSET(Northland_Reference,51,5)</f>
        <v>5.3720908099999999E-2</v>
      </c>
      <c r="E13" s="4">
        <f ca="1">OFFSET(Northland_Reference,52,5)</f>
        <v>5.6809892600000002E-2</v>
      </c>
      <c r="F13" s="4">
        <f ca="1">OFFSET(Northland_Reference,53,5)</f>
        <v>5.6740333599999998E-2</v>
      </c>
      <c r="G13" s="4">
        <f ca="1">OFFSET(Northland_Reference,54,5)</f>
        <v>5.3961887100000001E-2</v>
      </c>
      <c r="H13" s="4">
        <f ca="1">OFFSET(Northland_Reference,55,5)</f>
        <v>5.0894163399999998E-2</v>
      </c>
      <c r="I13" s="1">
        <f ca="1">H13*('Updated Population'!I$4/'Updated Population'!H$4)</f>
        <v>5.1599011915580584E-2</v>
      </c>
      <c r="J13" s="1">
        <f ca="1">I13*('Updated Population'!J$4/'Updated Population'!I$4)</f>
        <v>5.2168014968077714E-2</v>
      </c>
      <c r="K13" s="1">
        <f ca="1">J13*('Updated Population'!K$4/'Updated Population'!J$4)</f>
        <v>5.265144776363035E-2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OFFSET(Northland_Reference,56,5)</f>
        <v>0.1184310407</v>
      </c>
      <c r="C14" s="4">
        <f ca="1">OFFSET(Northland_Reference,57,5)</f>
        <v>0.12676171920000001</v>
      </c>
      <c r="D14" s="4">
        <f ca="1">OFFSET(Northland_Reference,58,5)</f>
        <v>0.1266621684</v>
      </c>
      <c r="E14" s="4">
        <f ca="1">OFFSET(Northland_Reference,59,5)</f>
        <v>0.12554221930000001</v>
      </c>
      <c r="F14" s="4">
        <f ca="1">OFFSET(Northland_Reference,60,5)</f>
        <v>0.1234636118</v>
      </c>
      <c r="G14" s="4">
        <f ca="1">OFFSET(Northland_Reference,61,5)</f>
        <v>0.1206569901</v>
      </c>
      <c r="H14" s="4">
        <f ca="1">OFFSET(Northland_Reference,62,5)</f>
        <v>0.11669127379999999</v>
      </c>
      <c r="I14" s="1">
        <f ca="1">H14*('Updated Population'!I$4/'Updated Population'!H$4)</f>
        <v>0.11830736620872476</v>
      </c>
      <c r="J14" s="1">
        <f ca="1">I14*('Updated Population'!J$4/'Updated Population'!I$4)</f>
        <v>0.11961198910762436</v>
      </c>
      <c r="K14" s="1">
        <f ca="1">J14*('Updated Population'!K$4/'Updated Population'!J$4)</f>
        <v>0.1207204146114756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OFFSET(Auckland_Reference,0,5)</f>
        <v>324.81096006000001</v>
      </c>
      <c r="C16" s="4">
        <f ca="1">OFFSET(Auckland_Reference,1,5)</f>
        <v>344.36546155000002</v>
      </c>
      <c r="D16" s="4">
        <f ca="1">OFFSET(Auckland_Reference,2,5)</f>
        <v>356.66226705999998</v>
      </c>
      <c r="E16" s="4">
        <f ca="1">OFFSET(Auckland_Reference,3,5)</f>
        <v>364.36465414000003</v>
      </c>
      <c r="F16" s="4">
        <f ca="1">OFFSET(Auckland_Reference,4,5)</f>
        <v>369.17903816</v>
      </c>
      <c r="G16" s="4">
        <f ca="1">OFFSET(Auckland_Reference,5,5)</f>
        <v>372.36319698</v>
      </c>
      <c r="H16" s="4">
        <f ca="1">OFFSET(Auckland_Reference,6,5)</f>
        <v>373.09787464999999</v>
      </c>
      <c r="I16" s="1">
        <f ca="1">H16*('Updated Population'!I$15/'Updated Population'!H$15)</f>
        <v>385.41009115542664</v>
      </c>
      <c r="J16" s="1">
        <f ca="1">I16*('Updated Population'!J$15/'Updated Population'!I$15)</f>
        <v>396.94937515862131</v>
      </c>
      <c r="K16" s="1">
        <f ca="1">J16*('Updated Population'!K$15/'Updated Population'!J$15)</f>
        <v>408.04426192654284</v>
      </c>
    </row>
    <row r="17" spans="1:11" x14ac:dyDescent="0.2">
      <c r="A17" t="str">
        <f ca="1">OFFSET(Auckland_Reference,7,2)</f>
        <v>Cyclist</v>
      </c>
      <c r="B17" s="4">
        <f ca="1">OFFSET(Auckland_Reference,7,5)</f>
        <v>7.0506319707999996</v>
      </c>
      <c r="C17" s="4">
        <f ca="1">OFFSET(Auckland_Reference,8,5)</f>
        <v>7.5722770519999996</v>
      </c>
      <c r="D17" s="4">
        <f ca="1">OFFSET(Auckland_Reference,9,5)</f>
        <v>7.9398843045999996</v>
      </c>
      <c r="E17" s="4">
        <f ca="1">OFFSET(Auckland_Reference,10,5)</f>
        <v>8.2239793841999997</v>
      </c>
      <c r="F17" s="4">
        <f ca="1">OFFSET(Auckland_Reference,11,5)</f>
        <v>8.4075321889999994</v>
      </c>
      <c r="G17" s="4">
        <f ca="1">OFFSET(Auckland_Reference,12,5)</f>
        <v>8.7871776154999992</v>
      </c>
      <c r="H17" s="4">
        <f ca="1">OFFSET(Auckland_Reference,13,5)</f>
        <v>9.1430611678999991</v>
      </c>
      <c r="I17" s="1">
        <f ca="1">H17*('Updated Population'!I$15/'Updated Population'!H$15)</f>
        <v>9.4447818590916768</v>
      </c>
      <c r="J17" s="1">
        <f ca="1">I17*('Updated Population'!J$15/'Updated Population'!I$15)</f>
        <v>9.727561222479773</v>
      </c>
      <c r="K17" s="1">
        <f ca="1">J17*('Updated Population'!K$15/'Updated Population'!J$15)</f>
        <v>9.9994502769676661</v>
      </c>
    </row>
    <row r="18" spans="1:11" x14ac:dyDescent="0.2">
      <c r="A18" t="str">
        <f ca="1">OFFSET(Auckland_Reference,14,2)</f>
        <v>Light Vehicle Driver</v>
      </c>
      <c r="B18" s="4">
        <f ca="1">OFFSET(Auckland_Reference,14,5)</f>
        <v>981.24355252999999</v>
      </c>
      <c r="C18" s="4">
        <f ca="1">OFFSET(Auckland_Reference,15,5)</f>
        <v>1070.5837898</v>
      </c>
      <c r="D18" s="4">
        <f ca="1">OFFSET(Auckland_Reference,16,5)</f>
        <v>1122.7414653000001</v>
      </c>
      <c r="E18" s="4">
        <f ca="1">OFFSET(Auckland_Reference,17,5)</f>
        <v>1173.7675494</v>
      </c>
      <c r="F18" s="4">
        <f ca="1">OFFSET(Auckland_Reference,18,5)</f>
        <v>1225.6003992000001</v>
      </c>
      <c r="G18" s="4">
        <f ca="1">OFFSET(Auckland_Reference,19,5)</f>
        <v>1270.5837355000001</v>
      </c>
      <c r="H18" s="4">
        <f ca="1">OFFSET(Auckland_Reference,20,5)</f>
        <v>1308.9446461</v>
      </c>
      <c r="I18" s="1">
        <f ca="1">H18*('Updated Population'!I$15/'Updated Population'!H$15)</f>
        <v>1352.1397725571542</v>
      </c>
      <c r="J18" s="1">
        <f ca="1">I18*('Updated Population'!J$15/'Updated Population'!I$15)</f>
        <v>1392.6232087867984</v>
      </c>
      <c r="K18" s="1">
        <f ca="1">J18*('Updated Population'!K$15/'Updated Population'!J$15)</f>
        <v>1431.5475597967852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OFFSET(Auckland_Reference,21,5)</f>
        <v>488.06073574999999</v>
      </c>
      <c r="C19" s="4">
        <f ca="1">OFFSET(Auckland_Reference,22,5)</f>
        <v>509.31307053</v>
      </c>
      <c r="D19" s="4">
        <f ca="1">OFFSET(Auckland_Reference,23,5)</f>
        <v>523.42770669000004</v>
      </c>
      <c r="E19" s="4">
        <f ca="1">OFFSET(Auckland_Reference,24,5)</f>
        <v>536.45961201</v>
      </c>
      <c r="F19" s="4">
        <f ca="1">OFFSET(Auckland_Reference,25,5)</f>
        <v>548.35848080999995</v>
      </c>
      <c r="G19" s="4">
        <f ca="1">OFFSET(Auckland_Reference,26,5)</f>
        <v>556.90672474999997</v>
      </c>
      <c r="H19" s="4">
        <f ca="1">OFFSET(Auckland_Reference,27,5)</f>
        <v>562.10681153999997</v>
      </c>
      <c r="I19" s="1">
        <f ca="1">H19*('Updated Population'!I$15/'Updated Population'!H$15)</f>
        <v>580.65631619570956</v>
      </c>
      <c r="J19" s="1">
        <f ca="1">I19*('Updated Population'!J$15/'Updated Population'!I$15)</f>
        <v>598.04132581168506</v>
      </c>
      <c r="K19" s="1">
        <f ca="1">J19*('Updated Population'!K$15/'Updated Population'!J$15)</f>
        <v>614.75680946691671</v>
      </c>
    </row>
    <row r="20" spans="1:11" x14ac:dyDescent="0.2">
      <c r="A20" t="str">
        <f ca="1">OFFSET(Auckland_Reference,28,2)</f>
        <v>Taxi/Vehicle Share</v>
      </c>
      <c r="B20" s="4">
        <f ca="1">OFFSET(Auckland_Reference,28,5)</f>
        <v>6.0232688673999997</v>
      </c>
      <c r="C20" s="4">
        <f ca="1">OFFSET(Auckland_Reference,29,5)</f>
        <v>6.9383324739000001</v>
      </c>
      <c r="D20" s="4">
        <f ca="1">OFFSET(Auckland_Reference,30,5)</f>
        <v>7.7687429825000001</v>
      </c>
      <c r="E20" s="4">
        <f ca="1">OFFSET(Auckland_Reference,31,5)</f>
        <v>8.5123129905999999</v>
      </c>
      <c r="F20" s="4">
        <f ca="1">OFFSET(Auckland_Reference,32,5)</f>
        <v>9.1947888426999995</v>
      </c>
      <c r="G20" s="4">
        <f ca="1">OFFSET(Auckland_Reference,33,5)</f>
        <v>9.7340575482999991</v>
      </c>
      <c r="H20" s="4">
        <f ca="1">OFFSET(Auckland_Reference,34,5)</f>
        <v>10.268843447</v>
      </c>
      <c r="I20" s="1">
        <f ca="1">H20*('Updated Population'!I$15/'Updated Population'!H$15)</f>
        <v>10.607714913095593</v>
      </c>
      <c r="J20" s="1">
        <f ca="1">I20*('Updated Population'!J$15/'Updated Population'!I$15)</f>
        <v>10.925312811583856</v>
      </c>
      <c r="K20" s="1">
        <f ca="1">J20*('Updated Population'!K$15/'Updated Population'!J$15)</f>
        <v>11.230679480822744</v>
      </c>
    </row>
    <row r="21" spans="1:11" x14ac:dyDescent="0.2">
      <c r="A21" t="str">
        <f ca="1">OFFSET(Auckland_Reference,35,2)</f>
        <v>Motorcyclist</v>
      </c>
      <c r="B21" s="4">
        <f ca="1">OFFSET(Auckland_Reference,35,5)</f>
        <v>4.1170216905999997</v>
      </c>
      <c r="C21" s="4">
        <f ca="1">OFFSET(Auckland_Reference,36,5)</f>
        <v>4.5364792371</v>
      </c>
      <c r="D21" s="4">
        <f ca="1">OFFSET(Auckland_Reference,37,5)</f>
        <v>4.9047489571999998</v>
      </c>
      <c r="E21" s="4">
        <f ca="1">OFFSET(Auckland_Reference,38,5)</f>
        <v>5.4071937517000004</v>
      </c>
      <c r="F21" s="4">
        <f ca="1">OFFSET(Auckland_Reference,39,5)</f>
        <v>5.8133490003999997</v>
      </c>
      <c r="G21" s="4">
        <f ca="1">OFFSET(Auckland_Reference,40,5)</f>
        <v>5.9227793179999999</v>
      </c>
      <c r="H21" s="4">
        <f ca="1">OFFSET(Auckland_Reference,41,5)</f>
        <v>5.9955365243000003</v>
      </c>
      <c r="I21" s="1">
        <f ca="1">H21*('Updated Population'!I$15/'Updated Population'!H$15)</f>
        <v>6.1933890149437039</v>
      </c>
      <c r="J21" s="1">
        <f ca="1">I21*('Updated Population'!J$15/'Updated Population'!I$15)</f>
        <v>6.3788207834047963</v>
      </c>
      <c r="K21" s="1">
        <f ca="1">J21*('Updated Population'!K$15/'Updated Population'!J$15)</f>
        <v>6.5571112625785206</v>
      </c>
    </row>
    <row r="22" spans="1:11" x14ac:dyDescent="0.2">
      <c r="A22" t="str">
        <f ca="1">OFFSET(Auckland_Reference,42,2)</f>
        <v>Local Train</v>
      </c>
      <c r="B22" s="4">
        <f ca="1">OFFSET(Auckland_Reference,42,5)</f>
        <v>10.588451037</v>
      </c>
      <c r="C22" s="4">
        <f ca="1">OFFSET(Auckland_Reference,43,5)</f>
        <v>11.420578711999999</v>
      </c>
      <c r="D22" s="4">
        <f ca="1">OFFSET(Auckland_Reference,44,5)</f>
        <v>11.879401543</v>
      </c>
      <c r="E22" s="4">
        <f ca="1">OFFSET(Auckland_Reference,45,5)</f>
        <v>12.234843393</v>
      </c>
      <c r="F22" s="4">
        <f ca="1">OFFSET(Auckland_Reference,46,5)</f>
        <v>12.444639186</v>
      </c>
      <c r="G22" s="4">
        <f ca="1">OFFSET(Auckland_Reference,47,5)</f>
        <v>12.455475623</v>
      </c>
      <c r="H22" s="4">
        <f ca="1">OFFSET(Auckland_Reference,48,5)</f>
        <v>12.377482091999999</v>
      </c>
      <c r="I22" s="1">
        <f ca="1">H22*('Updated Population'!I$15/'Updated Population'!H$15)</f>
        <v>12.785938557885002</v>
      </c>
      <c r="J22" s="1">
        <f ca="1">I22*('Updated Population'!J$15/'Updated Population'!I$15)</f>
        <v>13.168753070666746</v>
      </c>
      <c r="K22" s="1">
        <f ca="1">J22*('Updated Population'!K$15/'Updated Population'!J$15)</f>
        <v>13.536824752692654</v>
      </c>
    </row>
    <row r="23" spans="1:11" x14ac:dyDescent="0.2">
      <c r="A23" t="str">
        <f ca="1">OFFSET(Auckland_Reference,49,2)</f>
        <v>Local Bus</v>
      </c>
      <c r="B23" s="4">
        <f ca="1">OFFSET(Auckland_Reference,49,5)</f>
        <v>54.403429504999998</v>
      </c>
      <c r="C23" s="4">
        <f ca="1">OFFSET(Auckland_Reference,50,5)</f>
        <v>56.901281644000001</v>
      </c>
      <c r="D23" s="4">
        <f ca="1">OFFSET(Auckland_Reference,51,5)</f>
        <v>57.704774139000001</v>
      </c>
      <c r="E23" s="4">
        <f ca="1">OFFSET(Auckland_Reference,52,5)</f>
        <v>57.34791817</v>
      </c>
      <c r="F23" s="4">
        <f ca="1">OFFSET(Auckland_Reference,53,5)</f>
        <v>55.954404328000003</v>
      </c>
      <c r="G23" s="4">
        <f ca="1">OFFSET(Auckland_Reference,54,5)</f>
        <v>54.367114821999998</v>
      </c>
      <c r="H23" s="4">
        <f ca="1">OFFSET(Auckland_Reference,55,5)</f>
        <v>52.396734487000003</v>
      </c>
      <c r="I23" s="1">
        <f ca="1">H23*('Updated Population'!I$15/'Updated Population'!H$15)</f>
        <v>54.1258248491107</v>
      </c>
      <c r="J23" s="1">
        <f ca="1">I23*('Updated Population'!J$15/'Updated Population'!I$15)</f>
        <v>55.746366913716848</v>
      </c>
      <c r="K23" s="1">
        <f ca="1">J23*('Updated Population'!K$15/'Updated Population'!J$15)</f>
        <v>57.304499177770779</v>
      </c>
    </row>
    <row r="24" spans="1:11" x14ac:dyDescent="0.2">
      <c r="A24" t="str">
        <f ca="1">OFFSET(Auckland_Reference,56,2)</f>
        <v>Local Ferry</v>
      </c>
      <c r="B24" s="4">
        <f ca="1">OFFSET(Auckland_Reference,56,5)</f>
        <v>4.3086283299000003</v>
      </c>
      <c r="C24" s="4">
        <f ca="1">OFFSET(Auckland_Reference,57,5)</f>
        <v>4.7459620760999996</v>
      </c>
      <c r="D24" s="4">
        <f ca="1">OFFSET(Auckland_Reference,58,5)</f>
        <v>5.0711723812000002</v>
      </c>
      <c r="E24" s="4">
        <f ca="1">OFFSET(Auckland_Reference,59,5)</f>
        <v>5.2346440496</v>
      </c>
      <c r="F24" s="4">
        <f ca="1">OFFSET(Auckland_Reference,60,5)</f>
        <v>5.3437246612999996</v>
      </c>
      <c r="G24" s="4">
        <f ca="1">OFFSET(Auckland_Reference,61,5)</f>
        <v>5.5945693960999998</v>
      </c>
      <c r="H24" s="4">
        <f ca="1">OFFSET(Auckland_Reference,62,5)</f>
        <v>5.7947294436999996</v>
      </c>
      <c r="I24" s="1">
        <f ca="1">H24*('Updated Population'!I$15/'Updated Population'!H$15)</f>
        <v>5.9859553078733985</v>
      </c>
      <c r="J24" s="1">
        <f ca="1">I24*('Updated Population'!J$15/'Updated Population'!I$15)</f>
        <v>6.1651764541617711</v>
      </c>
      <c r="K24" s="1">
        <f ca="1">J24*('Updated Population'!K$15/'Updated Population'!J$15)</f>
        <v>6.3374954926685012</v>
      </c>
    </row>
    <row r="25" spans="1:11" x14ac:dyDescent="0.2">
      <c r="A25" t="str">
        <f ca="1">OFFSET(Auckland_Reference,63,2)</f>
        <v>Other Household Travel</v>
      </c>
      <c r="B25" s="4">
        <f ca="1">OFFSET(Auckland_Reference,63,5)</f>
        <v>2.2145179384000002</v>
      </c>
      <c r="C25" s="4">
        <f ca="1">OFFSET(Auckland_Reference,64,5)</f>
        <v>2.4174351365</v>
      </c>
      <c r="D25" s="4">
        <f ca="1">OFFSET(Auckland_Reference,65,5)</f>
        <v>2.5687270042999999</v>
      </c>
      <c r="E25" s="4">
        <f ca="1">OFFSET(Auckland_Reference,66,5)</f>
        <v>2.7157086280999998</v>
      </c>
      <c r="F25" s="4">
        <f ca="1">OFFSET(Auckland_Reference,67,5)</f>
        <v>2.8512370236</v>
      </c>
      <c r="G25" s="4">
        <f ca="1">OFFSET(Auckland_Reference,68,5)</f>
        <v>3.0024289318999999</v>
      </c>
      <c r="H25" s="4">
        <f ca="1">OFFSET(Auckland_Reference,69,5)</f>
        <v>3.1470763378000002</v>
      </c>
      <c r="I25" s="1">
        <f ca="1">H25*('Updated Population'!I$15/'Updated Population'!H$15)</f>
        <v>3.2509297442726246</v>
      </c>
      <c r="J25" s="1">
        <f ca="1">I25*('Updated Population'!J$15/'Updated Population'!I$15)</f>
        <v>3.3482634738621453</v>
      </c>
      <c r="K25" s="1">
        <f ca="1">J25*('Updated Population'!K$15/'Updated Population'!J$15)</f>
        <v>3.4418487178162982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OFFSET(Waikato_Reference,0,5)</f>
        <v>68.689195601999998</v>
      </c>
      <c r="C27" s="4">
        <f ca="1">OFFSET(Waikato_Reference,1,5)</f>
        <v>72.258477494999994</v>
      </c>
      <c r="D27" s="4">
        <f ca="1">OFFSET(Waikato_Reference,2,5)</f>
        <v>74.409558212999997</v>
      </c>
      <c r="E27" s="4">
        <f ca="1">OFFSET(Waikato_Reference,3,5)</f>
        <v>76.011718606000002</v>
      </c>
      <c r="F27" s="4">
        <f ca="1">OFFSET(Waikato_Reference,4,5)</f>
        <v>76.862890426999996</v>
      </c>
      <c r="G27" s="4">
        <f ca="1">OFFSET(Waikato_Reference,5,5)</f>
        <v>76.811026482000003</v>
      </c>
      <c r="H27" s="4">
        <f ca="1">OFFSET(Waikato_Reference,6,5)</f>
        <v>76.484403732999994</v>
      </c>
      <c r="I27" s="1">
        <f ca="1">H27*('Updated Population'!I$26/'Updated Population'!H$26)</f>
        <v>77.767578038604952</v>
      </c>
      <c r="J27" s="1">
        <f ca="1">I27*('Updated Population'!J$26/'Updated Population'!I$26)</f>
        <v>78.814801589662608</v>
      </c>
      <c r="K27" s="1">
        <f ca="1">J27*('Updated Population'!K$26/'Updated Population'!J$26)</f>
        <v>79.698369053465285</v>
      </c>
    </row>
    <row r="28" spans="1:11" x14ac:dyDescent="0.2">
      <c r="A28" t="str">
        <f ca="1">OFFSET(Waikato_Reference,7,2)</f>
        <v>Cyclist</v>
      </c>
      <c r="B28" s="4">
        <f ca="1">OFFSET(Waikato_Reference,7,5)</f>
        <v>5.8956498267999997</v>
      </c>
      <c r="C28" s="4">
        <f ca="1">OFFSET(Waikato_Reference,8,5)</f>
        <v>6.1860716909000004</v>
      </c>
      <c r="D28" s="4">
        <f ca="1">OFFSET(Waikato_Reference,9,5)</f>
        <v>6.4966932080999999</v>
      </c>
      <c r="E28" s="4">
        <f ca="1">OFFSET(Waikato_Reference,10,5)</f>
        <v>6.6651491368000002</v>
      </c>
      <c r="F28" s="4">
        <f ca="1">OFFSET(Waikato_Reference,11,5)</f>
        <v>6.8642567968000003</v>
      </c>
      <c r="G28" s="4">
        <f ca="1">OFFSET(Waikato_Reference,12,5)</f>
        <v>7.1187575123000002</v>
      </c>
      <c r="H28" s="4">
        <f ca="1">OFFSET(Waikato_Reference,13,5)</f>
        <v>7.3805511666000001</v>
      </c>
      <c r="I28" s="1">
        <f ca="1">H28*('Updated Population'!I$26/'Updated Population'!H$26)</f>
        <v>7.5043742358265657</v>
      </c>
      <c r="J28" s="1">
        <f ca="1">I28*('Updated Population'!J$26/'Updated Population'!I$26)</f>
        <v>7.6054286550834789</v>
      </c>
      <c r="K28" s="1">
        <f ca="1">J28*('Updated Population'!K$26/'Updated Population'!J$26)</f>
        <v>7.6906906765866294</v>
      </c>
    </row>
    <row r="29" spans="1:11" x14ac:dyDescent="0.2">
      <c r="A29" t="str">
        <f ca="1">OFFSET(Waikato_Reference,14,2)</f>
        <v>Light Vehicle Driver</v>
      </c>
      <c r="B29" s="4">
        <f ca="1">OFFSET(Waikato_Reference,14,5)</f>
        <v>305.41478153000003</v>
      </c>
      <c r="C29" s="4">
        <f ca="1">OFFSET(Waikato_Reference,15,5)</f>
        <v>330.29876482999998</v>
      </c>
      <c r="D29" s="4">
        <f ca="1">OFFSET(Waikato_Reference,16,5)</f>
        <v>345.21511448000001</v>
      </c>
      <c r="E29" s="4">
        <f ca="1">OFFSET(Waikato_Reference,17,5)</f>
        <v>359.81501169000001</v>
      </c>
      <c r="F29" s="4">
        <f ca="1">OFFSET(Waikato_Reference,18,5)</f>
        <v>372.43632517999998</v>
      </c>
      <c r="G29" s="4">
        <f ca="1">OFFSET(Waikato_Reference,19,5)</f>
        <v>379.88178004000002</v>
      </c>
      <c r="H29" s="4">
        <f ca="1">OFFSET(Waikato_Reference,20,5)</f>
        <v>385.66445700999998</v>
      </c>
      <c r="I29" s="1">
        <f ca="1">H29*('Updated Population'!I$26/'Updated Population'!H$26)</f>
        <v>392.13472673384962</v>
      </c>
      <c r="J29" s="1">
        <f ca="1">I29*('Updated Population'!J$26/'Updated Population'!I$26)</f>
        <v>397.41523991659773</v>
      </c>
      <c r="K29" s="1">
        <f ca="1">J29*('Updated Population'!K$26/'Updated Population'!J$26)</f>
        <v>401.87053471563581</v>
      </c>
    </row>
    <row r="30" spans="1:11" x14ac:dyDescent="0.2">
      <c r="A30" t="str">
        <f ca="1">OFFSET(Waikato_Reference,21,2)</f>
        <v>Light Vehicle Passenger</v>
      </c>
      <c r="B30" s="4">
        <f ca="1">OFFSET(Waikato_Reference,21,5)</f>
        <v>139.07206360000001</v>
      </c>
      <c r="C30" s="4">
        <f ca="1">OFFSET(Waikato_Reference,22,5)</f>
        <v>142.11637804</v>
      </c>
      <c r="D30" s="4">
        <f ca="1">OFFSET(Waikato_Reference,23,5)</f>
        <v>143.79781371000001</v>
      </c>
      <c r="E30" s="4">
        <f ca="1">OFFSET(Waikato_Reference,24,5)</f>
        <v>144.99975484999999</v>
      </c>
      <c r="F30" s="4">
        <f ca="1">OFFSET(Waikato_Reference,25,5)</f>
        <v>146.48890739999999</v>
      </c>
      <c r="G30" s="4">
        <f ca="1">OFFSET(Waikato_Reference,26,5)</f>
        <v>146.38801282</v>
      </c>
      <c r="H30" s="4">
        <f ca="1">OFFSET(Waikato_Reference,27,5)</f>
        <v>145.37489722000001</v>
      </c>
      <c r="I30" s="1">
        <f ca="1">H30*('Updated Population'!I$26/'Updated Population'!H$26)</f>
        <v>147.8138432493613</v>
      </c>
      <c r="J30" s="1">
        <f ca="1">I30*('Updated Population'!J$26/'Updated Population'!I$26)</f>
        <v>149.8043146222287</v>
      </c>
      <c r="K30" s="1">
        <f ca="1">J30*('Updated Population'!K$26/'Updated Population'!J$26)</f>
        <v>151.48372274948105</v>
      </c>
    </row>
    <row r="31" spans="1:11" x14ac:dyDescent="0.2">
      <c r="A31" t="str">
        <f ca="1">OFFSET(Waikato_Reference,28,2)</f>
        <v>Taxi/Vehicle Share</v>
      </c>
      <c r="B31" s="4">
        <f ca="1">OFFSET(Waikato_Reference,28,5)</f>
        <v>0.69122996950000004</v>
      </c>
      <c r="C31" s="4">
        <f ca="1">OFFSET(Waikato_Reference,29,5)</f>
        <v>0.81565700559999998</v>
      </c>
      <c r="D31" s="4">
        <f ca="1">OFFSET(Waikato_Reference,30,5)</f>
        <v>0.89059021719999998</v>
      </c>
      <c r="E31" s="4">
        <f ca="1">OFFSET(Waikato_Reference,31,5)</f>
        <v>0.92931547489999999</v>
      </c>
      <c r="F31" s="4">
        <f ca="1">OFFSET(Waikato_Reference,32,5)</f>
        <v>0.95376628990000001</v>
      </c>
      <c r="G31" s="4">
        <f ca="1">OFFSET(Waikato_Reference,33,5)</f>
        <v>0.9510391534</v>
      </c>
      <c r="H31" s="4">
        <f ca="1">OFFSET(Waikato_Reference,34,5)</f>
        <v>0.94668030140000003</v>
      </c>
      <c r="I31" s="1">
        <f ca="1">H31*('Updated Population'!I$26/'Updated Population'!H$26)</f>
        <v>0.96256270067475203</v>
      </c>
      <c r="J31" s="1">
        <f ca="1">I31*('Updated Population'!J$26/'Updated Population'!I$26)</f>
        <v>0.97552463616174723</v>
      </c>
      <c r="K31" s="1">
        <f ca="1">J31*('Updated Population'!K$26/'Updated Population'!J$26)</f>
        <v>0.98646092999571555</v>
      </c>
    </row>
    <row r="32" spans="1:11" x14ac:dyDescent="0.2">
      <c r="A32" t="str">
        <f ca="1">OFFSET(Waikato_Reference,35,2)</f>
        <v>Motorcyclist</v>
      </c>
      <c r="B32" s="4">
        <f ca="1">OFFSET(Waikato_Reference,35,5)</f>
        <v>1.8680965575999999</v>
      </c>
      <c r="C32" s="4">
        <f ca="1">OFFSET(Waikato_Reference,36,5)</f>
        <v>1.8105065215</v>
      </c>
      <c r="D32" s="4">
        <f ca="1">OFFSET(Waikato_Reference,37,5)</f>
        <v>1.7566280296000001</v>
      </c>
      <c r="E32" s="4">
        <f ca="1">OFFSET(Waikato_Reference,38,5)</f>
        <v>1.7016727361999999</v>
      </c>
      <c r="F32" s="4">
        <f ca="1">OFFSET(Waikato_Reference,39,5)</f>
        <v>1.6399714889000001</v>
      </c>
      <c r="G32" s="4">
        <f ca="1">OFFSET(Waikato_Reference,40,5)</f>
        <v>1.5227283914</v>
      </c>
      <c r="H32" s="4">
        <f ca="1">OFFSET(Waikato_Reference,41,5)</f>
        <v>1.4065124389999999</v>
      </c>
      <c r="I32" s="1">
        <f ca="1">H32*('Updated Population'!I$26/'Updated Population'!H$26)</f>
        <v>1.4301094147774271</v>
      </c>
      <c r="J32" s="1">
        <f ca="1">I32*('Updated Population'!J$26/'Updated Population'!I$26)</f>
        <v>1.4493673664523623</v>
      </c>
      <c r="K32" s="1">
        <f ca="1">J32*('Updated Population'!K$26/'Updated Population'!J$26)</f>
        <v>1.4656157591687711</v>
      </c>
    </row>
    <row r="33" spans="1:11" x14ac:dyDescent="0.2">
      <c r="A33" t="str">
        <f ca="1">OFFSET(Waikato_Reference,42,2)</f>
        <v>Local Train</v>
      </c>
      <c r="B33" s="4">
        <f ca="1">OFFSET(Waikato_Reference,42,5)</f>
        <v>0.12019006359999999</v>
      </c>
      <c r="C33" s="4">
        <f ca="1">OFFSET(Waikato_Reference,43,5)</f>
        <v>0.12603751490000001</v>
      </c>
      <c r="D33" s="4">
        <f ca="1">OFFSET(Waikato_Reference,44,5)</f>
        <v>0.1386505321</v>
      </c>
      <c r="E33" s="4">
        <f ca="1">OFFSET(Waikato_Reference,45,5)</f>
        <v>0.1530656155</v>
      </c>
      <c r="F33" s="4">
        <f ca="1">OFFSET(Waikato_Reference,46,5)</f>
        <v>0.16319836739999999</v>
      </c>
      <c r="G33" s="4">
        <f ca="1">OFFSET(Waikato_Reference,47,5)</f>
        <v>0.16873562380000001</v>
      </c>
      <c r="H33" s="4">
        <f ca="1">OFFSET(Waikato_Reference,48,5)</f>
        <v>0.1724781611</v>
      </c>
      <c r="I33" s="1">
        <f ca="1">H33*('Updated Population'!I$26/'Updated Population'!H$26)</f>
        <v>0.17537181698014676</v>
      </c>
      <c r="J33" s="1">
        <f ca="1">I33*('Updated Population'!J$26/'Updated Population'!I$26)</f>
        <v>0.17773338592141188</v>
      </c>
      <c r="K33" s="1">
        <f ca="1">J33*('Updated Population'!K$26/'Updated Population'!J$26)</f>
        <v>0.17972589790982299</v>
      </c>
    </row>
    <row r="34" spans="1:11" x14ac:dyDescent="0.2">
      <c r="A34" t="str">
        <f ca="1">OFFSET(Waikato_Reference,49,2)</f>
        <v>Local Bus</v>
      </c>
      <c r="B34" s="4">
        <f ca="1">OFFSET(Waikato_Reference,49,5)</f>
        <v>5.7199103379</v>
      </c>
      <c r="C34" s="4">
        <f ca="1">OFFSET(Waikato_Reference,50,5)</f>
        <v>5.7257349207999999</v>
      </c>
      <c r="D34" s="4">
        <f ca="1">OFFSET(Waikato_Reference,51,5)</f>
        <v>5.6614309494999997</v>
      </c>
      <c r="E34" s="4">
        <f ca="1">OFFSET(Waikato_Reference,52,5)</f>
        <v>5.6946054087000002</v>
      </c>
      <c r="F34" s="4">
        <f ca="1">OFFSET(Waikato_Reference,53,5)</f>
        <v>5.7077027926000001</v>
      </c>
      <c r="G34" s="4">
        <f ca="1">OFFSET(Waikato_Reference,54,5)</f>
        <v>5.6724398447000004</v>
      </c>
      <c r="H34" s="4">
        <f ca="1">OFFSET(Waikato_Reference,55,5)</f>
        <v>5.5894233382999996</v>
      </c>
      <c r="I34" s="1">
        <f ca="1">H34*('Updated Population'!I$26/'Updated Population'!H$26)</f>
        <v>5.6831967621720452</v>
      </c>
      <c r="J34" s="1">
        <f ca="1">I34*('Updated Population'!J$26/'Updated Population'!I$26)</f>
        <v>5.7597270803939491</v>
      </c>
      <c r="K34" s="1">
        <f ca="1">J34*('Updated Population'!K$26/'Updated Population'!J$26)</f>
        <v>5.8242975334811113</v>
      </c>
    </row>
    <row r="35" spans="1:11" x14ac:dyDescent="0.2">
      <c r="A35" t="str">
        <f ca="1">OFFSET(Waikato_Reference,56,2)</f>
        <v>Local Ferry</v>
      </c>
      <c r="B35" s="4">
        <f ca="1">OFFSET(Waikato_Reference,56,5)</f>
        <v>0.2446181519</v>
      </c>
      <c r="C35" s="4">
        <f ca="1">OFFSET(Waikato_Reference,57,5)</f>
        <v>0.26666501790000002</v>
      </c>
      <c r="D35" s="4">
        <f ca="1">OFFSET(Waikato_Reference,58,5)</f>
        <v>0.27982721459999998</v>
      </c>
      <c r="E35" s="4">
        <f ca="1">OFFSET(Waikato_Reference,59,5)</f>
        <v>0.30104455829999999</v>
      </c>
      <c r="F35" s="4">
        <f ca="1">OFFSET(Waikato_Reference,60,5)</f>
        <v>0.3087742792</v>
      </c>
      <c r="G35" s="4">
        <f ca="1">OFFSET(Waikato_Reference,61,5)</f>
        <v>0.3009980518</v>
      </c>
      <c r="H35" s="4">
        <f ca="1">OFFSET(Waikato_Reference,62,5)</f>
        <v>0.29039867270000003</v>
      </c>
      <c r="I35" s="1">
        <f ca="1">H35*('Updated Population'!I$26/'Updated Population'!H$26)</f>
        <v>0.29527067401011353</v>
      </c>
      <c r="J35" s="1">
        <f ca="1">I35*('Updated Population'!J$26/'Updated Population'!I$26)</f>
        <v>0.29924680920113828</v>
      </c>
      <c r="K35" s="1">
        <f ca="1">J35*('Updated Population'!K$26/'Updated Population'!J$26)</f>
        <v>0.30260156920717723</v>
      </c>
    </row>
    <row r="36" spans="1:11" x14ac:dyDescent="0.2">
      <c r="A36" t="str">
        <f ca="1">OFFSET(Waikato_Reference,63,2)</f>
        <v>Other Household Travel</v>
      </c>
      <c r="B36" s="4">
        <f ca="1">OFFSET(Waikato_Reference,63,5)</f>
        <v>1.8854250596</v>
      </c>
      <c r="C36" s="4">
        <f ca="1">OFFSET(Waikato_Reference,64,5)</f>
        <v>2.0034004061999999</v>
      </c>
      <c r="D36" s="4">
        <f ca="1">OFFSET(Waikato_Reference,65,5)</f>
        <v>2.1077764355999999</v>
      </c>
      <c r="E36" s="4">
        <f ca="1">OFFSET(Waikato_Reference,66,5)</f>
        <v>2.1976608989000002</v>
      </c>
      <c r="F36" s="4">
        <f ca="1">OFFSET(Waikato_Reference,67,5)</f>
        <v>2.3207338117999998</v>
      </c>
      <c r="G36" s="4">
        <f ca="1">OFFSET(Waikato_Reference,68,5)</f>
        <v>2.3705992278000001</v>
      </c>
      <c r="H36" s="4">
        <f ca="1">OFFSET(Waikato_Reference,69,5)</f>
        <v>2.3320672464999999</v>
      </c>
      <c r="I36" s="1">
        <f ca="1">H36*('Updated Population'!I$26/'Updated Population'!H$26)</f>
        <v>2.371192200393843</v>
      </c>
      <c r="J36" s="1">
        <f ca="1">I36*('Updated Population'!J$26/'Updated Population'!I$26)</f>
        <v>2.4031228375432212</v>
      </c>
      <c r="K36" s="1">
        <f ca="1">J36*('Updated Population'!K$26/'Updated Population'!J$26)</f>
        <v>2.430063476965612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OFFSET(BOP_Reference,0,5)</f>
        <v>43.402809341999998</v>
      </c>
      <c r="C38" s="4">
        <f ca="1">OFFSET(BOP_Reference,1,5)</f>
        <v>43.663906396000002</v>
      </c>
      <c r="D38" s="4">
        <f ca="1">OFFSET(BOP_Reference,2,5)</f>
        <v>44.275137067999999</v>
      </c>
      <c r="E38" s="4">
        <f ca="1">OFFSET(BOP_Reference,3,5)</f>
        <v>45.378665779999999</v>
      </c>
      <c r="F38" s="4">
        <f ca="1">OFFSET(BOP_Reference,4,5)</f>
        <v>46.01604553</v>
      </c>
      <c r="G38" s="4">
        <f ca="1">OFFSET(BOP_Reference,5,5)</f>
        <v>46.498504173999997</v>
      </c>
      <c r="H38" s="4">
        <f ca="1">OFFSET(BOP_Reference,6,5)</f>
        <v>46.844869711000001</v>
      </c>
      <c r="I38" s="1">
        <f ca="1">H38*('Updated Population'!I$37/'Updated Population'!H$37)</f>
        <v>47.279243397318304</v>
      </c>
      <c r="J38" s="1">
        <f ca="1">I38*('Updated Population'!J$37/'Updated Population'!I$37)</f>
        <v>47.559651208681316</v>
      </c>
      <c r="K38" s="1">
        <f ca="1">J38*('Updated Population'!K$37/'Updated Population'!J$37)</f>
        <v>47.732537362912304</v>
      </c>
    </row>
    <row r="39" spans="1:11" x14ac:dyDescent="0.2">
      <c r="A39" t="str">
        <f ca="1">OFFSET(BOP_Reference,7,2)</f>
        <v>Cyclist</v>
      </c>
      <c r="B39" s="4">
        <f ca="1">OFFSET(BOP_Reference,7,5)</f>
        <v>5.1579391552000002</v>
      </c>
      <c r="C39" s="4">
        <f ca="1">OFFSET(BOP_Reference,8,5)</f>
        <v>4.9827693765000003</v>
      </c>
      <c r="D39" s="4">
        <f ca="1">OFFSET(BOP_Reference,9,5)</f>
        <v>4.8955823973000001</v>
      </c>
      <c r="E39" s="4">
        <f ca="1">OFFSET(BOP_Reference,10,5)</f>
        <v>4.9782720830000002</v>
      </c>
      <c r="F39" s="4">
        <f ca="1">OFFSET(BOP_Reference,11,5)</f>
        <v>4.9989148572</v>
      </c>
      <c r="G39" s="4">
        <f ca="1">OFFSET(BOP_Reference,12,5)</f>
        <v>4.9790502586000001</v>
      </c>
      <c r="H39" s="4">
        <f ca="1">OFFSET(BOP_Reference,13,5)</f>
        <v>4.9420739463999999</v>
      </c>
      <c r="I39" s="1">
        <f ca="1">H39*('Updated Population'!I$37/'Updated Population'!H$37)</f>
        <v>4.9878998157299623</v>
      </c>
      <c r="J39" s="1">
        <f ca="1">I39*('Updated Population'!J$37/'Updated Population'!I$37)</f>
        <v>5.0174824818245334</v>
      </c>
      <c r="K39" s="1">
        <f ca="1">J39*('Updated Population'!K$37/'Updated Population'!J$37)</f>
        <v>5.0357217503674798</v>
      </c>
    </row>
    <row r="40" spans="1:11" x14ac:dyDescent="0.2">
      <c r="A40" t="str">
        <f ca="1">OFFSET(BOP_Reference,14,2)</f>
        <v>Light Vehicle Driver</v>
      </c>
      <c r="B40" s="4">
        <f ca="1">OFFSET(BOP_Reference,14,5)</f>
        <v>178.59124365</v>
      </c>
      <c r="C40" s="4">
        <f ca="1">OFFSET(BOP_Reference,15,5)</f>
        <v>183.41807656</v>
      </c>
      <c r="D40" s="4">
        <f ca="1">OFFSET(BOP_Reference,16,5)</f>
        <v>189.97582352000001</v>
      </c>
      <c r="E40" s="4">
        <f ca="1">OFFSET(BOP_Reference,17,5)</f>
        <v>199.51884321</v>
      </c>
      <c r="F40" s="4">
        <f ca="1">OFFSET(BOP_Reference,18,5)</f>
        <v>205.87266271999999</v>
      </c>
      <c r="G40" s="4">
        <f ca="1">OFFSET(BOP_Reference,19,5)</f>
        <v>208.25289835999999</v>
      </c>
      <c r="H40" s="4">
        <f ca="1">OFFSET(BOP_Reference,20,5)</f>
        <v>209.72284010999999</v>
      </c>
      <c r="I40" s="1">
        <f ca="1">H40*('Updated Population'!I$37/'Updated Population'!H$37)</f>
        <v>211.66751588187716</v>
      </c>
      <c r="J40" s="1">
        <f ca="1">I40*('Updated Population'!J$37/'Updated Population'!I$37)</f>
        <v>212.9228918270102</v>
      </c>
      <c r="K40" s="1">
        <f ca="1">J40*('Updated Population'!K$37/'Updated Population'!J$37)</f>
        <v>213.69689708104775</v>
      </c>
    </row>
    <row r="41" spans="1:11" x14ac:dyDescent="0.2">
      <c r="A41" t="str">
        <f ca="1">OFFSET(BOP_Reference,21,2)</f>
        <v>Light Vehicle Passenger</v>
      </c>
      <c r="B41" s="4">
        <f ca="1">OFFSET(BOP_Reference,21,5)</f>
        <v>98.719582360000004</v>
      </c>
      <c r="C41" s="4">
        <f ca="1">OFFSET(BOP_Reference,22,5)</f>
        <v>97.677089113999997</v>
      </c>
      <c r="D41" s="4">
        <f ca="1">OFFSET(BOP_Reference,23,5)</f>
        <v>97.260813882999997</v>
      </c>
      <c r="E41" s="4">
        <f ca="1">OFFSET(BOP_Reference,24,5)</f>
        <v>98.100619762999997</v>
      </c>
      <c r="F41" s="4">
        <f ca="1">OFFSET(BOP_Reference,25,5)</f>
        <v>98.181350034999994</v>
      </c>
      <c r="G41" s="4">
        <f ca="1">OFFSET(BOP_Reference,26,5)</f>
        <v>97.591675924</v>
      </c>
      <c r="H41" s="4">
        <f ca="1">OFFSET(BOP_Reference,27,5)</f>
        <v>96.694828552000004</v>
      </c>
      <c r="I41" s="1">
        <f ca="1">H41*('Updated Population'!I$37/'Updated Population'!H$37)</f>
        <v>97.591440910731478</v>
      </c>
      <c r="J41" s="1">
        <f ca="1">I41*('Updated Population'!J$37/'Updated Population'!I$37)</f>
        <v>98.170244639115452</v>
      </c>
      <c r="K41" s="1">
        <f ca="1">J41*('Updated Population'!K$37/'Updated Population'!J$37)</f>
        <v>98.527107560189052</v>
      </c>
    </row>
    <row r="42" spans="1:11" x14ac:dyDescent="0.2">
      <c r="A42" t="str">
        <f ca="1">OFFSET(BOP_Reference,28,2)</f>
        <v>Taxi/Vehicle Share</v>
      </c>
      <c r="B42" s="4">
        <f ca="1">OFFSET(BOP_Reference,28,5)</f>
        <v>0.15552198610000001</v>
      </c>
      <c r="C42" s="4">
        <f ca="1">OFFSET(BOP_Reference,29,5)</f>
        <v>0.14137100180000001</v>
      </c>
      <c r="D42" s="4">
        <f ca="1">OFFSET(BOP_Reference,30,5)</f>
        <v>0.13093516099999999</v>
      </c>
      <c r="E42" s="4">
        <f ca="1">OFFSET(BOP_Reference,31,5)</f>
        <v>0.12536028390000001</v>
      </c>
      <c r="F42" s="4">
        <f ca="1">OFFSET(BOP_Reference,32,5)</f>
        <v>0.1199400987</v>
      </c>
      <c r="G42" s="4">
        <f ca="1">OFFSET(BOP_Reference,33,5)</f>
        <v>0.1161409333</v>
      </c>
      <c r="H42" s="4">
        <f ca="1">OFFSET(BOP_Reference,34,5)</f>
        <v>0.1114040967</v>
      </c>
      <c r="I42" s="1">
        <f ca="1">H42*('Updated Population'!I$37/'Updated Population'!H$37)</f>
        <v>0.11243710220205558</v>
      </c>
      <c r="J42" s="1">
        <f ca="1">I42*('Updated Population'!J$37/'Updated Population'!I$37)</f>
        <v>0.11310395385785568</v>
      </c>
      <c r="K42" s="1">
        <f ca="1">J42*('Updated Population'!K$37/'Updated Population'!J$37)</f>
        <v>0.11351510295407181</v>
      </c>
    </row>
    <row r="43" spans="1:11" x14ac:dyDescent="0.2">
      <c r="A43" t="str">
        <f ca="1">OFFSET(BOP_Reference,35,2)</f>
        <v>Motorcyclist</v>
      </c>
      <c r="B43" s="4">
        <f ca="1">OFFSET(BOP_Reference,35,5)</f>
        <v>0.90641599910000004</v>
      </c>
      <c r="C43" s="4">
        <f ca="1">OFFSET(BOP_Reference,36,5)</f>
        <v>0.95704096250000004</v>
      </c>
      <c r="D43" s="4">
        <f ca="1">OFFSET(BOP_Reference,37,5)</f>
        <v>0.98681349119999995</v>
      </c>
      <c r="E43" s="4">
        <f ca="1">OFFSET(BOP_Reference,38,5)</f>
        <v>1.0218663844</v>
      </c>
      <c r="F43" s="4">
        <f ca="1">OFFSET(BOP_Reference,39,5)</f>
        <v>1.0248171406</v>
      </c>
      <c r="G43" s="4">
        <f ca="1">OFFSET(BOP_Reference,40,5)</f>
        <v>1.0034397989999999</v>
      </c>
      <c r="H43" s="4">
        <f ca="1">OFFSET(BOP_Reference,41,5)</f>
        <v>0.97501016439999999</v>
      </c>
      <c r="I43" s="1">
        <f ca="1">H43*('Updated Population'!I$37/'Updated Population'!H$37)</f>
        <v>0.98405104255637132</v>
      </c>
      <c r="J43" s="1">
        <f ca="1">I43*('Updated Population'!J$37/'Updated Population'!I$37)</f>
        <v>0.98988733728710254</v>
      </c>
      <c r="K43" s="1">
        <f ca="1">J43*('Updated Population'!K$37/'Updated Population'!J$37)</f>
        <v>0.99348571975030864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">
      <c r="A45" t="str">
        <f ca="1">OFFSET(BOP_Reference,42,2)</f>
        <v>Local Bus</v>
      </c>
      <c r="B45" s="4">
        <f ca="1">OFFSET(BOP_Reference,42,5)</f>
        <v>7.4672006229000001</v>
      </c>
      <c r="C45" s="4">
        <f ca="1">OFFSET(BOP_Reference,43,5)</f>
        <v>7.2202824368999998</v>
      </c>
      <c r="D45" s="4">
        <f ca="1">OFFSET(BOP_Reference,44,5)</f>
        <v>7.0483778690000003</v>
      </c>
      <c r="E45" s="4">
        <f ca="1">OFFSET(BOP_Reference,45,5)</f>
        <v>7.0339497007</v>
      </c>
      <c r="F45" s="4">
        <f ca="1">OFFSET(BOP_Reference,46,5)</f>
        <v>6.9950660974999996</v>
      </c>
      <c r="G45" s="4">
        <f ca="1">OFFSET(BOP_Reference,47,5)</f>
        <v>6.9814892734000003</v>
      </c>
      <c r="H45" s="4">
        <f ca="1">OFFSET(BOP_Reference,48,5)</f>
        <v>6.9398570434</v>
      </c>
      <c r="I45" s="1">
        <f ca="1">H45*('Updated Population'!I$37/'Updated Population'!H$37)</f>
        <v>7.0042075540335231</v>
      </c>
      <c r="J45" s="1">
        <f ca="1">I45*('Updated Population'!J$37/'Updated Population'!I$37)</f>
        <v>7.0457487118319628</v>
      </c>
      <c r="K45" s="1">
        <f ca="1">J45*('Updated Population'!K$37/'Updated Population'!J$37)</f>
        <v>7.0713610190610838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OFFSET(BOP_Reference,49,5)</f>
        <v>0.59853678389999998</v>
      </c>
      <c r="C47" s="4">
        <f ca="1">OFFSET(BOP_Reference,50,5)</f>
        <v>0.58393492899999999</v>
      </c>
      <c r="D47" s="4">
        <f ca="1">OFFSET(BOP_Reference,51,5)</f>
        <v>0.54891596399999998</v>
      </c>
      <c r="E47" s="4">
        <f ca="1">OFFSET(BOP_Reference,52,5)</f>
        <v>0.48920022289999998</v>
      </c>
      <c r="F47" s="4">
        <f ca="1">OFFSET(BOP_Reference,53,5)</f>
        <v>0.43803934030000002</v>
      </c>
      <c r="G47" s="4">
        <f ca="1">OFFSET(BOP_Reference,54,5)</f>
        <v>0.39757612910000001</v>
      </c>
      <c r="H47" s="4">
        <f ca="1">OFFSET(BOP_Reference,55,5)</f>
        <v>0.36027070999999999</v>
      </c>
      <c r="I47" s="1">
        <f ca="1">H47*('Updated Population'!I$37/'Updated Population'!H$37)</f>
        <v>0.36361135578129172</v>
      </c>
      <c r="J47" s="1">
        <f ca="1">I47*('Updated Population'!J$37/'Updated Population'!I$37)</f>
        <v>0.3657678933469321</v>
      </c>
      <c r="K47" s="1">
        <f ca="1">J47*('Updated Population'!K$37/'Updated Population'!J$37)</f>
        <v>0.36709751210600278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OFFSET(Gisborne_Reference,0,5)</f>
        <v>12.564280467</v>
      </c>
      <c r="C49" s="4">
        <f ca="1">OFFSET(Gisborne_Reference,1,5)</f>
        <v>12.023739207</v>
      </c>
      <c r="D49" s="4">
        <f ca="1">OFFSET(Gisborne_Reference,2,5)</f>
        <v>11.532272677</v>
      </c>
      <c r="E49" s="4">
        <f ca="1">OFFSET(Gisborne_Reference,3,5)</f>
        <v>11.206286798000001</v>
      </c>
      <c r="F49" s="4">
        <f ca="1">OFFSET(Gisborne_Reference,4,5)</f>
        <v>10.811240716</v>
      </c>
      <c r="G49" s="4">
        <f ca="1">OFFSET(Gisborne_Reference,5,5)</f>
        <v>10.395809867000001</v>
      </c>
      <c r="H49" s="4">
        <f ca="1">OFFSET(Gisborne_Reference,6,5)</f>
        <v>9.9891379479999998</v>
      </c>
      <c r="I49" s="1">
        <f ca="1">H49*('Updated Population'!I$48/'Updated Population'!H$48)</f>
        <v>9.8953849240422116</v>
      </c>
      <c r="J49" s="1">
        <f ca="1">I49*('Updated Population'!J$48/'Updated Population'!I$48)</f>
        <v>9.7713087346720418</v>
      </c>
      <c r="K49" s="1">
        <f ca="1">J49*('Updated Population'!K$48/'Updated Population'!J$48)</f>
        <v>9.6280524417980793</v>
      </c>
    </row>
    <row r="50" spans="1:11" x14ac:dyDescent="0.2">
      <c r="A50" t="str">
        <f ca="1">OFFSET(Gisborne_Reference,7,2)</f>
        <v>Cyclist</v>
      </c>
      <c r="B50" s="4">
        <f ca="1">OFFSET(Gisborne_Reference,7,5)</f>
        <v>1.1119455742</v>
      </c>
      <c r="C50" s="4">
        <f ca="1">OFFSET(Gisborne_Reference,8,5)</f>
        <v>1.0552291790999999</v>
      </c>
      <c r="D50" s="4">
        <f ca="1">OFFSET(Gisborne_Reference,9,5)</f>
        <v>1.0207482426000001</v>
      </c>
      <c r="E50" s="4">
        <f ca="1">OFFSET(Gisborne_Reference,10,5)</f>
        <v>0.95880657130000002</v>
      </c>
      <c r="F50" s="4">
        <f ca="1">OFFSET(Gisborne_Reference,11,5)</f>
        <v>0.88616061820000003</v>
      </c>
      <c r="G50" s="4">
        <f ca="1">OFFSET(Gisborne_Reference,12,5)</f>
        <v>0.81700756900000004</v>
      </c>
      <c r="H50" s="4">
        <f ca="1">OFFSET(Gisborne_Reference,13,5)</f>
        <v>0.75474610320000002</v>
      </c>
      <c r="I50" s="1">
        <f ca="1">H50*('Updated Population'!I$48/'Updated Population'!H$48)</f>
        <v>0.7476624359342452</v>
      </c>
      <c r="J50" s="1">
        <f ca="1">I50*('Updated Population'!J$48/'Updated Population'!I$48)</f>
        <v>0.73828765095134385</v>
      </c>
      <c r="K50" s="1">
        <f ca="1">J50*('Updated Population'!K$48/'Updated Population'!J$48)</f>
        <v>0.72746368101836789</v>
      </c>
    </row>
    <row r="51" spans="1:11" x14ac:dyDescent="0.2">
      <c r="A51" t="str">
        <f ca="1">OFFSET(Gisborne_Reference,14,2)</f>
        <v>Light Vehicle Driver</v>
      </c>
      <c r="B51" s="4">
        <f ca="1">OFFSET(Gisborne_Reference,14,5)</f>
        <v>28.776347379000001</v>
      </c>
      <c r="C51" s="4">
        <f ca="1">OFFSET(Gisborne_Reference,15,5)</f>
        <v>29.134700394999999</v>
      </c>
      <c r="D51" s="4">
        <f ca="1">OFFSET(Gisborne_Reference,16,5)</f>
        <v>28.888584314999999</v>
      </c>
      <c r="E51" s="4">
        <f ca="1">OFFSET(Gisborne_Reference,17,5)</f>
        <v>28.587075886000001</v>
      </c>
      <c r="F51" s="4">
        <f ca="1">OFFSET(Gisborne_Reference,18,5)</f>
        <v>28.121178266000001</v>
      </c>
      <c r="G51" s="4">
        <f ca="1">OFFSET(Gisborne_Reference,19,5)</f>
        <v>27.646499775999999</v>
      </c>
      <c r="H51" s="4">
        <f ca="1">OFFSET(Gisborne_Reference,20,5)</f>
        <v>27.109909185999999</v>
      </c>
      <c r="I51" s="1">
        <f ca="1">H51*('Updated Population'!I$48/'Updated Population'!H$48)</f>
        <v>26.855469215440039</v>
      </c>
      <c r="J51" s="1">
        <f ca="1">I51*('Updated Population'!J$48/'Updated Population'!I$48)</f>
        <v>26.518734029332844</v>
      </c>
      <c r="K51" s="1">
        <f ca="1">J51*('Updated Population'!K$48/'Updated Population'!J$48)</f>
        <v>26.129945215888366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OFFSET(Gisborne_Reference,21,5)</f>
        <v>18.791024854</v>
      </c>
      <c r="C52" s="4">
        <f ca="1">OFFSET(Gisborne_Reference,22,5)</f>
        <v>17.509201803</v>
      </c>
      <c r="D52" s="4">
        <f ca="1">OFFSET(Gisborne_Reference,23,5)</f>
        <v>16.401976054999999</v>
      </c>
      <c r="E52" s="4">
        <f ca="1">OFFSET(Gisborne_Reference,24,5)</f>
        <v>15.419976277</v>
      </c>
      <c r="F52" s="4">
        <f ca="1">OFFSET(Gisborne_Reference,25,5)</f>
        <v>14.522580057000001</v>
      </c>
      <c r="G52" s="4">
        <f ca="1">OFFSET(Gisborne_Reference,26,5)</f>
        <v>13.817559822</v>
      </c>
      <c r="H52" s="4">
        <f ca="1">OFFSET(Gisborne_Reference,27,5)</f>
        <v>13.118438191999999</v>
      </c>
      <c r="I52" s="1">
        <f ca="1">H52*('Updated Population'!I$48/'Updated Population'!H$48)</f>
        <v>12.995315130079568</v>
      </c>
      <c r="J52" s="1">
        <f ca="1">I52*('Updated Population'!J$48/'Updated Population'!I$48)</f>
        <v>12.832369555614122</v>
      </c>
      <c r="K52" s="1">
        <f ca="1">J52*('Updated Population'!K$48/'Updated Population'!J$48)</f>
        <v>12.644235320861823</v>
      </c>
    </row>
    <row r="53" spans="1:11" x14ac:dyDescent="0.2">
      <c r="A53" t="str">
        <f ca="1">OFFSET(Gisborne_Reference,28,2)</f>
        <v>Taxi/Vehicle Share</v>
      </c>
      <c r="B53" s="4">
        <f ca="1">OFFSET(Gisborne_Reference,28,5)</f>
        <v>2.27015811E-2</v>
      </c>
      <c r="C53" s="4">
        <f ca="1">OFFSET(Gisborne_Reference,29,5)</f>
        <v>2.44828154E-2</v>
      </c>
      <c r="D53" s="4">
        <f ca="1">OFFSET(Gisborne_Reference,30,5)</f>
        <v>2.8913963300000001E-2</v>
      </c>
      <c r="E53" s="4">
        <f ca="1">OFFSET(Gisborne_Reference,31,5)</f>
        <v>3.6333705600000002E-2</v>
      </c>
      <c r="F53" s="4">
        <f ca="1">OFFSET(Gisborne_Reference,32,5)</f>
        <v>4.3758269699999998E-2</v>
      </c>
      <c r="G53" s="4">
        <f ca="1">OFFSET(Gisborne_Reference,33,5)</f>
        <v>4.9484436600000001E-2</v>
      </c>
      <c r="H53" s="4">
        <f ca="1">OFFSET(Gisborne_Reference,34,5)</f>
        <v>5.6081116600000001E-2</v>
      </c>
      <c r="I53" s="1">
        <f ca="1">H53*('Updated Population'!I$48/'Updated Population'!H$48)</f>
        <v>5.5554767449998328E-2</v>
      </c>
      <c r="J53" s="1">
        <f ca="1">I53*('Updated Population'!J$48/'Updated Population'!I$48)</f>
        <v>5.4858177686239448E-2</v>
      </c>
      <c r="K53" s="1">
        <f ca="1">J53*('Updated Population'!K$48/'Updated Population'!J$48)</f>
        <v>5.4053906796582049E-2</v>
      </c>
    </row>
    <row r="54" spans="1:11" x14ac:dyDescent="0.2">
      <c r="A54" t="str">
        <f ca="1">OFFSET(Gisborne_Reference,35,2)</f>
        <v>Motorcyclist</v>
      </c>
      <c r="B54" s="4">
        <f ca="1">OFFSET(Gisborne_Reference,35,5)</f>
        <v>0.20072163900000001</v>
      </c>
      <c r="C54" s="4">
        <f ca="1">OFFSET(Gisborne_Reference,36,5)</f>
        <v>0.20011529810000001</v>
      </c>
      <c r="D54" s="4">
        <f ca="1">OFFSET(Gisborne_Reference,37,5)</f>
        <v>0.18921009920000001</v>
      </c>
      <c r="E54" s="4">
        <f ca="1">OFFSET(Gisborne_Reference,38,5)</f>
        <v>0.1751730246</v>
      </c>
      <c r="F54" s="4">
        <f ca="1">OFFSET(Gisborne_Reference,39,5)</f>
        <v>0.16242442469999999</v>
      </c>
      <c r="G54" s="4">
        <f ca="1">OFFSET(Gisborne_Reference,40,5)</f>
        <v>0.15276950610000001</v>
      </c>
      <c r="H54" s="4">
        <f ca="1">OFFSET(Gisborne_Reference,41,5)</f>
        <v>0.14246196180000001</v>
      </c>
      <c r="I54" s="1">
        <f ca="1">H54*('Updated Population'!I$48/'Updated Population'!H$48)</f>
        <v>0.1411248854889873</v>
      </c>
      <c r="J54" s="1">
        <f ca="1">I54*('Updated Population'!J$48/'Updated Population'!I$48)</f>
        <v>0.13935534967495025</v>
      </c>
      <c r="K54" s="1">
        <f ca="1">J54*('Updated Population'!K$48/'Updated Population'!J$48)</f>
        <v>0.13731227322238146</v>
      </c>
    </row>
    <row r="55" spans="1:11" x14ac:dyDescent="0.2">
      <c r="A55" t="str">
        <f ca="1">OFFSET(Gisborne_Reference,42,2)</f>
        <v>Local Train</v>
      </c>
      <c r="B55" s="4">
        <f ca="1">OFFSET(Gisborne_Reference,42,5)</f>
        <v>2.2764127700000001E-2</v>
      </c>
      <c r="C55" s="4">
        <f ca="1">OFFSET(Gisborne_Reference,43,5)</f>
        <v>3.3968115899999998E-2</v>
      </c>
      <c r="D55" s="4">
        <f ca="1">OFFSET(Gisborne_Reference,44,5)</f>
        <v>5.0797137899999997E-2</v>
      </c>
      <c r="E55" s="4">
        <f ca="1">OFFSET(Gisborne_Reference,45,5)</f>
        <v>7.5048004099999996E-2</v>
      </c>
      <c r="F55" s="4">
        <f ca="1">OFFSET(Gisborne_Reference,46,5)</f>
        <v>0.1014276828</v>
      </c>
      <c r="G55" s="4">
        <f ca="1">OFFSET(Gisborne_Reference,47,5)</f>
        <v>0.1195365273</v>
      </c>
      <c r="H55" s="4">
        <f ca="1">OFFSET(Gisborne_Reference,48,5)</f>
        <v>0.1401514828</v>
      </c>
      <c r="I55" s="1">
        <f ca="1">H55*('Updated Population'!I$48/'Updated Population'!H$48)</f>
        <v>0.13883609148264428</v>
      </c>
      <c r="J55" s="1">
        <f ca="1">I55*('Updated Population'!J$48/'Updated Population'!I$48)</f>
        <v>0.13709525438429543</v>
      </c>
      <c r="K55" s="1">
        <f ca="1">J55*('Updated Population'!K$48/'Updated Population'!J$48)</f>
        <v>0.13508531298882828</v>
      </c>
    </row>
    <row r="56" spans="1:11" x14ac:dyDescent="0.2">
      <c r="A56" t="str">
        <f ca="1">OFFSET(Gisborne_Reference,49,2)</f>
        <v>Local Bus</v>
      </c>
      <c r="B56" s="4">
        <f ca="1">OFFSET(Gisborne_Reference,49,5)</f>
        <v>0.39415976190000002</v>
      </c>
      <c r="C56" s="4">
        <f ca="1">OFFSET(Gisborne_Reference,50,5)</f>
        <v>0.3535702355</v>
      </c>
      <c r="D56" s="4">
        <f ca="1">OFFSET(Gisborne_Reference,51,5)</f>
        <v>0.32973965570000002</v>
      </c>
      <c r="E56" s="4">
        <f ca="1">OFFSET(Gisborne_Reference,52,5)</f>
        <v>0.32487317999999998</v>
      </c>
      <c r="F56" s="4">
        <f ca="1">OFFSET(Gisborne_Reference,53,5)</f>
        <v>0.32425418550000001</v>
      </c>
      <c r="G56" s="4">
        <f ca="1">OFFSET(Gisborne_Reference,54,5)</f>
        <v>0.32155654039999998</v>
      </c>
      <c r="H56" s="4">
        <f ca="1">OFFSET(Gisborne_Reference,55,5)</f>
        <v>0.32268776399999999</v>
      </c>
      <c r="I56" s="1">
        <f ca="1">H56*('Updated Population'!I$48/'Updated Population'!H$48)</f>
        <v>0.31965917896827217</v>
      </c>
      <c r="J56" s="1">
        <f ca="1">I56*('Updated Population'!J$48/'Updated Population'!I$48)</f>
        <v>0.31565103849389653</v>
      </c>
      <c r="K56" s="1">
        <f ca="1">J56*('Updated Population'!K$48/'Updated Population'!J$48)</f>
        <v>0.31102330654474636</v>
      </c>
    </row>
    <row r="57" spans="1:11" x14ac:dyDescent="0.2">
      <c r="A57" t="str">
        <f ca="1">OFFSET(Gisborne_Reference,56,2)</f>
        <v>Local Ferry</v>
      </c>
      <c r="B57" s="4">
        <f ca="1">OFFSET(Gisborne_Reference,56,5)</f>
        <v>1.5651153399999999E-2</v>
      </c>
      <c r="C57" s="4">
        <f ca="1">OFFSET(Gisborne_Reference,57,5)</f>
        <v>1.4907050599999999E-2</v>
      </c>
      <c r="D57" s="4">
        <f ca="1">OFFSET(Gisborne_Reference,58,5)</f>
        <v>1.39811703E-2</v>
      </c>
      <c r="E57" s="4">
        <f ca="1">OFFSET(Gisborne_Reference,59,5)</f>
        <v>1.3672536000000001E-2</v>
      </c>
      <c r="F57" s="4">
        <f ca="1">OFFSET(Gisborne_Reference,60,5)</f>
        <v>1.5082007499999999E-2</v>
      </c>
      <c r="G57" s="4">
        <f ca="1">OFFSET(Gisborne_Reference,61,5)</f>
        <v>1.7834836499999999E-2</v>
      </c>
      <c r="H57" s="4">
        <f ca="1">OFFSET(Gisborne_Reference,62,5)</f>
        <v>2.0730339E-2</v>
      </c>
      <c r="I57" s="1">
        <f ca="1">H57*('Updated Population'!I$48/'Updated Population'!H$48)</f>
        <v>2.0535774466099537E-2</v>
      </c>
      <c r="J57" s="1">
        <f ca="1">I57*('Updated Population'!J$48/'Updated Population'!I$48)</f>
        <v>2.027828062820667E-2</v>
      </c>
      <c r="K57" s="1">
        <f ca="1">J57*('Updated Population'!K$48/'Updated Population'!J$48)</f>
        <v>1.998098254997209E-2</v>
      </c>
    </row>
    <row r="58" spans="1:11" x14ac:dyDescent="0.2">
      <c r="A58" t="str">
        <f ca="1">OFFSET(Gisborne_Reference,63,2)</f>
        <v>Other Household Travel</v>
      </c>
      <c r="B58" s="4">
        <f ca="1">OFFSET(Gisborne_Reference,63,5)</f>
        <v>3.13358953E-2</v>
      </c>
      <c r="C58" s="4">
        <f ca="1">OFFSET(Gisborne_Reference,64,5)</f>
        <v>2.6354931099999999E-2</v>
      </c>
      <c r="D58" s="4">
        <f ca="1">OFFSET(Gisborne_Reference,65,5)</f>
        <v>1.9835706299999999E-2</v>
      </c>
      <c r="E58" s="4">
        <f ca="1">OFFSET(Gisborne_Reference,66,5)</f>
        <v>1.79814225E-2</v>
      </c>
      <c r="F58" s="4">
        <f ca="1">OFFSET(Gisborne_Reference,67,5)</f>
        <v>1.53208119E-2</v>
      </c>
      <c r="G58" s="4">
        <f ca="1">OFFSET(Gisborne_Reference,68,5)</f>
        <v>1.16094002E-2</v>
      </c>
      <c r="H58" s="4">
        <f ca="1">OFFSET(Gisborne_Reference,69,5)</f>
        <v>8.4668802000000005E-3</v>
      </c>
      <c r="I58" s="1">
        <f ca="1">H58*('Updated Population'!I$48/'Updated Population'!H$48)</f>
        <v>8.387414321525748E-3</v>
      </c>
      <c r="J58" s="1">
        <f ca="1">I58*('Updated Population'!J$48/'Updated Population'!I$48)</f>
        <v>8.2822462643281722E-3</v>
      </c>
      <c r="K58" s="1">
        <f ca="1">J58*('Updated Population'!K$48/'Updated Population'!J$48)</f>
        <v>8.1608209845919159E-3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OFFSET(Hawkes_Bay_Reference,0,5)</f>
        <v>26.538300281000001</v>
      </c>
      <c r="C60" s="4">
        <f ca="1">OFFSET(Hawkes_Bay_Reference,1,5)</f>
        <v>27.944817379</v>
      </c>
      <c r="D60" s="4">
        <f ca="1">OFFSET(Hawkes_Bay_Reference,2,5)</f>
        <v>29.14750742</v>
      </c>
      <c r="E60" s="4">
        <f ca="1">OFFSET(Hawkes_Bay_Reference,3,5)</f>
        <v>29.641081930999999</v>
      </c>
      <c r="F60" s="4">
        <f ca="1">OFFSET(Hawkes_Bay_Reference,4,5)</f>
        <v>29.595070895999999</v>
      </c>
      <c r="G60" s="4">
        <f ca="1">OFFSET(Hawkes_Bay_Reference,5,5)</f>
        <v>29.539599793000001</v>
      </c>
      <c r="H60" s="4">
        <f ca="1">OFFSET(Hawkes_Bay_Reference,6,5)</f>
        <v>29.331338688999999</v>
      </c>
      <c r="I60" s="1">
        <f ca="1">H60*('Updated Population'!I$59/'Updated Population'!H$59)</f>
        <v>29.697084570767423</v>
      </c>
      <c r="J60" s="1">
        <f ca="1">I60*('Updated Population'!J$59/'Updated Population'!I$59)</f>
        <v>29.990212834776777</v>
      </c>
      <c r="K60" s="1">
        <f ca="1">J60*('Updated Population'!K$59/'Updated Population'!J$59)</f>
        <v>30.23993938987714</v>
      </c>
    </row>
    <row r="61" spans="1:11" x14ac:dyDescent="0.2">
      <c r="A61" t="str">
        <f ca="1">OFFSET(Hawkes_Bay_Reference,7,2)</f>
        <v>Cyclist</v>
      </c>
      <c r="B61" s="4">
        <f ca="1">OFFSET(Hawkes_Bay_Reference,7,5)</f>
        <v>3.1819840940000002</v>
      </c>
      <c r="C61" s="4">
        <f ca="1">OFFSET(Hawkes_Bay_Reference,8,5)</f>
        <v>3.3096529013999998</v>
      </c>
      <c r="D61" s="4">
        <f ca="1">OFFSET(Hawkes_Bay_Reference,9,5)</f>
        <v>3.4552543172000001</v>
      </c>
      <c r="E61" s="4">
        <f ca="1">OFFSET(Hawkes_Bay_Reference,10,5)</f>
        <v>3.5925666586</v>
      </c>
      <c r="F61" s="4">
        <f ca="1">OFFSET(Hawkes_Bay_Reference,11,5)</f>
        <v>3.6286940792000002</v>
      </c>
      <c r="G61" s="4">
        <f ca="1">OFFSET(Hawkes_Bay_Reference,12,5)</f>
        <v>3.6653353907000001</v>
      </c>
      <c r="H61" s="4">
        <f ca="1">OFFSET(Hawkes_Bay_Reference,13,5)</f>
        <v>3.6790783066000001</v>
      </c>
      <c r="I61" s="1">
        <f ca="1">H61*('Updated Population'!I$59/'Updated Population'!H$59)</f>
        <v>3.7249544172544193</v>
      </c>
      <c r="J61" s="1">
        <f ca="1">I61*('Updated Population'!J$59/'Updated Population'!I$59)</f>
        <v>3.7617219800514281</v>
      </c>
      <c r="K61" s="1">
        <f ca="1">J61*('Updated Population'!K$59/'Updated Population'!J$59)</f>
        <v>3.793045594741959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OFFSET(Hawkes_Bay_Reference,14,5)</f>
        <v>111.16933473</v>
      </c>
      <c r="C62" s="4">
        <f ca="1">OFFSET(Hawkes_Bay_Reference,15,5)</f>
        <v>119.46686907</v>
      </c>
      <c r="D62" s="4">
        <f ca="1">OFFSET(Hawkes_Bay_Reference,16,5)</f>
        <v>125.71695925</v>
      </c>
      <c r="E62" s="4">
        <f ca="1">OFFSET(Hawkes_Bay_Reference,17,5)</f>
        <v>132.58605294</v>
      </c>
      <c r="F62" s="4">
        <f ca="1">OFFSET(Hawkes_Bay_Reference,18,5)</f>
        <v>138.59324656000001</v>
      </c>
      <c r="G62" s="4">
        <f ca="1">OFFSET(Hawkes_Bay_Reference,19,5)</f>
        <v>142.74464311</v>
      </c>
      <c r="H62" s="4">
        <f ca="1">OFFSET(Hawkes_Bay_Reference,20,5)</f>
        <v>146.36628476999999</v>
      </c>
      <c r="I62" s="1">
        <f ca="1">H62*('Updated Population'!I$59/'Updated Population'!H$59)</f>
        <v>148.19139294020096</v>
      </c>
      <c r="J62" s="1">
        <f ca="1">I62*('Updated Population'!J$59/'Updated Population'!I$59)</f>
        <v>149.65413200639364</v>
      </c>
      <c r="K62" s="1">
        <f ca="1">J62*('Updated Population'!K$59/'Updated Population'!J$59)</f>
        <v>150.90029224701567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OFFSET(Hawkes_Bay_Reference,21,5)</f>
        <v>58.497679761999997</v>
      </c>
      <c r="C63" s="4">
        <f ca="1">OFFSET(Hawkes_Bay_Reference,22,5)</f>
        <v>60.405657173999998</v>
      </c>
      <c r="D63" s="4">
        <f ca="1">OFFSET(Hawkes_Bay_Reference,23,5)</f>
        <v>61.772805951000002</v>
      </c>
      <c r="E63" s="4">
        <f ca="1">OFFSET(Hawkes_Bay_Reference,24,5)</f>
        <v>63.543880749000003</v>
      </c>
      <c r="F63" s="4">
        <f ca="1">OFFSET(Hawkes_Bay_Reference,25,5)</f>
        <v>64.659354543999996</v>
      </c>
      <c r="G63" s="4">
        <f ca="1">OFFSET(Hawkes_Bay_Reference,26,5)</f>
        <v>65.699381204000005</v>
      </c>
      <c r="H63" s="4">
        <f ca="1">OFFSET(Hawkes_Bay_Reference,27,5)</f>
        <v>66.462228437999997</v>
      </c>
      <c r="I63" s="1">
        <f ca="1">H63*('Updated Population'!I$59/'Updated Population'!H$59)</f>
        <v>67.290976372147327</v>
      </c>
      <c r="J63" s="1">
        <f ca="1">I63*('Updated Population'!J$59/'Updated Population'!I$59)</f>
        <v>67.95517918439505</v>
      </c>
      <c r="K63" s="1">
        <f ca="1">J63*('Updated Population'!K$59/'Updated Population'!J$59)</f>
        <v>68.521037549336967</v>
      </c>
    </row>
    <row r="64" spans="1:11" x14ac:dyDescent="0.2">
      <c r="A64" t="str">
        <f ca="1">OFFSET(Hawkes_Bay_Reference,28,2)</f>
        <v>Taxi/Vehicle Share</v>
      </c>
      <c r="B64" s="4">
        <f ca="1">OFFSET(Hawkes_Bay_Reference,28,5)</f>
        <v>0.32519619989999998</v>
      </c>
      <c r="C64" s="4">
        <f ca="1">OFFSET(Hawkes_Bay_Reference,29,5)</f>
        <v>0.33399104629999998</v>
      </c>
      <c r="D64" s="4">
        <f ca="1">OFFSET(Hawkes_Bay_Reference,30,5)</f>
        <v>0.34837124250000001</v>
      </c>
      <c r="E64" s="4">
        <f ca="1">OFFSET(Hawkes_Bay_Reference,31,5)</f>
        <v>0.36531258039999998</v>
      </c>
      <c r="F64" s="4">
        <f ca="1">OFFSET(Hawkes_Bay_Reference,32,5)</f>
        <v>0.38370008</v>
      </c>
      <c r="G64" s="4">
        <f ca="1">OFFSET(Hawkes_Bay_Reference,33,5)</f>
        <v>0.37932368379999998</v>
      </c>
      <c r="H64" s="4">
        <f ca="1">OFFSET(Hawkes_Bay_Reference,34,5)</f>
        <v>0.36581711420000002</v>
      </c>
      <c r="I64" s="1">
        <f ca="1">H64*('Updated Population'!I$59/'Updated Population'!H$59)</f>
        <v>0.37037865516535906</v>
      </c>
      <c r="J64" s="1">
        <f ca="1">I64*('Updated Population'!J$59/'Updated Population'!I$59)</f>
        <v>0.37403451747588401</v>
      </c>
      <c r="K64" s="1">
        <f ca="1">J64*('Updated Population'!K$59/'Updated Population'!J$59)</f>
        <v>0.37714907861796315</v>
      </c>
    </row>
    <row r="65" spans="1:11" x14ac:dyDescent="0.2">
      <c r="A65" t="str">
        <f ca="1">OFFSET(Hawkes_Bay_Reference,35,2)</f>
        <v>Motorcyclist</v>
      </c>
      <c r="B65" s="4">
        <f ca="1">OFFSET(Hawkes_Bay_Reference,35,5)</f>
        <v>0.65061969099999994</v>
      </c>
      <c r="C65" s="4">
        <f ca="1">OFFSET(Hawkes_Bay_Reference,36,5)</f>
        <v>0.62945791120000005</v>
      </c>
      <c r="D65" s="4">
        <f ca="1">OFFSET(Hawkes_Bay_Reference,37,5)</f>
        <v>0.60035954199999997</v>
      </c>
      <c r="E65" s="4">
        <f ca="1">OFFSET(Hawkes_Bay_Reference,38,5)</f>
        <v>0.58796567929999999</v>
      </c>
      <c r="F65" s="4">
        <f ca="1">OFFSET(Hawkes_Bay_Reference,39,5)</f>
        <v>0.56101445630000002</v>
      </c>
      <c r="G65" s="4">
        <f ca="1">OFFSET(Hawkes_Bay_Reference,40,5)</f>
        <v>0.52737262060000001</v>
      </c>
      <c r="H65" s="4">
        <f ca="1">OFFSET(Hawkes_Bay_Reference,41,5)</f>
        <v>0.49089190160000001</v>
      </c>
      <c r="I65" s="1">
        <f ca="1">H65*('Updated Population'!I$59/'Updated Population'!H$59)</f>
        <v>0.49701305731358197</v>
      </c>
      <c r="J65" s="1">
        <f ca="1">I65*('Updated Population'!J$59/'Updated Population'!I$59)</f>
        <v>0.50191887809653257</v>
      </c>
      <c r="K65" s="1">
        <f ca="1">J65*('Updated Population'!K$59/'Updated Population'!J$59)</f>
        <v>0.5060983240063508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OFFSET(Hawkes_Bay_Reference,42,5)</f>
        <v>4.5218645043999999</v>
      </c>
      <c r="C67" s="4">
        <f ca="1">OFFSET(Hawkes_Bay_Reference,43,5)</f>
        <v>4.5846954776000004</v>
      </c>
      <c r="D67" s="4">
        <f ca="1">OFFSET(Hawkes_Bay_Reference,44,5)</f>
        <v>4.6584866930000004</v>
      </c>
      <c r="E67" s="4">
        <f ca="1">OFFSET(Hawkes_Bay_Reference,45,5)</f>
        <v>4.8022400016000004</v>
      </c>
      <c r="F67" s="4">
        <f ca="1">OFFSET(Hawkes_Bay_Reference,46,5)</f>
        <v>4.7936539044000002</v>
      </c>
      <c r="G67" s="4">
        <f ca="1">OFFSET(Hawkes_Bay_Reference,47,5)</f>
        <v>4.8586774482999999</v>
      </c>
      <c r="H67" s="4">
        <f ca="1">OFFSET(Hawkes_Bay_Reference,48,5)</f>
        <v>4.8936819215999998</v>
      </c>
      <c r="I67" s="1">
        <f ca="1">H67*('Updated Population'!I$59/'Updated Population'!H$59)</f>
        <v>4.9547034804344809</v>
      </c>
      <c r="J67" s="1">
        <f ca="1">I67*('Updated Population'!J$59/'Updated Population'!I$59)</f>
        <v>5.0036094134879399</v>
      </c>
      <c r="K67" s="1">
        <f ca="1">J67*('Updated Population'!K$59/'Updated Population'!J$59)</f>
        <v>5.0452741442046598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OFFSET(Hawkes_Bay_Reference,49,5)</f>
        <v>0.49138149730000003</v>
      </c>
      <c r="C69" s="4">
        <f ca="1">OFFSET(Hawkes_Bay_Reference,50,5)</f>
        <v>0.53393566260000003</v>
      </c>
      <c r="D69" s="4">
        <f ca="1">OFFSET(Hawkes_Bay_Reference,51,5)</f>
        <v>0.62216360439999996</v>
      </c>
      <c r="E69" s="4">
        <f ca="1">OFFSET(Hawkes_Bay_Reference,52,5)</f>
        <v>0.73655267290000004</v>
      </c>
      <c r="F69" s="4">
        <f ca="1">OFFSET(Hawkes_Bay_Reference,53,5)</f>
        <v>0.82932938270000001</v>
      </c>
      <c r="G69" s="4">
        <f ca="1">OFFSET(Hawkes_Bay_Reference,54,5)</f>
        <v>0.93760718279999999</v>
      </c>
      <c r="H69" s="4">
        <f ca="1">OFFSET(Hawkes_Bay_Reference,55,5)</f>
        <v>1.0489365655</v>
      </c>
      <c r="I69" s="1">
        <f ca="1">H69*('Updated Population'!I$59/'Updated Population'!H$59)</f>
        <v>1.0620162354439691</v>
      </c>
      <c r="J69" s="1">
        <f ca="1">I69*('Updated Population'!J$59/'Updated Population'!I$59)</f>
        <v>1.0724989808024774</v>
      </c>
      <c r="K69" s="1">
        <f ca="1">J69*('Updated Population'!K$59/'Updated Population'!J$59)</f>
        <v>1.0814296101814684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OFFSET(Taranaki_Reference,0,5)</f>
        <v>23.308571313000002</v>
      </c>
      <c r="C71" s="4">
        <f ca="1">OFFSET(Taranaki_Reference,1,5)</f>
        <v>24.784559384000001</v>
      </c>
      <c r="D71" s="4">
        <f ca="1">OFFSET(Taranaki_Reference,2,5)</f>
        <v>25.633265255000001</v>
      </c>
      <c r="E71" s="4">
        <f ca="1">OFFSET(Taranaki_Reference,3,5)</f>
        <v>26.097367374000001</v>
      </c>
      <c r="F71" s="4">
        <f ca="1">OFFSET(Taranaki_Reference,4,5)</f>
        <v>26.315828605</v>
      </c>
      <c r="G71" s="4">
        <f ca="1">OFFSET(Taranaki_Reference,5,5)</f>
        <v>26.390149621999999</v>
      </c>
      <c r="H71" s="4">
        <f ca="1">OFFSET(Taranaki_Reference,6,5)</f>
        <v>26.393977189000001</v>
      </c>
      <c r="I71" s="1">
        <f ca="1">H71*('Updated Population'!I$70/'Updated Population'!H$70)</f>
        <v>26.948674300891781</v>
      </c>
      <c r="J71" s="1">
        <f ca="1">I71*('Updated Population'!J$70/'Updated Population'!I$70)</f>
        <v>27.439215807486605</v>
      </c>
      <c r="K71" s="1">
        <f ca="1">J71*('Updated Population'!K$70/'Updated Population'!J$70)</f>
        <v>27.890635786579935</v>
      </c>
    </row>
    <row r="72" spans="1:11" x14ac:dyDescent="0.2">
      <c r="A72" t="str">
        <f ca="1">OFFSET(Taranaki_Reference,7,2)</f>
        <v>Cyclist</v>
      </c>
      <c r="B72" s="4">
        <f ca="1">OFFSET(Taranaki_Reference,7,5)</f>
        <v>2.1611397319000001</v>
      </c>
      <c r="C72" s="4">
        <f ca="1">OFFSET(Taranaki_Reference,8,5)</f>
        <v>2.2177321568999999</v>
      </c>
      <c r="D72" s="4">
        <f ca="1">OFFSET(Taranaki_Reference,9,5)</f>
        <v>2.2566620090999998</v>
      </c>
      <c r="E72" s="4">
        <f ca="1">OFFSET(Taranaki_Reference,10,5)</f>
        <v>2.2404857704999999</v>
      </c>
      <c r="F72" s="4">
        <f ca="1">OFFSET(Taranaki_Reference,11,5)</f>
        <v>2.2301019987999999</v>
      </c>
      <c r="G72" s="4">
        <f ca="1">OFFSET(Taranaki_Reference,12,5)</f>
        <v>2.1872703161999998</v>
      </c>
      <c r="H72" s="4">
        <f ca="1">OFFSET(Taranaki_Reference,13,5)</f>
        <v>2.1480162570000001</v>
      </c>
      <c r="I72" s="1">
        <f ca="1">H72*('Updated Population'!I$70/'Updated Population'!H$70)</f>
        <v>2.1931590714202178</v>
      </c>
      <c r="J72" s="1">
        <f ca="1">I72*('Updated Population'!J$70/'Updated Population'!I$70)</f>
        <v>2.2330807218540936</v>
      </c>
      <c r="K72" s="1">
        <f ca="1">J72*('Updated Population'!K$70/'Updated Population'!J$70)</f>
        <v>2.2698185521130054</v>
      </c>
    </row>
    <row r="73" spans="1:11" x14ac:dyDescent="0.2">
      <c r="A73" t="str">
        <f ca="1">OFFSET(Taranaki_Reference,14,2)</f>
        <v>Light Vehicle Driver</v>
      </c>
      <c r="B73" s="4">
        <f ca="1">OFFSET(Taranaki_Reference,14,5)</f>
        <v>90.801950900999998</v>
      </c>
      <c r="C73" s="4">
        <f ca="1">OFFSET(Taranaki_Reference,15,5)</f>
        <v>98.829148058000001</v>
      </c>
      <c r="D73" s="4">
        <f ca="1">OFFSET(Taranaki_Reference,16,5)</f>
        <v>104.55723299</v>
      </c>
      <c r="E73" s="4">
        <f ca="1">OFFSET(Taranaki_Reference,17,5)</f>
        <v>109.73771908000001</v>
      </c>
      <c r="F73" s="4">
        <f ca="1">OFFSET(Taranaki_Reference,18,5)</f>
        <v>112.61483174999999</v>
      </c>
      <c r="G73" s="4">
        <f ca="1">OFFSET(Taranaki_Reference,19,5)</f>
        <v>114.85457198</v>
      </c>
      <c r="H73" s="4">
        <f ca="1">OFFSET(Taranaki_Reference,20,5)</f>
        <v>116.39216145</v>
      </c>
      <c r="I73" s="1">
        <f ca="1">H73*('Updated Population'!I$70/'Updated Population'!H$70)</f>
        <v>118.83826479171479</v>
      </c>
      <c r="J73" s="1">
        <f ca="1">I73*('Updated Population'!J$70/'Updated Population'!I$70)</f>
        <v>121.00145474314454</v>
      </c>
      <c r="K73" s="1">
        <f ca="1">J73*('Updated Population'!K$70/'Updated Population'!J$70)</f>
        <v>122.99212658135026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OFFSET(Taranaki_Reference,21,5)</f>
        <v>45.48406773</v>
      </c>
      <c r="C74" s="4">
        <f ca="1">OFFSET(Taranaki_Reference,22,5)</f>
        <v>46.789602082999998</v>
      </c>
      <c r="D74" s="4">
        <f ca="1">OFFSET(Taranaki_Reference,23,5)</f>
        <v>47.736279781</v>
      </c>
      <c r="E74" s="4">
        <f ca="1">OFFSET(Taranaki_Reference,24,5)</f>
        <v>48.644344506000003</v>
      </c>
      <c r="F74" s="4">
        <f ca="1">OFFSET(Taranaki_Reference,25,5)</f>
        <v>49.470646782000003</v>
      </c>
      <c r="G74" s="4">
        <f ca="1">OFFSET(Taranaki_Reference,26,5)</f>
        <v>49.910576480000003</v>
      </c>
      <c r="H74" s="4">
        <f ca="1">OFFSET(Taranaki_Reference,27,5)</f>
        <v>50.024051577999998</v>
      </c>
      <c r="I74" s="1">
        <f ca="1">H74*('Updated Population'!I$70/'Updated Population'!H$70)</f>
        <v>51.075359485737621</v>
      </c>
      <c r="J74" s="1">
        <f ca="1">I74*('Updated Population'!J$70/'Updated Population'!I$70)</f>
        <v>52.005074376802845</v>
      </c>
      <c r="K74" s="1">
        <f ca="1">J74*('Updated Population'!K$70/'Updated Population'!J$70)</f>
        <v>52.860642908813084</v>
      </c>
    </row>
    <row r="75" spans="1:11" x14ac:dyDescent="0.2">
      <c r="A75" t="str">
        <f ca="1">OFFSET(Taranaki_Reference,28,2)</f>
        <v>Taxi/Vehicle Share</v>
      </c>
      <c r="B75" s="4">
        <f ca="1">OFFSET(Taranaki_Reference,28,5)</f>
        <v>0.56194422089999996</v>
      </c>
      <c r="C75" s="4">
        <f ca="1">OFFSET(Taranaki_Reference,29,5)</f>
        <v>0.70425760110000002</v>
      </c>
      <c r="D75" s="4">
        <f ca="1">OFFSET(Taranaki_Reference,30,5)</f>
        <v>0.76416933480000004</v>
      </c>
      <c r="E75" s="4">
        <f ca="1">OFFSET(Taranaki_Reference,31,5)</f>
        <v>0.82882397009999997</v>
      </c>
      <c r="F75" s="4">
        <f ca="1">OFFSET(Taranaki_Reference,32,5)</f>
        <v>0.84637644479999996</v>
      </c>
      <c r="G75" s="4">
        <f ca="1">OFFSET(Taranaki_Reference,33,5)</f>
        <v>0.84661859809999995</v>
      </c>
      <c r="H75" s="4">
        <f ca="1">OFFSET(Taranaki_Reference,34,5)</f>
        <v>0.84012390069999998</v>
      </c>
      <c r="I75" s="1">
        <f ca="1">H75*('Updated Population'!I$70/'Updated Population'!H$70)</f>
        <v>0.85777998557165636</v>
      </c>
      <c r="J75" s="1">
        <f ca="1">I75*('Updated Population'!J$70/'Updated Population'!I$70)</f>
        <v>0.87339398875975682</v>
      </c>
      <c r="K75" s="1">
        <f ca="1">J75*('Updated Population'!K$70/'Updated Population'!J$70)</f>
        <v>0.88776274838147307</v>
      </c>
    </row>
    <row r="76" spans="1:11" x14ac:dyDescent="0.2">
      <c r="A76" t="str">
        <f ca="1">OFFSET(Taranaki_Reference,35,2)</f>
        <v>Motorcyclist</v>
      </c>
      <c r="B76" s="4">
        <f ca="1">OFFSET(Taranaki_Reference,35,5)</f>
        <v>1.091812341</v>
      </c>
      <c r="C76" s="4">
        <f ca="1">OFFSET(Taranaki_Reference,36,5)</f>
        <v>1.1649192491</v>
      </c>
      <c r="D76" s="4">
        <f ca="1">OFFSET(Taranaki_Reference,37,5)</f>
        <v>1.1704893181</v>
      </c>
      <c r="E76" s="4">
        <f ca="1">OFFSET(Taranaki_Reference,38,5)</f>
        <v>1.1127779010000001</v>
      </c>
      <c r="F76" s="4">
        <f ca="1">OFFSET(Taranaki_Reference,39,5)</f>
        <v>1.0614523755</v>
      </c>
      <c r="G76" s="4">
        <f ca="1">OFFSET(Taranaki_Reference,40,5)</f>
        <v>1.0454770438000001</v>
      </c>
      <c r="H76" s="4">
        <f ca="1">OFFSET(Taranaki_Reference,41,5)</f>
        <v>1.0220426956999999</v>
      </c>
      <c r="I76" s="1">
        <f ca="1">H76*('Updated Population'!I$70/'Updated Population'!H$70)</f>
        <v>1.0435219948399246</v>
      </c>
      <c r="J76" s="1">
        <f ca="1">I76*('Updated Population'!J$70/'Updated Population'!I$70)</f>
        <v>1.0625170239013977</v>
      </c>
      <c r="K76" s="1">
        <f ca="1">J76*('Updated Population'!K$70/'Updated Population'!J$70)</f>
        <v>1.0799971667772379</v>
      </c>
    </row>
    <row r="77" spans="1:11" x14ac:dyDescent="0.2">
      <c r="A77" t="str">
        <f ca="1">OFFSET(Taranaki_Reference,42,2)</f>
        <v>Local Train</v>
      </c>
      <c r="B77" s="4">
        <f ca="1">OFFSET(Taranaki_Reference,42,5)</f>
        <v>5.3266318100000001E-2</v>
      </c>
      <c r="C77" s="4">
        <f ca="1">OFFSET(Taranaki_Reference,43,5)</f>
        <v>5.2612521799999999E-2</v>
      </c>
      <c r="D77" s="4">
        <f ca="1">OFFSET(Taranaki_Reference,44,5)</f>
        <v>4.9369590400000003E-2</v>
      </c>
      <c r="E77" s="4">
        <f ca="1">OFFSET(Taranaki_Reference,45,5)</f>
        <v>4.9791018499999999E-2</v>
      </c>
      <c r="F77" s="4">
        <f ca="1">OFFSET(Taranaki_Reference,46,5)</f>
        <v>5.6227820599999999E-2</v>
      </c>
      <c r="G77" s="4">
        <f ca="1">OFFSET(Taranaki_Reference,47,5)</f>
        <v>6.7456151800000003E-2</v>
      </c>
      <c r="H77" s="4">
        <f ca="1">OFFSET(Taranaki_Reference,48,5)</f>
        <v>7.8870074999999998E-2</v>
      </c>
      <c r="I77" s="1">
        <f ca="1">H77*('Updated Population'!I$70/'Updated Population'!H$70)</f>
        <v>8.0527612342853397E-2</v>
      </c>
      <c r="J77" s="1">
        <f ca="1">I77*('Updated Population'!J$70/'Updated Population'!I$70)</f>
        <v>8.1993440896796027E-2</v>
      </c>
      <c r="K77" s="1">
        <f ca="1">J77*('Updated Population'!K$70/'Updated Population'!J$70)</f>
        <v>8.3342367106462811E-2</v>
      </c>
    </row>
    <row r="78" spans="1:11" x14ac:dyDescent="0.2">
      <c r="A78" t="str">
        <f ca="1">OFFSET(Taranaki_Reference,49,2)</f>
        <v>Local Bus</v>
      </c>
      <c r="B78" s="4">
        <f ca="1">OFFSET(Taranaki_Reference,49,5)</f>
        <v>1.2787514622</v>
      </c>
      <c r="C78" s="4">
        <f ca="1">OFFSET(Taranaki_Reference,50,5)</f>
        <v>1.3400964418000001</v>
      </c>
      <c r="D78" s="4">
        <f ca="1">OFFSET(Taranaki_Reference,51,5)</f>
        <v>1.3867494829</v>
      </c>
      <c r="E78" s="4">
        <f ca="1">OFFSET(Taranaki_Reference,52,5)</f>
        <v>1.3918253411999999</v>
      </c>
      <c r="F78" s="4">
        <f ca="1">OFFSET(Taranaki_Reference,53,5)</f>
        <v>1.3744191311</v>
      </c>
      <c r="G78" s="4">
        <f ca="1">OFFSET(Taranaki_Reference,54,5)</f>
        <v>1.4049559479</v>
      </c>
      <c r="H78" s="4">
        <f ca="1">OFFSET(Taranaki_Reference,55,5)</f>
        <v>1.4307181484</v>
      </c>
      <c r="I78" s="1">
        <f ca="1">H78*('Updated Population'!I$70/'Updated Population'!H$70)</f>
        <v>1.460786190785798</v>
      </c>
      <c r="J78" s="1">
        <f ca="1">I78*('Updated Population'!J$70/'Updated Population'!I$70)</f>
        <v>1.4873765993097996</v>
      </c>
      <c r="K78" s="1">
        <f ca="1">J78*('Updated Population'!K$70/'Updated Population'!J$70)</f>
        <v>1.5118463770933595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OFFSET(Taranaki_Reference,56,5)</f>
        <v>0.17475937220000001</v>
      </c>
      <c r="C80" s="4">
        <f ca="1">OFFSET(Taranaki_Reference,57,5)</f>
        <v>0.18768948460000001</v>
      </c>
      <c r="D80" s="4">
        <f ca="1">OFFSET(Taranaki_Reference,58,5)</f>
        <v>0.19767539840000001</v>
      </c>
      <c r="E80" s="4">
        <f ca="1">OFFSET(Taranaki_Reference,59,5)</f>
        <v>0.20647612400000001</v>
      </c>
      <c r="F80" s="4">
        <f ca="1">OFFSET(Taranaki_Reference,60,5)</f>
        <v>0.2271659358</v>
      </c>
      <c r="G80" s="4">
        <f ca="1">OFFSET(Taranaki_Reference,61,5)</f>
        <v>0.24124982950000001</v>
      </c>
      <c r="H80" s="4">
        <f ca="1">OFFSET(Taranaki_Reference,62,5)</f>
        <v>0.24826847990000001</v>
      </c>
      <c r="I80" s="1">
        <f ca="1">H80*('Updated Population'!I$70/'Updated Population'!H$70)</f>
        <v>0.25348610238213531</v>
      </c>
      <c r="J80" s="1">
        <f ca="1">I80*('Updated Population'!J$70/'Updated Population'!I$70)</f>
        <v>0.2581002608811776</v>
      </c>
      <c r="K80" s="1">
        <f ca="1">J80*('Updated Population'!K$70/'Updated Population'!J$70)</f>
        <v>0.26234643231655713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OFFSET(Manawatu_Reference,0,5)</f>
        <v>39.544031846000003</v>
      </c>
      <c r="C82" s="4">
        <f ca="1">OFFSET(Manawatu_Reference,1,5)</f>
        <v>38.987712449999997</v>
      </c>
      <c r="D82" s="4">
        <f ca="1">OFFSET(Manawatu_Reference,2,5)</f>
        <v>37.888700374999999</v>
      </c>
      <c r="E82" s="4">
        <f ca="1">OFFSET(Manawatu_Reference,3,5)</f>
        <v>35.671980556000001</v>
      </c>
      <c r="F82" s="4">
        <f ca="1">OFFSET(Manawatu_Reference,4,5)</f>
        <v>33.782198725999997</v>
      </c>
      <c r="G82" s="4">
        <f ca="1">OFFSET(Manawatu_Reference,5,5)</f>
        <v>32.201159738000001</v>
      </c>
      <c r="H82" s="4">
        <f ca="1">OFFSET(Manawatu_Reference,6,5)</f>
        <v>30.751253462000001</v>
      </c>
      <c r="I82" s="1">
        <f ca="1">H82*('Updated Population'!I$81/'Updated Population'!H$81)</f>
        <v>30.785369736342137</v>
      </c>
      <c r="J82" s="1">
        <f ca="1">I82*('Updated Population'!J$81/'Updated Population'!I$81)</f>
        <v>30.738610290615139</v>
      </c>
      <c r="K82" s="1">
        <f ca="1">J82*('Updated Population'!K$81/'Updated Population'!J$81)</f>
        <v>30.643697923756882</v>
      </c>
    </row>
    <row r="83" spans="1:11" x14ac:dyDescent="0.2">
      <c r="A83" t="str">
        <f ca="1">OFFSET(Manawatu_Reference,7,2)</f>
        <v>Cyclist</v>
      </c>
      <c r="B83" s="4">
        <f ca="1">OFFSET(Manawatu_Reference,7,5)</f>
        <v>4.6745036201000003</v>
      </c>
      <c r="C83" s="4">
        <f ca="1">OFFSET(Manawatu_Reference,8,5)</f>
        <v>4.9244934784999996</v>
      </c>
      <c r="D83" s="4">
        <f ca="1">OFFSET(Manawatu_Reference,9,5)</f>
        <v>5.1421878522000002</v>
      </c>
      <c r="E83" s="4">
        <f ca="1">OFFSET(Manawatu_Reference,10,5)</f>
        <v>5.3269579510999998</v>
      </c>
      <c r="F83" s="4">
        <f ca="1">OFFSET(Manawatu_Reference,11,5)</f>
        <v>5.5309736680999997</v>
      </c>
      <c r="G83" s="4">
        <f ca="1">OFFSET(Manawatu_Reference,12,5)</f>
        <v>5.5381007380999998</v>
      </c>
      <c r="H83" s="4">
        <f ca="1">OFFSET(Manawatu_Reference,13,5)</f>
        <v>5.5103469655000001</v>
      </c>
      <c r="I83" s="1">
        <f ca="1">H83*('Updated Population'!I$81/'Updated Population'!H$81)</f>
        <v>5.5164602938242471</v>
      </c>
      <c r="J83" s="1">
        <f ca="1">I83*('Updated Population'!J$81/'Updated Population'!I$81)</f>
        <v>5.5080814233437767</v>
      </c>
      <c r="K83" s="1">
        <f ca="1">J83*('Updated Population'!K$81/'Updated Population'!J$81)</f>
        <v>5.4910739841721643</v>
      </c>
    </row>
    <row r="84" spans="1:11" x14ac:dyDescent="0.2">
      <c r="A84" t="str">
        <f ca="1">OFFSET(Manawatu_Reference,14,2)</f>
        <v>Light Vehicle Driver</v>
      </c>
      <c r="B84" s="4">
        <f ca="1">OFFSET(Manawatu_Reference,14,5)</f>
        <v>178.69640117</v>
      </c>
      <c r="C84" s="4">
        <f ca="1">OFFSET(Manawatu_Reference,15,5)</f>
        <v>191.4185573</v>
      </c>
      <c r="D84" s="4">
        <f ca="1">OFFSET(Manawatu_Reference,16,5)</f>
        <v>197.84965091000001</v>
      </c>
      <c r="E84" s="4">
        <f ca="1">OFFSET(Manawatu_Reference,17,5)</f>
        <v>201.08049444</v>
      </c>
      <c r="F84" s="4">
        <f ca="1">OFFSET(Manawatu_Reference,18,5)</f>
        <v>204.30798813999999</v>
      </c>
      <c r="G84" s="4">
        <f ca="1">OFFSET(Manawatu_Reference,19,5)</f>
        <v>204.55844685</v>
      </c>
      <c r="H84" s="4">
        <f ca="1">OFFSET(Manawatu_Reference,20,5)</f>
        <v>203.62099287999999</v>
      </c>
      <c r="I84" s="1">
        <f ca="1">H84*('Updated Population'!I$81/'Updated Population'!H$81)</f>
        <v>203.84689553022841</v>
      </c>
      <c r="J84" s="1">
        <f ca="1">I84*('Updated Population'!J$81/'Updated Population'!I$81)</f>
        <v>203.53727547596898</v>
      </c>
      <c r="K84" s="1">
        <f ca="1">J84*('Updated Population'!K$81/'Updated Population'!J$81)</f>
        <v>202.90880839900413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OFFSET(Manawatu_Reference,21,5)</f>
        <v>84.046137802999993</v>
      </c>
      <c r="C85" s="4">
        <f ca="1">OFFSET(Manawatu_Reference,22,5)</f>
        <v>84.205850071</v>
      </c>
      <c r="D85" s="4">
        <f ca="1">OFFSET(Manawatu_Reference,23,5)</f>
        <v>83.724366356999994</v>
      </c>
      <c r="E85" s="4">
        <f ca="1">OFFSET(Manawatu_Reference,24,5)</f>
        <v>82.277715204000003</v>
      </c>
      <c r="F85" s="4">
        <f ca="1">OFFSET(Manawatu_Reference,25,5)</f>
        <v>81.302944530000005</v>
      </c>
      <c r="G85" s="4">
        <f ca="1">OFFSET(Manawatu_Reference,26,5)</f>
        <v>79.646301219999998</v>
      </c>
      <c r="H85" s="4">
        <f ca="1">OFFSET(Manawatu_Reference,27,5)</f>
        <v>77.662367571000004</v>
      </c>
      <c r="I85" s="1">
        <f ca="1">H85*('Updated Population'!I$81/'Updated Population'!H$81)</f>
        <v>77.74852830722449</v>
      </c>
      <c r="J85" s="1">
        <f ca="1">I85*('Updated Population'!J$81/'Updated Population'!I$81)</f>
        <v>77.63043721002893</v>
      </c>
      <c r="K85" s="1">
        <f ca="1">J85*('Updated Population'!K$81/'Updated Population'!J$81)</f>
        <v>77.390735790017288</v>
      </c>
    </row>
    <row r="86" spans="1:11" x14ac:dyDescent="0.2">
      <c r="A86" t="str">
        <f ca="1">OFFSET(Manawatu_Reference,28,2)</f>
        <v>Taxi/Vehicle Share</v>
      </c>
      <c r="B86" s="4">
        <f ca="1">OFFSET(Manawatu_Reference,28,5)</f>
        <v>0.99874441920000001</v>
      </c>
      <c r="C86" s="4">
        <f ca="1">OFFSET(Manawatu_Reference,29,5)</f>
        <v>1.1052850506</v>
      </c>
      <c r="D86" s="4">
        <f ca="1">OFFSET(Manawatu_Reference,30,5)</f>
        <v>1.1393188274999999</v>
      </c>
      <c r="E86" s="4">
        <f ca="1">OFFSET(Manawatu_Reference,31,5)</f>
        <v>1.1104241131000001</v>
      </c>
      <c r="F86" s="4">
        <f ca="1">OFFSET(Manawatu_Reference,32,5)</f>
        <v>1.0740239639</v>
      </c>
      <c r="G86" s="4">
        <f ca="1">OFFSET(Manawatu_Reference,33,5)</f>
        <v>1.0908599788</v>
      </c>
      <c r="H86" s="4">
        <f ca="1">OFFSET(Manawatu_Reference,34,5)</f>
        <v>1.1105439798000001</v>
      </c>
      <c r="I86" s="1">
        <f ca="1">H86*('Updated Population'!I$81/'Updated Population'!H$81)</f>
        <v>1.1117760474011038</v>
      </c>
      <c r="J86" s="1">
        <f ca="1">I86*('Updated Population'!J$81/'Updated Population'!I$81)</f>
        <v>1.1100873870993353</v>
      </c>
      <c r="K86" s="1">
        <f ca="1">J86*('Updated Population'!K$81/'Updated Population'!J$81)</f>
        <v>1.1066597428326308</v>
      </c>
    </row>
    <row r="87" spans="1:11" x14ac:dyDescent="0.2">
      <c r="A87" t="str">
        <f ca="1">OFFSET(Manawatu_Reference,35,2)</f>
        <v>Motorcyclist</v>
      </c>
      <c r="B87" s="4">
        <f ca="1">OFFSET(Manawatu_Reference,35,5)</f>
        <v>0.79000583589999995</v>
      </c>
      <c r="C87" s="4">
        <f ca="1">OFFSET(Manawatu_Reference,36,5)</f>
        <v>0.73075697289999997</v>
      </c>
      <c r="D87" s="4">
        <f ca="1">OFFSET(Manawatu_Reference,37,5)</f>
        <v>0.6554155411</v>
      </c>
      <c r="E87" s="4">
        <f ca="1">OFFSET(Manawatu_Reference,38,5)</f>
        <v>0.56565076120000002</v>
      </c>
      <c r="F87" s="4">
        <f ca="1">OFFSET(Manawatu_Reference,39,5)</f>
        <v>0.51590178379999996</v>
      </c>
      <c r="G87" s="4">
        <f ca="1">OFFSET(Manawatu_Reference,40,5)</f>
        <v>0.49502073730000001</v>
      </c>
      <c r="H87" s="4">
        <f ca="1">OFFSET(Manawatu_Reference,41,5)</f>
        <v>0.4673448791</v>
      </c>
      <c r="I87" s="1">
        <f ca="1">H87*('Updated Population'!I$81/'Updated Population'!H$81)</f>
        <v>0.46786336417988361</v>
      </c>
      <c r="J87" s="1">
        <f ca="1">I87*('Updated Population'!J$81/'Updated Population'!I$81)</f>
        <v>0.46715273339089575</v>
      </c>
      <c r="K87" s="1">
        <f ca="1">J87*('Updated Population'!K$81/'Updated Population'!J$81)</f>
        <v>0.4657102943479059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OFFSET(Manawatu_Reference,42,5)</f>
        <v>5.2110099151</v>
      </c>
      <c r="C89" s="4">
        <f ca="1">OFFSET(Manawatu_Reference,43,5)</f>
        <v>4.7992741297999997</v>
      </c>
      <c r="D89" s="4">
        <f ca="1">OFFSET(Manawatu_Reference,44,5)</f>
        <v>4.4664523108000003</v>
      </c>
      <c r="E89" s="4">
        <f ca="1">OFFSET(Manawatu_Reference,45,5)</f>
        <v>4.22900104</v>
      </c>
      <c r="F89" s="4">
        <f ca="1">OFFSET(Manawatu_Reference,46,5)</f>
        <v>3.9816103929</v>
      </c>
      <c r="G89" s="4">
        <f ca="1">OFFSET(Manawatu_Reference,47,5)</f>
        <v>3.7525360292999999</v>
      </c>
      <c r="H89" s="4">
        <f ca="1">OFFSET(Manawatu_Reference,48,5)</f>
        <v>3.4863763688999998</v>
      </c>
      <c r="I89" s="1">
        <f ca="1">H89*('Updated Population'!I$81/'Updated Population'!H$81)</f>
        <v>3.4902442493689474</v>
      </c>
      <c r="J89" s="1">
        <f ca="1">I89*('Updated Population'!J$81/'Updated Population'!I$81)</f>
        <v>3.4849429686648317</v>
      </c>
      <c r="K89" s="1">
        <f ca="1">J89*('Updated Population'!K$81/'Updated Population'!J$81)</f>
        <v>3.4741824241120742</v>
      </c>
    </row>
    <row r="90" spans="1:11" x14ac:dyDescent="0.2">
      <c r="A90" t="str">
        <f ca="1">OFFSET(Manawatu_Reference,49,2)</f>
        <v>Local Ferry</v>
      </c>
      <c r="B90" s="4">
        <f ca="1">OFFSET(Manawatu_Reference,49,5)</f>
        <v>0.1068619116</v>
      </c>
      <c r="C90" s="4">
        <f ca="1">OFFSET(Manawatu_Reference,50,5)</f>
        <v>0.11976830550000001</v>
      </c>
      <c r="D90" s="4">
        <f ca="1">OFFSET(Manawatu_Reference,51,5)</f>
        <v>0.1275353591</v>
      </c>
      <c r="E90" s="4">
        <f ca="1">OFFSET(Manawatu_Reference,52,5)</f>
        <v>0.14090991310000001</v>
      </c>
      <c r="F90" s="4">
        <f ca="1">OFFSET(Manawatu_Reference,53,5)</f>
        <v>0.14431783519999999</v>
      </c>
      <c r="G90" s="4">
        <f ca="1">OFFSET(Manawatu_Reference,54,5)</f>
        <v>0.14027711900000001</v>
      </c>
      <c r="H90" s="4">
        <f ca="1">OFFSET(Manawatu_Reference,55,5)</f>
        <v>0.13521903069999999</v>
      </c>
      <c r="I90" s="1">
        <f ca="1">H90*('Updated Population'!I$81/'Updated Population'!H$81)</f>
        <v>0.13536904635881986</v>
      </c>
      <c r="J90" s="1">
        <f ca="1">I90*('Updated Population'!J$81/'Updated Population'!I$81)</f>
        <v>0.13516343630344155</v>
      </c>
      <c r="K90" s="1">
        <f ca="1">J90*('Updated Population'!K$81/'Updated Population'!J$81)</f>
        <v>0.13474608881990319</v>
      </c>
    </row>
    <row r="91" spans="1:11" x14ac:dyDescent="0.2">
      <c r="A91" t="str">
        <f ca="1">OFFSET(Manawatu_Reference,56,2)</f>
        <v>Other Household Travel</v>
      </c>
      <c r="B91" s="4">
        <f ca="1">OFFSET(Manawatu_Reference,56,5)</f>
        <v>0.24513607779999999</v>
      </c>
      <c r="C91" s="4">
        <f ca="1">OFFSET(Manawatu_Reference,57,5)</f>
        <v>0.2327765504</v>
      </c>
      <c r="D91" s="4">
        <f ca="1">OFFSET(Manawatu_Reference,58,5)</f>
        <v>0.21315470389999999</v>
      </c>
      <c r="E91" s="4">
        <f ca="1">OFFSET(Manawatu_Reference,59,5)</f>
        <v>0.18530111320000001</v>
      </c>
      <c r="F91" s="4">
        <f ca="1">OFFSET(Manawatu_Reference,60,5)</f>
        <v>0.16652488570000001</v>
      </c>
      <c r="G91" s="4">
        <f ca="1">OFFSET(Manawatu_Reference,61,5)</f>
        <v>0.14889280620000001</v>
      </c>
      <c r="H91" s="4">
        <f ca="1">OFFSET(Manawatu_Reference,62,5)</f>
        <v>0.1302357136</v>
      </c>
      <c r="I91" s="1">
        <f ca="1">H91*('Updated Population'!I$81/'Updated Population'!H$81)</f>
        <v>0.13038020063171762</v>
      </c>
      <c r="J91" s="1">
        <f ca="1">I91*('Updated Population'!J$81/'Updated Population'!I$81)</f>
        <v>0.13018216806080726</v>
      </c>
      <c r="K91" s="1">
        <f ca="1">J91*('Updated Population'!K$81/'Updated Population'!J$81)</f>
        <v>0.12978020136235952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OFFSET(Wellington_Reference,0,5)</f>
        <v>182.29561206</v>
      </c>
      <c r="C93" s="4">
        <f ca="1">OFFSET(Wellington_Reference,1,5)</f>
        <v>195.41046102999999</v>
      </c>
      <c r="D93" s="4">
        <f ca="1">OFFSET(Wellington_Reference,2,5)</f>
        <v>202.44457084000001</v>
      </c>
      <c r="E93" s="4">
        <f ca="1">OFFSET(Wellington_Reference,3,5)</f>
        <v>209.19577819</v>
      </c>
      <c r="F93" s="4">
        <f ca="1">OFFSET(Wellington_Reference,4,5)</f>
        <v>215.14329817000001</v>
      </c>
      <c r="G93" s="4">
        <f ca="1">OFFSET(Wellington_Reference,5,5)</f>
        <v>220.86656511000001</v>
      </c>
      <c r="H93" s="4">
        <f ca="1">OFFSET(Wellington_Reference,6,5)</f>
        <v>225.78151946</v>
      </c>
      <c r="I93" s="1">
        <f ca="1">H93*('Updated Population'!I$92/'Updated Population'!H$92)</f>
        <v>230.76048822136025</v>
      </c>
      <c r="J93" s="1">
        <f ca="1">I93*('Updated Population'!J$92/'Updated Population'!I$92)</f>
        <v>235.15418691675464</v>
      </c>
      <c r="K93" s="1">
        <f ca="1">J93*('Updated Population'!K$92/'Updated Population'!J$92)</f>
        <v>239.17462926674554</v>
      </c>
    </row>
    <row r="94" spans="1:11" x14ac:dyDescent="0.2">
      <c r="A94" t="str">
        <f ca="1">OFFSET(Wellington_Reference,7,2)</f>
        <v>Cyclist</v>
      </c>
      <c r="B94" s="4">
        <f ca="1">OFFSET(Wellington_Reference,7,5)</f>
        <v>8.1327913301999999</v>
      </c>
      <c r="C94" s="4">
        <f ca="1">OFFSET(Wellington_Reference,8,5)</f>
        <v>8.4455327274999998</v>
      </c>
      <c r="D94" s="4">
        <f ca="1">OFFSET(Wellington_Reference,9,5)</f>
        <v>8.5378166344000004</v>
      </c>
      <c r="E94" s="4">
        <f ca="1">OFFSET(Wellington_Reference,10,5)</f>
        <v>8.3763557579000008</v>
      </c>
      <c r="F94" s="4">
        <f ca="1">OFFSET(Wellington_Reference,11,5)</f>
        <v>8.3302547782000005</v>
      </c>
      <c r="G94" s="4">
        <f ca="1">OFFSET(Wellington_Reference,12,5)</f>
        <v>8.4155079156999992</v>
      </c>
      <c r="H94" s="4">
        <f ca="1">OFFSET(Wellington_Reference,13,5)</f>
        <v>8.5020881517000007</v>
      </c>
      <c r="I94" s="1">
        <f ca="1">H94*('Updated Population'!I$92/'Updated Population'!H$92)</f>
        <v>8.6895775060762563</v>
      </c>
      <c r="J94" s="1">
        <f ca="1">I94*('Updated Population'!J$92/'Updated Population'!I$92)</f>
        <v>8.8550277772481198</v>
      </c>
      <c r="K94" s="1">
        <f ca="1">J94*('Updated Population'!K$92/'Updated Population'!J$92)</f>
        <v>9.0064226095187312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OFFSET(Wellington_Reference,14,5)</f>
        <v>377.93589692</v>
      </c>
      <c r="C95" s="4">
        <f ca="1">OFFSET(Wellington_Reference,15,5)</f>
        <v>403.68901804000001</v>
      </c>
      <c r="D95" s="4">
        <f ca="1">OFFSET(Wellington_Reference,16,5)</f>
        <v>420.26146378999999</v>
      </c>
      <c r="E95" s="4">
        <f ca="1">OFFSET(Wellington_Reference,17,5)</f>
        <v>443.52970985000002</v>
      </c>
      <c r="F95" s="4">
        <f ca="1">OFFSET(Wellington_Reference,18,5)</f>
        <v>465.26615237999999</v>
      </c>
      <c r="G95" s="4">
        <f ca="1">OFFSET(Wellington_Reference,19,5)</f>
        <v>482.94373567000002</v>
      </c>
      <c r="H95" s="4">
        <f ca="1">OFFSET(Wellington_Reference,20,5)</f>
        <v>498.55732760000001</v>
      </c>
      <c r="I95" s="1">
        <f ca="1">H95*('Updated Population'!I$92/'Updated Population'!H$92)</f>
        <v>509.55159039796752</v>
      </c>
      <c r="J95" s="1">
        <f ca="1">I95*('Updated Population'!J$92/'Updated Population'!I$92)</f>
        <v>519.25349463306372</v>
      </c>
      <c r="K95" s="1">
        <f ca="1">J95*('Updated Population'!K$92/'Updated Population'!J$92)</f>
        <v>528.13119639791717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OFFSET(Wellington_Reference,21,5)</f>
        <v>183.55442563</v>
      </c>
      <c r="C96" s="4">
        <f ca="1">OFFSET(Wellington_Reference,22,5)</f>
        <v>190.91427575</v>
      </c>
      <c r="D96" s="4">
        <f ca="1">OFFSET(Wellington_Reference,23,5)</f>
        <v>195.13534315000001</v>
      </c>
      <c r="E96" s="4">
        <f ca="1">OFFSET(Wellington_Reference,24,5)</f>
        <v>199.28770459</v>
      </c>
      <c r="F96" s="4">
        <f ca="1">OFFSET(Wellington_Reference,25,5)</f>
        <v>203.33669255999999</v>
      </c>
      <c r="G96" s="4">
        <f ca="1">OFFSET(Wellington_Reference,26,5)</f>
        <v>206.51740670999999</v>
      </c>
      <c r="H96" s="4">
        <f ca="1">OFFSET(Wellington_Reference,27,5)</f>
        <v>208.41985266</v>
      </c>
      <c r="I96" s="1">
        <f ca="1">H96*('Updated Population'!I$92/'Updated Population'!H$92)</f>
        <v>213.01595927724372</v>
      </c>
      <c r="J96" s="1">
        <f ca="1">I96*('Updated Population'!J$92/'Updated Population'!I$92)</f>
        <v>217.07180068054674</v>
      </c>
      <c r="K96" s="1">
        <f ca="1">J96*('Updated Population'!K$92/'Updated Population'!J$92)</f>
        <v>220.78308761057195</v>
      </c>
    </row>
    <row r="97" spans="1:11" x14ac:dyDescent="0.2">
      <c r="A97" t="str">
        <f ca="1">OFFSET(Wellington_Reference,28,2)</f>
        <v>Taxi/Vehicle Share</v>
      </c>
      <c r="B97" s="4">
        <f ca="1">OFFSET(Wellington_Reference,28,5)</f>
        <v>2.3579512121000001</v>
      </c>
      <c r="C97" s="4">
        <f ca="1">OFFSET(Wellington_Reference,29,5)</f>
        <v>2.6096777248</v>
      </c>
      <c r="D97" s="4">
        <f ca="1">OFFSET(Wellington_Reference,30,5)</f>
        <v>2.7683039984</v>
      </c>
      <c r="E97" s="4">
        <f ca="1">OFFSET(Wellington_Reference,31,5)</f>
        <v>2.9263181496000001</v>
      </c>
      <c r="F97" s="4">
        <f ca="1">OFFSET(Wellington_Reference,32,5)</f>
        <v>3.0734515014000001</v>
      </c>
      <c r="G97" s="4">
        <f ca="1">OFFSET(Wellington_Reference,33,5)</f>
        <v>3.2063250814000002</v>
      </c>
      <c r="H97" s="4">
        <f ca="1">OFFSET(Wellington_Reference,34,5)</f>
        <v>3.3256707772</v>
      </c>
      <c r="I97" s="1">
        <f ca="1">H97*('Updated Population'!I$92/'Updated Population'!H$92)</f>
        <v>3.3990089802108141</v>
      </c>
      <c r="J97" s="1">
        <f ca="1">I97*('Updated Population'!J$92/'Updated Population'!I$92)</f>
        <v>3.4637263910513574</v>
      </c>
      <c r="K97" s="1">
        <f ca="1">J97*('Updated Population'!K$92/'Updated Population'!J$92)</f>
        <v>3.5229458863703744</v>
      </c>
    </row>
    <row r="98" spans="1:11" x14ac:dyDescent="0.2">
      <c r="A98" t="str">
        <f ca="1">OFFSET(Wellington_Reference,35,2)</f>
        <v>Motorcyclist</v>
      </c>
      <c r="B98" s="4">
        <f ca="1">OFFSET(Wellington_Reference,35,5)</f>
        <v>2.4968267649999998</v>
      </c>
      <c r="C98" s="4">
        <f ca="1">OFFSET(Wellington_Reference,36,5)</f>
        <v>2.6697112401999998</v>
      </c>
      <c r="D98" s="4">
        <f ca="1">OFFSET(Wellington_Reference,37,5)</f>
        <v>2.7376842686999998</v>
      </c>
      <c r="E98" s="4">
        <f ca="1">OFFSET(Wellington_Reference,38,5)</f>
        <v>2.8298805211000002</v>
      </c>
      <c r="F98" s="4">
        <f ca="1">OFFSET(Wellington_Reference,39,5)</f>
        <v>2.9428362749999999</v>
      </c>
      <c r="G98" s="4">
        <f ca="1">OFFSET(Wellington_Reference,40,5)</f>
        <v>3.0203811453</v>
      </c>
      <c r="H98" s="4">
        <f ca="1">OFFSET(Wellington_Reference,41,5)</f>
        <v>3.0618537293000001</v>
      </c>
      <c r="I98" s="1">
        <f ca="1">H98*('Updated Population'!I$92/'Updated Population'!H$92)</f>
        <v>3.1293741982316479</v>
      </c>
      <c r="J98" s="1">
        <f ca="1">I98*('Updated Population'!J$92/'Updated Population'!I$92)</f>
        <v>3.1889577406229339</v>
      </c>
      <c r="K98" s="1">
        <f ca="1">J98*('Updated Population'!K$92/'Updated Population'!J$92)</f>
        <v>3.2434795032197887</v>
      </c>
    </row>
    <row r="99" spans="1:11" x14ac:dyDescent="0.2">
      <c r="A99" t="str">
        <f ca="1">OFFSET(Wellington_Reference,42,2)</f>
        <v>Local Train</v>
      </c>
      <c r="B99" s="4">
        <f ca="1">OFFSET(Wellington_Reference,42,5)</f>
        <v>10.165258230999999</v>
      </c>
      <c r="C99" s="4">
        <f ca="1">OFFSET(Wellington_Reference,43,5)</f>
        <v>11.09745863</v>
      </c>
      <c r="D99" s="4">
        <f ca="1">OFFSET(Wellington_Reference,44,5)</f>
        <v>11.700891197000001</v>
      </c>
      <c r="E99" s="4">
        <f ca="1">OFFSET(Wellington_Reference,45,5)</f>
        <v>12.041057675999999</v>
      </c>
      <c r="F99" s="4">
        <f ca="1">OFFSET(Wellington_Reference,46,5)</f>
        <v>12.251059278</v>
      </c>
      <c r="G99" s="4">
        <f ca="1">OFFSET(Wellington_Reference,47,5)</f>
        <v>12.545954514</v>
      </c>
      <c r="H99" s="4">
        <f ca="1">OFFSET(Wellington_Reference,48,5)</f>
        <v>12.780011669</v>
      </c>
      <c r="I99" s="1">
        <f ca="1">H99*('Updated Population'!I$92/'Updated Population'!H$92)</f>
        <v>13.061838450137611</v>
      </c>
      <c r="J99" s="1">
        <f ca="1">I99*('Updated Population'!J$92/'Updated Population'!I$92)</f>
        <v>13.310536929674411</v>
      </c>
      <c r="K99" s="1">
        <f ca="1">J99*('Updated Population'!K$92/'Updated Population'!J$92)</f>
        <v>13.538107814440862</v>
      </c>
    </row>
    <row r="100" spans="1:11" x14ac:dyDescent="0.2">
      <c r="A100" t="str">
        <f ca="1">OFFSET(Wellington_Reference,49,2)</f>
        <v>Local Bus</v>
      </c>
      <c r="B100" s="4">
        <f ca="1">OFFSET(Wellington_Reference,49,5)</f>
        <v>24.821335829999999</v>
      </c>
      <c r="C100" s="4">
        <f ca="1">OFFSET(Wellington_Reference,50,5)</f>
        <v>26.179189936</v>
      </c>
      <c r="D100" s="4">
        <f ca="1">OFFSET(Wellington_Reference,51,5)</f>
        <v>26.782264098999999</v>
      </c>
      <c r="E100" s="4">
        <f ca="1">OFFSET(Wellington_Reference,52,5)</f>
        <v>26.876840296000001</v>
      </c>
      <c r="F100" s="4">
        <f ca="1">OFFSET(Wellington_Reference,53,5)</f>
        <v>26.570308375</v>
      </c>
      <c r="G100" s="4">
        <f ca="1">OFFSET(Wellington_Reference,54,5)</f>
        <v>26.094585173999999</v>
      </c>
      <c r="H100" s="4">
        <f ca="1">OFFSET(Wellington_Reference,55,5)</f>
        <v>25.481608257000001</v>
      </c>
      <c r="I100" s="1">
        <f ca="1">H100*('Updated Population'!I$92/'Updated Population'!H$92)</f>
        <v>26.043532597859528</v>
      </c>
      <c r="J100" s="1">
        <f ca="1">I100*('Updated Population'!J$92/'Updated Population'!I$92)</f>
        <v>26.539403602816453</v>
      </c>
      <c r="K100" s="1">
        <f ca="1">J100*('Updated Population'!K$92/'Updated Population'!J$92)</f>
        <v>26.99314905207795</v>
      </c>
    </row>
    <row r="101" spans="1:11" x14ac:dyDescent="0.2">
      <c r="A101" t="str">
        <f ca="1">OFFSET(Wellington_Reference,56,2)</f>
        <v>Local Ferry</v>
      </c>
      <c r="B101" s="4">
        <f ca="1">OFFSET(Wellington_Reference,56,5)</f>
        <v>0.22615005399999999</v>
      </c>
      <c r="C101" s="4">
        <f ca="1">OFFSET(Wellington_Reference,57,5)</f>
        <v>0.2693852887</v>
      </c>
      <c r="D101" s="4">
        <f ca="1">OFFSET(Wellington_Reference,58,5)</f>
        <v>0.29641218809999997</v>
      </c>
      <c r="E101" s="4">
        <f ca="1">OFFSET(Wellington_Reference,59,5)</f>
        <v>0.32699941999999999</v>
      </c>
      <c r="F101" s="4">
        <f ca="1">OFFSET(Wellington_Reference,60,5)</f>
        <v>0.36098686619999998</v>
      </c>
      <c r="G101" s="4">
        <f ca="1">OFFSET(Wellington_Reference,61,5)</f>
        <v>0.40539583470000001</v>
      </c>
      <c r="H101" s="4">
        <f ca="1">OFFSET(Wellington_Reference,62,5)</f>
        <v>0.45331101419999997</v>
      </c>
      <c r="I101" s="1">
        <f ca="1">H101*('Updated Population'!I$92/'Updated Population'!H$92)</f>
        <v>0.46330749834219387</v>
      </c>
      <c r="J101" s="1">
        <f ca="1">I101*('Updated Population'!J$92/'Updated Population'!I$92)</f>
        <v>0.47212891125704187</v>
      </c>
      <c r="K101" s="1">
        <f ca="1">J101*('Updated Population'!K$92/'Updated Population'!J$92)</f>
        <v>0.48020092177218898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OFFSET(Wellington_Reference,63,5)</f>
        <v>0.33422365529999998</v>
      </c>
      <c r="C102" s="4">
        <f ca="1">OFFSET(Wellington_Reference,64,5)</f>
        <v>0.34319833830000002</v>
      </c>
      <c r="D102" s="4">
        <f ca="1">OFFSET(Wellington_Reference,65,5)</f>
        <v>0.35251805139999998</v>
      </c>
      <c r="E102" s="4">
        <f ca="1">OFFSET(Wellington_Reference,66,5)</f>
        <v>0.3550117928</v>
      </c>
      <c r="F102" s="4">
        <f ca="1">OFFSET(Wellington_Reference,67,5)</f>
        <v>0.34639727580000002</v>
      </c>
      <c r="G102" s="4">
        <f ca="1">OFFSET(Wellington_Reference,68,5)</f>
        <v>0.34124100730000001</v>
      </c>
      <c r="H102" s="4">
        <f ca="1">OFFSET(Wellington_Reference,69,5)</f>
        <v>0.332944721</v>
      </c>
      <c r="I102" s="1">
        <f ca="1">H102*('Updated Population'!I$92/'Updated Population'!H$92)</f>
        <v>0.34028686914872169</v>
      </c>
      <c r="J102" s="1">
        <f ca="1">I102*('Updated Population'!J$92/'Updated Population'!I$92)</f>
        <v>0.34676595915482522</v>
      </c>
      <c r="K102" s="1">
        <f ca="1">J102*('Updated Population'!K$92/'Updated Population'!J$92)</f>
        <v>0.35269463329837686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OFFSET(Nelson_Reference,0,5)</f>
        <v>34.609993433</v>
      </c>
      <c r="C104" s="4">
        <f ca="1">OFFSET(Nelson_Reference,1,5)</f>
        <v>35.417205852000002</v>
      </c>
      <c r="D104" s="4">
        <f ca="1">OFFSET(Nelson_Reference,2,5)</f>
        <v>36.125477848999999</v>
      </c>
      <c r="E104" s="4">
        <f ca="1">OFFSET(Nelson_Reference,3,5)</f>
        <v>36.938436973000002</v>
      </c>
      <c r="F104" s="4">
        <f ca="1">OFFSET(Nelson_Reference,4,5)</f>
        <v>36.855874675999999</v>
      </c>
      <c r="G104" s="4">
        <f ca="1">OFFSET(Nelson_Reference,5,5)</f>
        <v>36.301007390999999</v>
      </c>
      <c r="H104" s="4">
        <f ca="1">OFFSET(Nelson_Reference,6,5)</f>
        <v>35.566414233000003</v>
      </c>
      <c r="I104" s="1">
        <f ca="1">H104*('Updated Population'!I$103/'Updated Population'!H$103)</f>
        <v>35.512268417496379</v>
      </c>
      <c r="J104" s="1">
        <f ca="1">I104*('Updated Population'!J$103/'Updated Population'!I$103)</f>
        <v>35.347004179034677</v>
      </c>
      <c r="K104" s="1">
        <f ca="1">J104*('Updated Population'!K$103/'Updated Population'!J$103)</f>
        <v>35.108558820748804</v>
      </c>
    </row>
    <row r="105" spans="1:11" x14ac:dyDescent="0.2">
      <c r="A105" t="str">
        <f ca="1">OFFSET(Nelson_Reference,7,2)</f>
        <v>Cyclist</v>
      </c>
      <c r="B105" s="4">
        <f ca="1">OFFSET(Nelson_Reference,7,5)</f>
        <v>2.9519642961999999</v>
      </c>
      <c r="C105" s="4">
        <f ca="1">OFFSET(Nelson_Reference,8,5)</f>
        <v>2.899887842</v>
      </c>
      <c r="D105" s="4">
        <f ca="1">OFFSET(Nelson_Reference,9,5)</f>
        <v>2.9017100856</v>
      </c>
      <c r="E105" s="4">
        <f ca="1">OFFSET(Nelson_Reference,10,5)</f>
        <v>2.9721542998000001</v>
      </c>
      <c r="F105" s="4">
        <f ca="1">OFFSET(Nelson_Reference,11,5)</f>
        <v>3.0230506895999998</v>
      </c>
      <c r="G105" s="4">
        <f ca="1">OFFSET(Nelson_Reference,12,5)</f>
        <v>3.0543656516</v>
      </c>
      <c r="H105" s="4">
        <f ca="1">OFFSET(Nelson_Reference,13,5)</f>
        <v>3.0687337319000001</v>
      </c>
      <c r="I105" s="1">
        <f ca="1">H105*('Updated Population'!I$103/'Updated Population'!H$103)</f>
        <v>3.0640619342487474</v>
      </c>
      <c r="J105" s="1">
        <f ca="1">I105*('Updated Population'!J$103/'Updated Population'!I$103)</f>
        <v>3.0498026406375955</v>
      </c>
      <c r="K105" s="1">
        <f ca="1">J105*('Updated Population'!K$103/'Updated Population'!J$103)</f>
        <v>3.0292291493265733</v>
      </c>
    </row>
    <row r="106" spans="1:11" x14ac:dyDescent="0.2">
      <c r="A106" t="str">
        <f ca="1">OFFSET(Nelson_Reference,14,2)</f>
        <v>Light Vehicle Driver</v>
      </c>
      <c r="B106" s="4">
        <f ca="1">OFFSET(Nelson_Reference,14,5)</f>
        <v>98.206986838999995</v>
      </c>
      <c r="C106" s="4">
        <f ca="1">OFFSET(Nelson_Reference,15,5)</f>
        <v>100.85199734</v>
      </c>
      <c r="D106" s="4">
        <f ca="1">OFFSET(Nelson_Reference,16,5)</f>
        <v>101.80137316</v>
      </c>
      <c r="E106" s="4">
        <f ca="1">OFFSET(Nelson_Reference,17,5)</f>
        <v>103.15834776</v>
      </c>
      <c r="F106" s="4">
        <f ca="1">OFFSET(Nelson_Reference,18,5)</f>
        <v>104.20023347</v>
      </c>
      <c r="G106" s="4">
        <f ca="1">OFFSET(Nelson_Reference,19,5)</f>
        <v>104.06778276999999</v>
      </c>
      <c r="H106" s="4">
        <f ca="1">OFFSET(Nelson_Reference,20,5)</f>
        <v>103.56117506</v>
      </c>
      <c r="I106" s="1">
        <f ca="1">H106*('Updated Population'!I$103/'Updated Population'!H$103)</f>
        <v>103.40351496411846</v>
      </c>
      <c r="J106" s="1">
        <f ca="1">I106*('Updated Population'!J$103/'Updated Population'!I$103)</f>
        <v>102.92230371188573</v>
      </c>
      <c r="K106" s="1">
        <f ca="1">J106*('Updated Population'!K$103/'Updated Population'!J$103)</f>
        <v>102.22800595867631</v>
      </c>
    </row>
    <row r="107" spans="1:11" x14ac:dyDescent="0.2">
      <c r="A107" t="str">
        <f ca="1">OFFSET(Nelson_Reference,21,2)</f>
        <v>Light Vehicle Passenger</v>
      </c>
      <c r="B107" s="4">
        <f ca="1">OFFSET(Nelson_Reference,21,5)</f>
        <v>45.895773310999999</v>
      </c>
      <c r="C107" s="4">
        <f ca="1">OFFSET(Nelson_Reference,22,5)</f>
        <v>44.975609468999998</v>
      </c>
      <c r="D107" s="4">
        <f ca="1">OFFSET(Nelson_Reference,23,5)</f>
        <v>43.924492178000001</v>
      </c>
      <c r="E107" s="4">
        <f ca="1">OFFSET(Nelson_Reference,24,5)</f>
        <v>43.217137411000003</v>
      </c>
      <c r="F107" s="4">
        <f ca="1">OFFSET(Nelson_Reference,25,5)</f>
        <v>41.986550393000002</v>
      </c>
      <c r="G107" s="4">
        <f ca="1">OFFSET(Nelson_Reference,26,5)</f>
        <v>40.622687116000002</v>
      </c>
      <c r="H107" s="4">
        <f ca="1">OFFSET(Nelson_Reference,27,5)</f>
        <v>39.164240757000002</v>
      </c>
      <c r="I107" s="1">
        <f ca="1">H107*('Updated Population'!I$103/'Updated Population'!H$103)</f>
        <v>39.104617660320194</v>
      </c>
      <c r="J107" s="1">
        <f ca="1">I107*('Updated Population'!J$103/'Updated Population'!I$103)</f>
        <v>38.922635625773935</v>
      </c>
      <c r="K107" s="1">
        <f ca="1">J107*('Updated Population'!K$103/'Updated Population'!J$103)</f>
        <v>38.660069617344774</v>
      </c>
    </row>
    <row r="108" spans="1:11" x14ac:dyDescent="0.2">
      <c r="A108" t="str">
        <f ca="1">OFFSET(Nelson_Reference,28,2)</f>
        <v>Taxi/Vehicle Share</v>
      </c>
      <c r="B108" s="4">
        <f ca="1">OFFSET(Nelson_Reference,28,5)</f>
        <v>0.40359339709999997</v>
      </c>
      <c r="C108" s="4">
        <f ca="1">OFFSET(Nelson_Reference,29,5)</f>
        <v>0.47948403890000002</v>
      </c>
      <c r="D108" s="4">
        <f ca="1">OFFSET(Nelson_Reference,30,5)</f>
        <v>0.55006913390000001</v>
      </c>
      <c r="E108" s="4">
        <f ca="1">OFFSET(Nelson_Reference,31,5)</f>
        <v>0.58926759319999999</v>
      </c>
      <c r="F108" s="4">
        <f ca="1">OFFSET(Nelson_Reference,32,5)</f>
        <v>0.60919546950000003</v>
      </c>
      <c r="G108" s="4">
        <f ca="1">OFFSET(Nelson_Reference,33,5)</f>
        <v>0.60860721439999999</v>
      </c>
      <c r="H108" s="4">
        <f ca="1">OFFSET(Nelson_Reference,34,5)</f>
        <v>0.60587248680000005</v>
      </c>
      <c r="I108" s="1">
        <f ca="1">H108*('Updated Population'!I$103/'Updated Population'!H$103)</f>
        <v>0.60495011493326978</v>
      </c>
      <c r="J108" s="1">
        <f ca="1">I108*('Updated Population'!J$103/'Updated Population'!I$103)</f>
        <v>0.60213484504185077</v>
      </c>
      <c r="K108" s="1">
        <f ca="1">J108*('Updated Population'!K$103/'Updated Population'!J$103)</f>
        <v>0.59807293761300084</v>
      </c>
    </row>
    <row r="109" spans="1:11" x14ac:dyDescent="0.2">
      <c r="A109" t="str">
        <f ca="1">OFFSET(Nelson_Reference,35,2)</f>
        <v>Motorcyclist</v>
      </c>
      <c r="B109" s="4">
        <f ca="1">OFFSET(Nelson_Reference,35,5)</f>
        <v>1.5095151791999999</v>
      </c>
      <c r="C109" s="4">
        <f ca="1">OFFSET(Nelson_Reference,36,5)</f>
        <v>1.5308880861</v>
      </c>
      <c r="D109" s="4">
        <f ca="1">OFFSET(Nelson_Reference,37,5)</f>
        <v>1.5529730632000001</v>
      </c>
      <c r="E109" s="4">
        <f ca="1">OFFSET(Nelson_Reference,38,5)</f>
        <v>1.5774128507</v>
      </c>
      <c r="F109" s="4">
        <f ca="1">OFFSET(Nelson_Reference,39,5)</f>
        <v>1.5802688671</v>
      </c>
      <c r="G109" s="4">
        <f ca="1">OFFSET(Nelson_Reference,40,5)</f>
        <v>1.5438310108</v>
      </c>
      <c r="H109" s="4">
        <f ca="1">OFFSET(Nelson_Reference,41,5)</f>
        <v>1.5019508497</v>
      </c>
      <c r="I109" s="1">
        <f ca="1">H109*('Updated Population'!I$103/'Updated Population'!H$103)</f>
        <v>1.4996643005677033</v>
      </c>
      <c r="J109" s="1">
        <f ca="1">I109*('Updated Population'!J$103/'Updated Population'!I$103)</f>
        <v>1.4926852792427965</v>
      </c>
      <c r="K109" s="1">
        <f ca="1">J109*('Updated Population'!K$103/'Updated Population'!J$103)</f>
        <v>1.4826158579584827</v>
      </c>
    </row>
    <row r="110" spans="1:11" x14ac:dyDescent="0.2">
      <c r="A110" t="str">
        <f ca="1">OFFSET(Nelson_Reference,42,2)</f>
        <v>Local Train</v>
      </c>
      <c r="B110" s="4">
        <f ca="1">OFFSET(Nelson_Reference,42,5)</f>
        <v>0.1284956481</v>
      </c>
      <c r="C110" s="4">
        <f ca="1">OFFSET(Nelson_Reference,43,5)</f>
        <v>0.1133521098</v>
      </c>
      <c r="D110" s="4">
        <f ca="1">OFFSET(Nelson_Reference,44,5)</f>
        <v>9.4041816E-2</v>
      </c>
      <c r="E110" s="4">
        <f ca="1">OFFSET(Nelson_Reference,45,5)</f>
        <v>7.0618227500000005E-2</v>
      </c>
      <c r="F110" s="4">
        <f ca="1">OFFSET(Nelson_Reference,46,5)</f>
        <v>5.7641887699999998E-2</v>
      </c>
      <c r="G110" s="4">
        <f ca="1">OFFSET(Nelson_Reference,47,5)</f>
        <v>5.1077075100000001E-2</v>
      </c>
      <c r="H110" s="4">
        <f ca="1">OFFSET(Nelson_Reference,48,5)</f>
        <v>4.2661587799999998E-2</v>
      </c>
      <c r="I110" s="1">
        <f ca="1">H110*('Updated Population'!I$103/'Updated Population'!H$103)</f>
        <v>4.2596640390711621E-2</v>
      </c>
      <c r="J110" s="1">
        <f ca="1">I110*('Updated Population'!J$103/'Updated Population'!I$103)</f>
        <v>4.2398407451817478E-2</v>
      </c>
      <c r="K110" s="1">
        <f ca="1">J110*('Updated Population'!K$103/'Updated Population'!J$103)</f>
        <v>4.2112394430617921E-2</v>
      </c>
    </row>
    <row r="111" spans="1:11" x14ac:dyDescent="0.2">
      <c r="A111" t="str">
        <f ca="1">OFFSET(Nelson_Reference,49,2)</f>
        <v>Local Bus</v>
      </c>
      <c r="B111" s="4">
        <f ca="1">OFFSET(Nelson_Reference,49,5)</f>
        <v>2.0764681202999999</v>
      </c>
      <c r="C111" s="4">
        <f ca="1">OFFSET(Nelson_Reference,50,5)</f>
        <v>1.9491512949000001</v>
      </c>
      <c r="D111" s="4">
        <f ca="1">OFFSET(Nelson_Reference,51,5)</f>
        <v>1.8651711896000001</v>
      </c>
      <c r="E111" s="4">
        <f ca="1">OFFSET(Nelson_Reference,52,5)</f>
        <v>1.8692177774000001</v>
      </c>
      <c r="F111" s="4">
        <f ca="1">OFFSET(Nelson_Reference,53,5)</f>
        <v>1.7683856563</v>
      </c>
      <c r="G111" s="4">
        <f ca="1">OFFSET(Nelson_Reference,54,5)</f>
        <v>1.7784687819</v>
      </c>
      <c r="H111" s="4">
        <f ca="1">OFFSET(Nelson_Reference,55,5)</f>
        <v>1.7853130344000001</v>
      </c>
      <c r="I111" s="1">
        <f ca="1">H111*('Updated Population'!I$103/'Updated Population'!H$103)</f>
        <v>1.7825950986096906</v>
      </c>
      <c r="J111" s="1">
        <f ca="1">I111*('Updated Population'!J$103/'Updated Population'!I$103)</f>
        <v>1.7742993958966486</v>
      </c>
      <c r="K111" s="1">
        <f ca="1">J111*('Updated Population'!K$103/'Updated Population'!J$103)</f>
        <v>1.7623302498547919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OFFSET(Nelson_Reference,56,5)</f>
        <v>1.495105957</v>
      </c>
      <c r="C113" s="4">
        <f ca="1">OFFSET(Nelson_Reference,57,5)</f>
        <v>1.4836446249999999</v>
      </c>
      <c r="D113" s="4">
        <f ca="1">OFFSET(Nelson_Reference,58,5)</f>
        <v>1.4762339579999999</v>
      </c>
      <c r="E113" s="4">
        <f ca="1">OFFSET(Nelson_Reference,59,5)</f>
        <v>1.5116137337</v>
      </c>
      <c r="F113" s="4">
        <f ca="1">OFFSET(Nelson_Reference,60,5)</f>
        <v>1.5292284249999999</v>
      </c>
      <c r="G113" s="4">
        <f ca="1">OFFSET(Nelson_Reference,61,5)</f>
        <v>1.5746490319999999</v>
      </c>
      <c r="H113" s="4">
        <f ca="1">OFFSET(Nelson_Reference,62,5)</f>
        <v>1.6025694894</v>
      </c>
      <c r="I113" s="1">
        <f ca="1">H113*('Updated Population'!I$103/'Updated Population'!H$103)</f>
        <v>1.6001297598468227</v>
      </c>
      <c r="J113" s="1">
        <f ca="1">I113*('Updated Population'!J$103/'Updated Population'!I$103)</f>
        <v>1.5926832001651916</v>
      </c>
      <c r="K113" s="1">
        <f ca="1">J113*('Updated Population'!K$103/'Updated Population'!J$103)</f>
        <v>1.5819392085562922</v>
      </c>
    </row>
    <row r="114" spans="1:11" x14ac:dyDescent="0.2">
      <c r="A114" t="str">
        <f ca="1">OFFSET(West_Coast_Reference,0,0)</f>
        <v>12 WEST COAST</v>
      </c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OFFSET(West_Coast_Reference,0,5)</f>
        <v>5.2699511529</v>
      </c>
      <c r="C115" s="4">
        <f ca="1">OFFSET(West_Coast_Reference,1,5)</f>
        <v>4.8943282333000004</v>
      </c>
      <c r="D115" s="4">
        <f ca="1">OFFSET(West_Coast_Reference,2,5)</f>
        <v>4.4216647938999998</v>
      </c>
      <c r="E115" s="4">
        <f ca="1">OFFSET(West_Coast_Reference,3,5)</f>
        <v>4.0859453572</v>
      </c>
      <c r="F115" s="4">
        <f ca="1">OFFSET(West_Coast_Reference,4,5)</f>
        <v>3.7473082486</v>
      </c>
      <c r="G115" s="4">
        <f ca="1">OFFSET(West_Coast_Reference,5,5)</f>
        <v>3.4235998214999999</v>
      </c>
      <c r="H115" s="4">
        <f ca="1">OFFSET(West_Coast_Reference,6,5)</f>
        <v>3.1523518716000001</v>
      </c>
      <c r="I115" s="1">
        <f ca="1">H115*('Updated Population'!I$114/'Updated Population'!H$114)</f>
        <v>3.0712815491801773</v>
      </c>
      <c r="J115" s="1">
        <f ca="1">I115*('Updated Population'!J$114/'Updated Population'!I$114)</f>
        <v>2.9827711511839698</v>
      </c>
      <c r="K115" s="1">
        <f ca="1">J115*('Updated Population'!K$114/'Updated Population'!J$114)</f>
        <v>2.8905860743995051</v>
      </c>
    </row>
    <row r="116" spans="1:11" x14ac:dyDescent="0.2">
      <c r="A116" t="str">
        <f ca="1">OFFSET(West_Coast_Reference,7,2)</f>
        <v>Cyclist</v>
      </c>
      <c r="B116" s="4">
        <f ca="1">OFFSET(West_Coast_Reference,7,5)</f>
        <v>0.73381292249999996</v>
      </c>
      <c r="C116" s="4">
        <f ca="1">OFFSET(West_Coast_Reference,8,5)</f>
        <v>0.70428411810000002</v>
      </c>
      <c r="D116" s="4">
        <f ca="1">OFFSET(West_Coast_Reference,9,5)</f>
        <v>0.65566444040000005</v>
      </c>
      <c r="E116" s="4">
        <f ca="1">OFFSET(West_Coast_Reference,10,5)</f>
        <v>0.63023049590000002</v>
      </c>
      <c r="F116" s="4">
        <f ca="1">OFFSET(West_Coast_Reference,11,5)</f>
        <v>0.58165887869999999</v>
      </c>
      <c r="G116" s="4">
        <f ca="1">OFFSET(West_Coast_Reference,12,5)</f>
        <v>0.54209310730000004</v>
      </c>
      <c r="H116" s="4">
        <f ca="1">OFFSET(West_Coast_Reference,13,5)</f>
        <v>0.50161144749999997</v>
      </c>
      <c r="I116" s="1">
        <f ca="1">H116*('Updated Population'!I$114/'Updated Population'!H$114)</f>
        <v>0.48871130074142805</v>
      </c>
      <c r="J116" s="1">
        <f ca="1">I116*('Updated Population'!J$114/'Updated Population'!I$114)</f>
        <v>0.4746272674018554</v>
      </c>
      <c r="K116" s="1">
        <f ca="1">J116*('Updated Population'!K$114/'Updated Population'!J$114)</f>
        <v>0.45995850842848485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OFFSET(West_Coast_Reference,14,5)</f>
        <v>21.329902885999999</v>
      </c>
      <c r="C117" s="4">
        <f ca="1">OFFSET(West_Coast_Reference,15,5)</f>
        <v>20.954539773</v>
      </c>
      <c r="D117" s="4">
        <f ca="1">OFFSET(West_Coast_Reference,16,5)</f>
        <v>19.753033838</v>
      </c>
      <c r="E117" s="4">
        <f ca="1">OFFSET(West_Coast_Reference,17,5)</f>
        <v>19.188888132999999</v>
      </c>
      <c r="F117" s="4">
        <f ca="1">OFFSET(West_Coast_Reference,18,5)</f>
        <v>18.304312616000001</v>
      </c>
      <c r="G117" s="4">
        <f ca="1">OFFSET(West_Coast_Reference,19,5)</f>
        <v>17.691445587</v>
      </c>
      <c r="H117" s="4">
        <f ca="1">OFFSET(West_Coast_Reference,20,5)</f>
        <v>17.055347537999999</v>
      </c>
      <c r="I117" s="1">
        <f ca="1">H117*('Updated Population'!I$114/'Updated Population'!H$114)</f>
        <v>16.616728189587604</v>
      </c>
      <c r="J117" s="1">
        <f ca="1">I117*('Updated Population'!J$114/'Updated Population'!I$114)</f>
        <v>16.137855379685892</v>
      </c>
      <c r="K117" s="1">
        <f ca="1">J117*('Updated Population'!K$114/'Updated Population'!J$114)</f>
        <v>15.639101247401079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OFFSET(West_Coast_Reference,21,5)</f>
        <v>11.090105214999999</v>
      </c>
      <c r="C118" s="4">
        <f ca="1">OFFSET(West_Coast_Reference,22,5)</f>
        <v>10.30028517</v>
      </c>
      <c r="D118" s="4">
        <f ca="1">OFFSET(West_Coast_Reference,23,5)</f>
        <v>9.3821023617999995</v>
      </c>
      <c r="E118" s="4">
        <f ca="1">OFFSET(West_Coast_Reference,24,5)</f>
        <v>8.8940935052000007</v>
      </c>
      <c r="F118" s="4">
        <f ca="1">OFFSET(West_Coast_Reference,25,5)</f>
        <v>8.2298862636999992</v>
      </c>
      <c r="G118" s="4">
        <f ca="1">OFFSET(West_Coast_Reference,26,5)</f>
        <v>7.5298716420999998</v>
      </c>
      <c r="H118" s="4">
        <f ca="1">OFFSET(West_Coast_Reference,27,5)</f>
        <v>6.8519483857000001</v>
      </c>
      <c r="I118" s="1">
        <f ca="1">H118*('Updated Population'!I$114/'Updated Population'!H$114)</f>
        <v>6.6757340265616154</v>
      </c>
      <c r="J118" s="1">
        <f ca="1">I118*('Updated Population'!J$114/'Updated Population'!I$114)</f>
        <v>6.4833479277470945</v>
      </c>
      <c r="K118" s="1">
        <f ca="1">J118*('Updated Population'!K$114/'Updated Population'!J$114)</f>
        <v>6.2829745513643545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OFFSET(West_Coast_Reference,28,5)</f>
        <v>0.29973375209999997</v>
      </c>
      <c r="C119" s="4">
        <f ca="1">OFFSET(West_Coast_Reference,29,5)</f>
        <v>0.34711674619999999</v>
      </c>
      <c r="D119" s="4">
        <f ca="1">OFFSET(West_Coast_Reference,30,5)</f>
        <v>0.37331669249999999</v>
      </c>
      <c r="E119" s="4">
        <f ca="1">OFFSET(West_Coast_Reference,31,5)</f>
        <v>0.37153244060000001</v>
      </c>
      <c r="F119" s="4">
        <f ca="1">OFFSET(West_Coast_Reference,32,5)</f>
        <v>0.35125138389999999</v>
      </c>
      <c r="G119" s="4">
        <f ca="1">OFFSET(West_Coast_Reference,33,5)</f>
        <v>0.33502515919999998</v>
      </c>
      <c r="H119" s="4">
        <f ca="1">OFFSET(West_Coast_Reference,34,5)</f>
        <v>0.31557281549999999</v>
      </c>
      <c r="I119" s="1">
        <f ca="1">H119*('Updated Population'!I$114/'Updated Population'!H$114)</f>
        <v>0.30745710033190515</v>
      </c>
      <c r="J119" s="1">
        <f ca="1">I119*('Updated Population'!J$114/'Updated Population'!I$114)</f>
        <v>0.29859658074704298</v>
      </c>
      <c r="K119" s="1">
        <f ca="1">J119*('Updated Population'!K$114/'Updated Population'!J$114)</f>
        <v>0.28936819971190436</v>
      </c>
    </row>
    <row r="120" spans="1:11" x14ac:dyDescent="0.2">
      <c r="A120" t="str">
        <f ca="1">OFFSET(West_Coast_Reference,35,2)</f>
        <v>Motorcyclist</v>
      </c>
      <c r="B120" s="4">
        <f ca="1">OFFSET(West_Coast_Reference,35,5)</f>
        <v>6.1723256599999998E-2</v>
      </c>
      <c r="C120" s="4">
        <f ca="1">OFFSET(West_Coast_Reference,36,5)</f>
        <v>6.9642489899999993E-2</v>
      </c>
      <c r="D120" s="4">
        <f ca="1">OFFSET(West_Coast_Reference,37,5)</f>
        <v>7.3814775900000004E-2</v>
      </c>
      <c r="E120" s="4">
        <f ca="1">OFFSET(West_Coast_Reference,38,5)</f>
        <v>8.0300450699999998E-2</v>
      </c>
      <c r="F120" s="4">
        <f ca="1">OFFSET(West_Coast_Reference,39,5)</f>
        <v>8.6940249499999997E-2</v>
      </c>
      <c r="G120" s="4">
        <f ca="1">OFFSET(West_Coast_Reference,40,5)</f>
        <v>9.6622111799999993E-2</v>
      </c>
      <c r="H120" s="4">
        <f ca="1">OFFSET(West_Coast_Reference,41,5)</f>
        <v>0.1033869503</v>
      </c>
      <c r="I120" s="1">
        <f ca="1">H120*('Updated Population'!I$114/'Updated Population'!H$114)</f>
        <v>0.1007281058130205</v>
      </c>
      <c r="J120" s="1">
        <f ca="1">I120*('Updated Population'!J$114/'Updated Population'!I$114)</f>
        <v>9.7825250899802152E-2</v>
      </c>
      <c r="K120" s="1">
        <f ca="1">J120*('Updated Population'!K$114/'Updated Population'!J$114)</f>
        <v>9.4801878402023296E-2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OFFSET(West_Coast_Reference,42,5)</f>
        <v>0.50805546800000001</v>
      </c>
      <c r="C122" s="4">
        <f ca="1">OFFSET(West_Coast_Reference,43,5)</f>
        <v>0.47778818760000002</v>
      </c>
      <c r="D122" s="4">
        <f ca="1">OFFSET(West_Coast_Reference,44,5)</f>
        <v>0.42989875929999999</v>
      </c>
      <c r="E122" s="4">
        <f ca="1">OFFSET(West_Coast_Reference,45,5)</f>
        <v>0.40915025300000002</v>
      </c>
      <c r="F122" s="4">
        <f ca="1">OFFSET(West_Coast_Reference,46,5)</f>
        <v>0.3786649554</v>
      </c>
      <c r="G122" s="4">
        <f ca="1">OFFSET(West_Coast_Reference,47,5)</f>
        <v>0.34366325809999998</v>
      </c>
      <c r="H122" s="4">
        <f ca="1">OFFSET(West_Coast_Reference,48,5)</f>
        <v>0.31009693379999997</v>
      </c>
      <c r="I122" s="1">
        <f ca="1">H122*('Updated Population'!I$114/'Updated Population'!H$114)</f>
        <v>0.30212204412126481</v>
      </c>
      <c r="J122" s="1">
        <f ca="1">I122*('Updated Population'!J$114/'Updated Population'!I$114)</f>
        <v>0.29341527401881723</v>
      </c>
      <c r="K122" s="1">
        <f ca="1">J122*('Updated Population'!K$114/'Updated Population'!J$114)</f>
        <v>0.28434702567049092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OFFSET(West_Coast_Reference,49,5)</f>
        <v>2.77012627E-2</v>
      </c>
      <c r="C124" s="4">
        <f ca="1">OFFSET(West_Coast_Reference,50,5)</f>
        <v>2.7018696500000002E-2</v>
      </c>
      <c r="D124" s="4">
        <f ca="1">OFFSET(West_Coast_Reference,51,5)</f>
        <v>2.5029177400000002E-2</v>
      </c>
      <c r="E124" s="4">
        <f ca="1">OFFSET(West_Coast_Reference,52,5)</f>
        <v>2.1817237E-2</v>
      </c>
      <c r="F124" s="4">
        <f ca="1">OFFSET(West_Coast_Reference,53,5)</f>
        <v>1.96833896E-2</v>
      </c>
      <c r="G124" s="4">
        <f ca="1">OFFSET(West_Coast_Reference,54,5)</f>
        <v>1.9401635300000001E-2</v>
      </c>
      <c r="H124" s="4">
        <f ca="1">OFFSET(West_Coast_Reference,55,5)</f>
        <v>1.89575573E-2</v>
      </c>
      <c r="I124" s="1">
        <f ca="1">H124*('Updated Population'!I$114/'Updated Population'!H$114)</f>
        <v>1.8470018045118788E-2</v>
      </c>
      <c r="J124" s="1">
        <f ca="1">I124*('Updated Population'!J$114/'Updated Population'!I$114)</f>
        <v>1.7937735796815315E-2</v>
      </c>
      <c r="K124" s="1">
        <f ca="1">J124*('Updated Population'!K$114/'Updated Population'!J$114)</f>
        <v>1.7383354830943196E-2</v>
      </c>
    </row>
    <row r="125" spans="1:11" x14ac:dyDescent="0.2">
      <c r="A125" t="str">
        <f ca="1">OFFSET(Canterbury_Reference,0,0)</f>
        <v>13 CANTERBURY</v>
      </c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OFFSET(Canterbury_Reference,0,5)</f>
        <v>131.04676542000001</v>
      </c>
      <c r="C126" s="4">
        <f ca="1">OFFSET(Canterbury_Reference,1,5)</f>
        <v>139.87883887000001</v>
      </c>
      <c r="D126" s="4">
        <f ca="1">OFFSET(Canterbury_Reference,2,5)</f>
        <v>144.34142899</v>
      </c>
      <c r="E126" s="4">
        <f ca="1">OFFSET(Canterbury_Reference,3,5)</f>
        <v>147.76217632999999</v>
      </c>
      <c r="F126" s="4">
        <f ca="1">OFFSET(Canterbury_Reference,4,5)</f>
        <v>149.1805209</v>
      </c>
      <c r="G126" s="4">
        <f ca="1">OFFSET(Canterbury_Reference,5,5)</f>
        <v>149.59627165000001</v>
      </c>
      <c r="H126" s="4">
        <f ca="1">OFFSET(Canterbury_Reference,6,5)</f>
        <v>149.49706968999999</v>
      </c>
      <c r="I126" s="1">
        <f ca="1">H126*('Updated Population'!I$125/'Updated Population'!H$125)</f>
        <v>154.54571636857244</v>
      </c>
      <c r="J126" s="1">
        <f ca="1">I126*('Updated Population'!J$125/'Updated Population'!I$125)</f>
        <v>159.26946951356405</v>
      </c>
      <c r="K126" s="1">
        <f ca="1">J126*('Updated Population'!K$125/'Updated Population'!J$125)</f>
        <v>163.798112859508</v>
      </c>
    </row>
    <row r="127" spans="1:11" x14ac:dyDescent="0.2">
      <c r="A127" t="str">
        <f ca="1">OFFSET(Canterbury_Reference,7,2)</f>
        <v>Cyclist</v>
      </c>
      <c r="B127" s="4">
        <f ca="1">OFFSET(Canterbury_Reference,7,5)</f>
        <v>23.740018446000001</v>
      </c>
      <c r="C127" s="4">
        <f ca="1">OFFSET(Canterbury_Reference,8,5)</f>
        <v>25.893010024999999</v>
      </c>
      <c r="D127" s="4">
        <f ca="1">OFFSET(Canterbury_Reference,9,5)</f>
        <v>26.289217967999999</v>
      </c>
      <c r="E127" s="4">
        <f ca="1">OFFSET(Canterbury_Reference,10,5)</f>
        <v>26.408966382999999</v>
      </c>
      <c r="F127" s="4">
        <f ca="1">OFFSET(Canterbury_Reference,11,5)</f>
        <v>26.601595309</v>
      </c>
      <c r="G127" s="4">
        <f ca="1">OFFSET(Canterbury_Reference,12,5)</f>
        <v>26.631394848999999</v>
      </c>
      <c r="H127" s="4">
        <f ca="1">OFFSET(Canterbury_Reference,13,5)</f>
        <v>26.676731629999999</v>
      </c>
      <c r="I127" s="1">
        <f ca="1">H127*('Updated Population'!I$125/'Updated Population'!H$125)</f>
        <v>27.577628168094332</v>
      </c>
      <c r="J127" s="1">
        <f ca="1">I127*('Updated Population'!J$125/'Updated Population'!I$125)</f>
        <v>28.420549672820915</v>
      </c>
      <c r="K127" s="1">
        <f ca="1">J127*('Updated Population'!K$125/'Updated Population'!J$125)</f>
        <v>29.228655165712816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OFFSET(Canterbury_Reference,14,5)</f>
        <v>417.41567177000002</v>
      </c>
      <c r="C128" s="4">
        <f ca="1">OFFSET(Canterbury_Reference,15,5)</f>
        <v>463.87602475</v>
      </c>
      <c r="D128" s="4">
        <f ca="1">OFFSET(Canterbury_Reference,16,5)</f>
        <v>490.26518828000002</v>
      </c>
      <c r="E128" s="4">
        <f ca="1">OFFSET(Canterbury_Reference,17,5)</f>
        <v>520.08521201999997</v>
      </c>
      <c r="F128" s="4">
        <f ca="1">OFFSET(Canterbury_Reference,18,5)</f>
        <v>547.62313423000001</v>
      </c>
      <c r="G128" s="4">
        <f ca="1">OFFSET(Canterbury_Reference,19,5)</f>
        <v>567.95692213999996</v>
      </c>
      <c r="H128" s="4">
        <f ca="1">OFFSET(Canterbury_Reference,20,5)</f>
        <v>585.82226996999998</v>
      </c>
      <c r="I128" s="1">
        <f ca="1">H128*('Updated Population'!I$125/'Updated Population'!H$125)</f>
        <v>605.60599993641858</v>
      </c>
      <c r="J128" s="1">
        <f ca="1">I128*('Updated Population'!J$125/'Updated Population'!I$125)</f>
        <v>624.1165954679243</v>
      </c>
      <c r="K128" s="1">
        <f ca="1">J128*('Updated Population'!K$125/'Updated Population'!J$125)</f>
        <v>641.86262975680165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OFFSET(Canterbury_Reference,21,5)</f>
        <v>189.77500577999999</v>
      </c>
      <c r="C129" s="4">
        <f ca="1">OFFSET(Canterbury_Reference,22,5)</f>
        <v>199.97188070999999</v>
      </c>
      <c r="D129" s="4">
        <f ca="1">OFFSET(Canterbury_Reference,23,5)</f>
        <v>204.73643799000001</v>
      </c>
      <c r="E129" s="4">
        <f ca="1">OFFSET(Canterbury_Reference,24,5)</f>
        <v>210.70979213000001</v>
      </c>
      <c r="F129" s="4">
        <f ca="1">OFFSET(Canterbury_Reference,25,5)</f>
        <v>215.77018469000001</v>
      </c>
      <c r="G129" s="4">
        <f ca="1">OFFSET(Canterbury_Reference,26,5)</f>
        <v>220.02265514000001</v>
      </c>
      <c r="H129" s="4">
        <f ca="1">OFFSET(Canterbury_Reference,27,5)</f>
        <v>223.07418838000001</v>
      </c>
      <c r="I129" s="1">
        <f ca="1">H129*('Updated Population'!I$125/'Updated Population'!H$125)</f>
        <v>230.60759865068485</v>
      </c>
      <c r="J129" s="1">
        <f ca="1">I129*('Updated Population'!J$125/'Updated Population'!I$125)</f>
        <v>237.65621439353217</v>
      </c>
      <c r="K129" s="1">
        <f ca="1">J129*('Updated Population'!K$125/'Updated Population'!J$125)</f>
        <v>244.41369426222627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OFFSET(Canterbury_Reference,28,5)</f>
        <v>2.2446435044999999</v>
      </c>
      <c r="C130" s="4">
        <f ca="1">OFFSET(Canterbury_Reference,29,5)</f>
        <v>2.4949027935000001</v>
      </c>
      <c r="D130" s="4">
        <f ca="1">OFFSET(Canterbury_Reference,30,5)</f>
        <v>2.6358787548999998</v>
      </c>
      <c r="E130" s="4">
        <f ca="1">OFFSET(Canterbury_Reference,31,5)</f>
        <v>2.7424498902000001</v>
      </c>
      <c r="F130" s="4">
        <f ca="1">OFFSET(Canterbury_Reference,32,5)</f>
        <v>2.8434977047999999</v>
      </c>
      <c r="G130" s="4">
        <f ca="1">OFFSET(Canterbury_Reference,33,5)</f>
        <v>2.8866748267000002</v>
      </c>
      <c r="H130" s="4">
        <f ca="1">OFFSET(Canterbury_Reference,34,5)</f>
        <v>2.9105754959999999</v>
      </c>
      <c r="I130" s="1">
        <f ca="1">H130*('Updated Population'!I$125/'Updated Population'!H$125)</f>
        <v>3.0088681738503786</v>
      </c>
      <c r="J130" s="1">
        <f ca="1">I130*('Updated Population'!J$125/'Updated Population'!I$125)</f>
        <v>3.1008354624499166</v>
      </c>
      <c r="K130" s="1">
        <f ca="1">J130*('Updated Population'!K$125/'Updated Population'!J$125)</f>
        <v>3.1890041361246597</v>
      </c>
    </row>
    <row r="131" spans="1:11" x14ac:dyDescent="0.2">
      <c r="A131" t="str">
        <f ca="1">OFFSET(Canterbury_Reference,35,2)</f>
        <v>Motorcyclist</v>
      </c>
      <c r="B131" s="4">
        <f ca="1">OFFSET(Canterbury_Reference,35,5)</f>
        <v>1.4451657518000001</v>
      </c>
      <c r="C131" s="4">
        <f ca="1">OFFSET(Canterbury_Reference,36,5)</f>
        <v>1.5876460542999999</v>
      </c>
      <c r="D131" s="4">
        <f ca="1">OFFSET(Canterbury_Reference,37,5)</f>
        <v>1.6202473163</v>
      </c>
      <c r="E131" s="4">
        <f ca="1">OFFSET(Canterbury_Reference,38,5)</f>
        <v>1.6510984685000001</v>
      </c>
      <c r="F131" s="4">
        <f ca="1">OFFSET(Canterbury_Reference,39,5)</f>
        <v>1.6912961432</v>
      </c>
      <c r="G131" s="4">
        <f ca="1">OFFSET(Canterbury_Reference,40,5)</f>
        <v>1.7704211917999999</v>
      </c>
      <c r="H131" s="4">
        <f ca="1">OFFSET(Canterbury_Reference,41,5)</f>
        <v>1.8397863753000001</v>
      </c>
      <c r="I131" s="1">
        <f ca="1">H131*('Updated Population'!I$125/'Updated Population'!H$125)</f>
        <v>1.9019175688558461</v>
      </c>
      <c r="J131" s="1">
        <f ca="1">I131*('Updated Population'!J$125/'Updated Population'!I$125)</f>
        <v>1.9600504586473133</v>
      </c>
      <c r="K131" s="1">
        <f ca="1">J131*('Updated Population'!K$125/'Updated Population'!J$125)</f>
        <v>2.0157822287999827</v>
      </c>
    </row>
    <row r="132" spans="1:11" x14ac:dyDescent="0.2">
      <c r="A132" t="str">
        <f ca="1">OFFSET(Canterbury_Reference,42,2)</f>
        <v>Local Train</v>
      </c>
      <c r="B132" s="4">
        <f ca="1">OFFSET(Canterbury_Reference,42,5)</f>
        <v>2.1901243099999999E-2</v>
      </c>
      <c r="C132" s="4">
        <f ca="1">OFFSET(Canterbury_Reference,43,5)</f>
        <v>2.25451279E-2</v>
      </c>
      <c r="D132" s="4">
        <f ca="1">OFFSET(Canterbury_Reference,44,5)</f>
        <v>1.9279195900000001E-2</v>
      </c>
      <c r="E132" s="4">
        <f ca="1">OFFSET(Canterbury_Reference,45,5)</f>
        <v>1.79855854E-2</v>
      </c>
      <c r="F132" s="4">
        <f ca="1">OFFSET(Canterbury_Reference,46,5)</f>
        <v>1.7138687699999999E-2</v>
      </c>
      <c r="G132" s="4">
        <f ca="1">OFFSET(Canterbury_Reference,47,5)</f>
        <v>1.45208987E-2</v>
      </c>
      <c r="H132" s="4">
        <f ca="1">OFFSET(Canterbury_Reference,48,5)</f>
        <v>1.2069111400000001E-2</v>
      </c>
      <c r="I132" s="1">
        <f ca="1">H132*('Updated Population'!I$125/'Updated Population'!H$125)</f>
        <v>1.247669583833904E-2</v>
      </c>
      <c r="J132" s="1">
        <f ca="1">I132*('Updated Population'!J$125/'Updated Population'!I$125)</f>
        <v>1.2858051158889631E-2</v>
      </c>
      <c r="K132" s="1">
        <f ca="1">J132*('Updated Population'!K$125/'Updated Population'!J$125)</f>
        <v>1.3223654987422215E-2</v>
      </c>
    </row>
    <row r="133" spans="1:11" x14ac:dyDescent="0.2">
      <c r="A133" t="str">
        <f ca="1">OFFSET(Canterbury_Reference,49,2)</f>
        <v>Local Bus</v>
      </c>
      <c r="B133" s="4">
        <f ca="1">OFFSET(Canterbury_Reference,49,5)</f>
        <v>20.502079716000001</v>
      </c>
      <c r="C133" s="4">
        <f ca="1">OFFSET(Canterbury_Reference,50,5)</f>
        <v>20.976049086</v>
      </c>
      <c r="D133" s="4">
        <f ca="1">OFFSET(Canterbury_Reference,51,5)</f>
        <v>20.901951312000001</v>
      </c>
      <c r="E133" s="4">
        <f ca="1">OFFSET(Canterbury_Reference,52,5)</f>
        <v>20.780114531999999</v>
      </c>
      <c r="F133" s="4">
        <f ca="1">OFFSET(Canterbury_Reference,53,5)</f>
        <v>20.189459515999999</v>
      </c>
      <c r="G133" s="4">
        <f ca="1">OFFSET(Canterbury_Reference,54,5)</f>
        <v>19.612895277</v>
      </c>
      <c r="H133" s="4">
        <f ca="1">OFFSET(Canterbury_Reference,55,5)</f>
        <v>18.968578354999998</v>
      </c>
      <c r="I133" s="1">
        <f ca="1">H133*('Updated Population'!I$125/'Updated Population'!H$125)</f>
        <v>19.609163821375986</v>
      </c>
      <c r="J133" s="1">
        <f ca="1">I133*('Updated Population'!J$125/'Updated Population'!I$125)</f>
        <v>20.20852594831435</v>
      </c>
      <c r="K133" s="1">
        <f ca="1">J133*('Updated Population'!K$125/'Updated Population'!J$125)</f>
        <v>20.783132034758154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OFFSET(Canterbury_Reference,56,5)</f>
        <v>1.5386198845000001</v>
      </c>
      <c r="C135" s="4">
        <f ca="1">OFFSET(Canterbury_Reference,57,5)</f>
        <v>1.7127917105999999</v>
      </c>
      <c r="D135" s="4">
        <f ca="1">OFFSET(Canterbury_Reference,58,5)</f>
        <v>1.9060203254999999</v>
      </c>
      <c r="E135" s="4">
        <f ca="1">OFFSET(Canterbury_Reference,59,5)</f>
        <v>2.0824128461</v>
      </c>
      <c r="F135" s="4">
        <f ca="1">OFFSET(Canterbury_Reference,60,5)</f>
        <v>2.1974341884999999</v>
      </c>
      <c r="G135" s="4">
        <f ca="1">OFFSET(Canterbury_Reference,61,5)</f>
        <v>2.2515903822999999</v>
      </c>
      <c r="H135" s="4">
        <f ca="1">OFFSET(Canterbury_Reference,62,5)</f>
        <v>2.2493597086000001</v>
      </c>
      <c r="I135" s="1">
        <f ca="1">H135*('Updated Population'!I$125/'Updated Population'!H$125)</f>
        <v>2.3253225515191729</v>
      </c>
      <c r="J135" s="1">
        <f ca="1">I135*('Updated Population'!J$125/'Updated Population'!I$125)</f>
        <v>2.3963969880934131</v>
      </c>
      <c r="K135" s="1">
        <f ca="1">J135*('Updated Population'!K$125/'Updated Population'!J$125)</f>
        <v>2.4645357676568445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OFFSET(Otago_Reference,0,5)</f>
        <v>58.261736425999999</v>
      </c>
      <c r="C137" s="4">
        <f ca="1">OFFSET(Otago_Reference,1,5)</f>
        <v>60.796851795000002</v>
      </c>
      <c r="D137" s="4">
        <f ca="1">OFFSET(Otago_Reference,2,5)</f>
        <v>61.997126135999999</v>
      </c>
      <c r="E137" s="4">
        <f ca="1">OFFSET(Otago_Reference,3,5)</f>
        <v>63.096424122000002</v>
      </c>
      <c r="F137" s="4">
        <f ca="1">OFFSET(Otago_Reference,4,5)</f>
        <v>63.810719028999998</v>
      </c>
      <c r="G137" s="4">
        <f ca="1">OFFSET(Otago_Reference,5,5)</f>
        <v>63.807855162000003</v>
      </c>
      <c r="H137" s="4">
        <f ca="1">OFFSET(Otago_Reference,6,5)</f>
        <v>63.751514180000001</v>
      </c>
      <c r="I137" s="1">
        <f ca="1">H137*('Updated Population'!I$136/'Updated Population'!H$136)</f>
        <v>65.591279782352117</v>
      </c>
      <c r="J137" s="1">
        <f ca="1">I137*('Updated Population'!J$136/'Updated Population'!I$136)</f>
        <v>67.27196692249953</v>
      </c>
      <c r="K137" s="1">
        <f ca="1">J137*('Updated Population'!K$136/'Updated Population'!J$136)</f>
        <v>68.850509774705714</v>
      </c>
    </row>
    <row r="138" spans="1:11" x14ac:dyDescent="0.2">
      <c r="A138" t="str">
        <f ca="1">OFFSET(Otago_Reference,7,2)</f>
        <v>Cyclist</v>
      </c>
      <c r="B138" s="4">
        <f ca="1">OFFSET(Otago_Reference,7,5)</f>
        <v>4.5847179276999999</v>
      </c>
      <c r="C138" s="4">
        <f ca="1">OFFSET(Otago_Reference,8,5)</f>
        <v>4.8412559068999999</v>
      </c>
      <c r="D138" s="4">
        <f ca="1">OFFSET(Otago_Reference,9,5)</f>
        <v>4.9191726513000003</v>
      </c>
      <c r="E138" s="4">
        <f ca="1">OFFSET(Otago_Reference,10,5)</f>
        <v>4.8681877093999999</v>
      </c>
      <c r="F138" s="4">
        <f ca="1">OFFSET(Otago_Reference,11,5)</f>
        <v>4.8851595028999997</v>
      </c>
      <c r="G138" s="4">
        <f ca="1">OFFSET(Otago_Reference,12,5)</f>
        <v>4.9559896441999998</v>
      </c>
      <c r="H138" s="4">
        <f ca="1">OFFSET(Otago_Reference,13,5)</f>
        <v>4.9957824192000002</v>
      </c>
      <c r="I138" s="1">
        <f ca="1">H138*('Updated Population'!I$136/'Updated Population'!H$136)</f>
        <v>5.1399526208006865</v>
      </c>
      <c r="J138" s="1">
        <f ca="1">I138*('Updated Population'!J$136/'Updated Population'!I$136)</f>
        <v>5.2716569006899014</v>
      </c>
      <c r="K138" s="1">
        <f ca="1">J138*('Updated Population'!K$136/'Updated Population'!J$136)</f>
        <v>5.3953568116714585</v>
      </c>
    </row>
    <row r="139" spans="1:11" x14ac:dyDescent="0.2">
      <c r="A139" t="str">
        <f ca="1">OFFSET(Otago_Reference,14,2)</f>
        <v>Light Vehicle Driver</v>
      </c>
      <c r="B139" s="4">
        <f ca="1">OFFSET(Otago_Reference,14,5)</f>
        <v>150.49144967999999</v>
      </c>
      <c r="C139" s="4">
        <f ca="1">OFFSET(Otago_Reference,15,5)</f>
        <v>159.70200933999999</v>
      </c>
      <c r="D139" s="4">
        <f ca="1">OFFSET(Otago_Reference,16,5)</f>
        <v>166.14523986</v>
      </c>
      <c r="E139" s="4">
        <f ca="1">OFFSET(Otago_Reference,17,5)</f>
        <v>175.27326683000001</v>
      </c>
      <c r="F139" s="4">
        <f ca="1">OFFSET(Otago_Reference,18,5)</f>
        <v>183.12259963</v>
      </c>
      <c r="G139" s="4">
        <f ca="1">OFFSET(Otago_Reference,19,5)</f>
        <v>187.54720057</v>
      </c>
      <c r="H139" s="4">
        <f ca="1">OFFSET(Otago_Reference,20,5)</f>
        <v>191.12834236</v>
      </c>
      <c r="I139" s="1">
        <f ca="1">H139*('Updated Population'!I$136/'Updated Population'!H$136)</f>
        <v>196.6439972339484</v>
      </c>
      <c r="J139" s="1">
        <f ca="1">I139*('Updated Population'!J$136/'Updated Population'!I$136)</f>
        <v>201.68273162722369</v>
      </c>
      <c r="K139" s="1">
        <f ca="1">J139*('Updated Population'!K$136/'Updated Population'!J$136)</f>
        <v>206.41523535779459</v>
      </c>
    </row>
    <row r="140" spans="1:11" x14ac:dyDescent="0.2">
      <c r="A140" t="str">
        <f ca="1">OFFSET(Otago_Reference,21,2)</f>
        <v>Light Vehicle Passenger</v>
      </c>
      <c r="B140" s="4">
        <f ca="1">OFFSET(Otago_Reference,21,5)</f>
        <v>71.232164202000007</v>
      </c>
      <c r="C140" s="4">
        <f ca="1">OFFSET(Otago_Reference,22,5)</f>
        <v>73.294502230000006</v>
      </c>
      <c r="D140" s="4">
        <f ca="1">OFFSET(Otago_Reference,23,5)</f>
        <v>74.347849818</v>
      </c>
      <c r="E140" s="4">
        <f ca="1">OFFSET(Otago_Reference,24,5)</f>
        <v>75.467444987999997</v>
      </c>
      <c r="F140" s="4">
        <f ca="1">OFFSET(Otago_Reference,25,5)</f>
        <v>76.355067157999997</v>
      </c>
      <c r="G140" s="4">
        <f ca="1">OFFSET(Otago_Reference,26,5)</f>
        <v>76.620401728999994</v>
      </c>
      <c r="H140" s="4">
        <f ca="1">OFFSET(Otago_Reference,27,5)</f>
        <v>76.522435392999995</v>
      </c>
      <c r="I140" s="1">
        <f ca="1">H140*('Updated Population'!I$136/'Updated Population'!H$136)</f>
        <v>78.730749128839378</v>
      </c>
      <c r="J140" s="1">
        <f ca="1">I140*('Updated Population'!J$136/'Updated Population'!I$136)</f>
        <v>80.748117261220514</v>
      </c>
      <c r="K140" s="1">
        <f ca="1">J140*('Updated Population'!K$136/'Updated Population'!J$136)</f>
        <v>82.642879212787221</v>
      </c>
    </row>
    <row r="141" spans="1:11" x14ac:dyDescent="0.2">
      <c r="A141" t="str">
        <f ca="1">OFFSET(Otago_Reference,28,2)</f>
        <v>Taxi/Vehicle Share</v>
      </c>
      <c r="B141" s="4">
        <f ca="1">OFFSET(Otago_Reference,28,5)</f>
        <v>0.85820748670000002</v>
      </c>
      <c r="C141" s="4">
        <f ca="1">OFFSET(Otago_Reference,29,5)</f>
        <v>0.87420387190000004</v>
      </c>
      <c r="D141" s="4">
        <f ca="1">OFFSET(Otago_Reference,30,5)</f>
        <v>0.86813836909999997</v>
      </c>
      <c r="E141" s="4">
        <f ca="1">OFFSET(Otago_Reference,31,5)</f>
        <v>0.87977275669999999</v>
      </c>
      <c r="F141" s="4">
        <f ca="1">OFFSET(Otago_Reference,32,5)</f>
        <v>0.89737092870000001</v>
      </c>
      <c r="G141" s="4">
        <f ca="1">OFFSET(Otago_Reference,33,5)</f>
        <v>0.86552040200000002</v>
      </c>
      <c r="H141" s="4">
        <f ca="1">OFFSET(Otago_Reference,34,5)</f>
        <v>0.82567941</v>
      </c>
      <c r="I141" s="1">
        <f ca="1">H141*('Updated Population'!I$136/'Updated Population'!H$136)</f>
        <v>0.84950718251061663</v>
      </c>
      <c r="J141" s="1">
        <f ca="1">I141*('Updated Population'!J$136/'Updated Population'!I$136)</f>
        <v>0.8712746461406311</v>
      </c>
      <c r="K141" s="1">
        <f ca="1">J141*('Updated Population'!K$136/'Updated Population'!J$136)</f>
        <v>0.89171918534309302</v>
      </c>
    </row>
    <row r="142" spans="1:11" x14ac:dyDescent="0.2">
      <c r="A142" t="str">
        <f ca="1">OFFSET(Otago_Reference,35,2)</f>
        <v>Motorcyclist</v>
      </c>
      <c r="B142" s="4">
        <f ca="1">OFFSET(Otago_Reference,35,5)</f>
        <v>2.0937246197000001</v>
      </c>
      <c r="C142" s="4">
        <f ca="1">OFFSET(Otago_Reference,36,5)</f>
        <v>2.1862938811000001</v>
      </c>
      <c r="D142" s="4">
        <f ca="1">OFFSET(Otago_Reference,37,5)</f>
        <v>2.1656479633000001</v>
      </c>
      <c r="E142" s="4">
        <f ca="1">OFFSET(Otago_Reference,38,5)</f>
        <v>2.1300666510999999</v>
      </c>
      <c r="F142" s="4">
        <f ca="1">OFFSET(Otago_Reference,39,5)</f>
        <v>2.0345127861000001</v>
      </c>
      <c r="G142" s="4">
        <f ca="1">OFFSET(Otago_Reference,40,5)</f>
        <v>1.9010460348</v>
      </c>
      <c r="H142" s="4">
        <f ca="1">OFFSET(Otago_Reference,41,5)</f>
        <v>1.7603265138999999</v>
      </c>
      <c r="I142" s="1">
        <f ca="1">H142*('Updated Population'!I$136/'Updated Population'!H$136)</f>
        <v>1.811126690348164</v>
      </c>
      <c r="J142" s="1">
        <f ca="1">I142*('Updated Population'!J$136/'Updated Population'!I$136)</f>
        <v>1.8575343431298512</v>
      </c>
      <c r="K142" s="1">
        <f ca="1">J142*('Updated Population'!K$136/'Updated Population'!J$136)</f>
        <v>1.9011215562620785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OFFSET(Otago_Reference,42,5)</f>
        <v>4.2627057848999996</v>
      </c>
      <c r="C144" s="4">
        <f ca="1">OFFSET(Otago_Reference,43,5)</f>
        <v>4.2369345695999998</v>
      </c>
      <c r="D144" s="4">
        <f ca="1">OFFSET(Otago_Reference,44,5)</f>
        <v>4.1827573384000001</v>
      </c>
      <c r="E144" s="4">
        <f ca="1">OFFSET(Otago_Reference,45,5)</f>
        <v>4.1326437729999999</v>
      </c>
      <c r="F144" s="4">
        <f ca="1">OFFSET(Otago_Reference,46,5)</f>
        <v>4.0835200813999997</v>
      </c>
      <c r="G144" s="4">
        <f ca="1">OFFSET(Otago_Reference,47,5)</f>
        <v>3.9495498443999999</v>
      </c>
      <c r="H144" s="4">
        <f ca="1">OFFSET(Otago_Reference,48,5)</f>
        <v>3.8015764607000002</v>
      </c>
      <c r="I144" s="1">
        <f ca="1">H144*('Updated Population'!I$136/'Updated Population'!H$136)</f>
        <v>3.911283809569551</v>
      </c>
      <c r="J144" s="1">
        <f ca="1">I144*('Updated Population'!J$136/'Updated Population'!I$136)</f>
        <v>4.0115051259095171</v>
      </c>
      <c r="K144" s="1">
        <f ca="1">J144*('Updated Population'!K$136/'Updated Population'!J$136)</f>
        <v>4.1056354603233762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OFFSET(Otago_Reference,49,5)</f>
        <v>0.77539158779999995</v>
      </c>
      <c r="C146" s="4">
        <f ca="1">OFFSET(Otago_Reference,50,5)</f>
        <v>0.82702580439999995</v>
      </c>
      <c r="D146" s="4">
        <f ca="1">OFFSET(Otago_Reference,51,5)</f>
        <v>0.87337452510000002</v>
      </c>
      <c r="E146" s="4">
        <f ca="1">OFFSET(Otago_Reference,52,5)</f>
        <v>0.87375493940000004</v>
      </c>
      <c r="F146" s="4">
        <f ca="1">OFFSET(Otago_Reference,53,5)</f>
        <v>0.84674512599999996</v>
      </c>
      <c r="G146" s="4">
        <f ca="1">OFFSET(Otago_Reference,54,5)</f>
        <v>0.81379401210000002</v>
      </c>
      <c r="H146" s="4">
        <f ca="1">OFFSET(Otago_Reference,55,5)</f>
        <v>0.78488117319999995</v>
      </c>
      <c r="I146" s="1">
        <f ca="1">H146*('Updated Population'!I$136/'Updated Population'!H$136)</f>
        <v>0.80753157457415492</v>
      </c>
      <c r="J146" s="1">
        <f ca="1">I146*('Updated Population'!J$136/'Updated Population'!I$136)</f>
        <v>0.82822347046570211</v>
      </c>
      <c r="K146" s="1">
        <f ca="1">J146*('Updated Population'!K$136/'Updated Population'!J$136)</f>
        <v>0.84765780989625872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OFFSET(Southland_Reference,0,5)</f>
        <v>12.52065131</v>
      </c>
      <c r="C148" s="4">
        <f ca="1">OFFSET(Southland_Reference,1,5)</f>
        <v>12.667644591</v>
      </c>
      <c r="D148" s="4">
        <f ca="1">OFFSET(Southland_Reference,2,5)</f>
        <v>12.657703605</v>
      </c>
      <c r="E148" s="4">
        <f ca="1">OFFSET(Southland_Reference,3,5)</f>
        <v>12.664428055</v>
      </c>
      <c r="F148" s="4">
        <f ca="1">OFFSET(Southland_Reference,4,5)</f>
        <v>12.47125505</v>
      </c>
      <c r="G148" s="4">
        <f ca="1">OFFSET(Southland_Reference,5,5)</f>
        <v>12.125144562999999</v>
      </c>
      <c r="H148" s="4">
        <f ca="1">OFFSET(Southland_Reference,6,5)</f>
        <v>11.718073206</v>
      </c>
      <c r="I148" s="1">
        <f ca="1">H148*('Updated Population'!I$147/'Updated Population'!H$147)</f>
        <v>11.561102587265948</v>
      </c>
      <c r="J148" s="1">
        <f ca="1">I148*('Updated Population'!J$147/'Updated Population'!I$147)</f>
        <v>11.369926673772461</v>
      </c>
      <c r="K148" s="1">
        <f ca="1">J148*('Updated Population'!K$147/'Updated Population'!J$147)</f>
        <v>11.157881419128433</v>
      </c>
    </row>
    <row r="149" spans="1:11" x14ac:dyDescent="0.2">
      <c r="A149" t="str">
        <f ca="1">OFFSET(Southland_Reference,7,2)</f>
        <v>Cyclist</v>
      </c>
      <c r="B149" s="4">
        <f ca="1">OFFSET(Southland_Reference,7,5)</f>
        <v>1.0312878256</v>
      </c>
      <c r="C149" s="4">
        <f ca="1">OFFSET(Southland_Reference,8,5)</f>
        <v>1.0673430641999999</v>
      </c>
      <c r="D149" s="4">
        <f ca="1">OFFSET(Southland_Reference,9,5)</f>
        <v>1.0565883277999999</v>
      </c>
      <c r="E149" s="4">
        <f ca="1">OFFSET(Southland_Reference,10,5)</f>
        <v>1.0488258159999999</v>
      </c>
      <c r="F149" s="4">
        <f ca="1">OFFSET(Southland_Reference,11,5)</f>
        <v>1.0456659862</v>
      </c>
      <c r="G149" s="4">
        <f ca="1">OFFSET(Southland_Reference,12,5)</f>
        <v>0.99443644929999997</v>
      </c>
      <c r="H149" s="4">
        <f ca="1">OFFSET(Southland_Reference,13,5)</f>
        <v>0.9383920805</v>
      </c>
      <c r="I149" s="1">
        <f ca="1">H149*('Updated Population'!I$147/'Updated Population'!H$147)</f>
        <v>0.92582175576301184</v>
      </c>
      <c r="J149" s="1">
        <f ca="1">I149*('Updated Population'!J$147/'Updated Population'!I$147)</f>
        <v>0.91051224539804987</v>
      </c>
      <c r="K149" s="1">
        <f ca="1">J149*('Updated Population'!K$147/'Updated Population'!J$147)</f>
        <v>0.89353150256025315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OFFSET(Southland_Reference,14,5)</f>
        <v>66.981547285000005</v>
      </c>
      <c r="C150" s="4">
        <f ca="1">OFFSET(Southland_Reference,15,5)</f>
        <v>70.126568223999996</v>
      </c>
      <c r="D150" s="4">
        <f ca="1">OFFSET(Southland_Reference,16,5)</f>
        <v>70.748154123000006</v>
      </c>
      <c r="E150" s="4">
        <f ca="1">OFFSET(Southland_Reference,17,5)</f>
        <v>70.956558876000003</v>
      </c>
      <c r="F150" s="4">
        <f ca="1">OFFSET(Southland_Reference,18,5)</f>
        <v>71.481589532000001</v>
      </c>
      <c r="G150" s="4">
        <f ca="1">OFFSET(Southland_Reference,19,5)</f>
        <v>71.425055908000004</v>
      </c>
      <c r="H150" s="4">
        <f ca="1">OFFSET(Southland_Reference,20,5)</f>
        <v>71.154502398999995</v>
      </c>
      <c r="I150" s="1">
        <f ca="1">H150*('Updated Population'!I$147/'Updated Population'!H$147)</f>
        <v>70.201345163084653</v>
      </c>
      <c r="J150" s="1">
        <f ca="1">I150*('Updated Population'!J$147/'Updated Population'!I$147)</f>
        <v>69.040486482978594</v>
      </c>
      <c r="K150" s="1">
        <f ca="1">J150*('Updated Population'!K$147/'Updated Population'!J$147)</f>
        <v>67.752904956986796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OFFSET(Southland_Reference,21,5)</f>
        <v>28.419434702</v>
      </c>
      <c r="C151" s="4">
        <f ca="1">OFFSET(Southland_Reference,22,5)</f>
        <v>27.382620130999999</v>
      </c>
      <c r="D151" s="4">
        <f ca="1">OFFSET(Southland_Reference,23,5)</f>
        <v>26.292487388000001</v>
      </c>
      <c r="E151" s="4">
        <f ca="1">OFFSET(Southland_Reference,24,5)</f>
        <v>25.427439524</v>
      </c>
      <c r="F151" s="4">
        <f ca="1">OFFSET(Southland_Reference,25,5)</f>
        <v>24.471006232000001</v>
      </c>
      <c r="G151" s="4">
        <f ca="1">OFFSET(Southland_Reference,26,5)</f>
        <v>23.383114912</v>
      </c>
      <c r="H151" s="4">
        <f ca="1">OFFSET(Southland_Reference,27,5)</f>
        <v>22.181627466999998</v>
      </c>
      <c r="I151" s="1">
        <f ca="1">H151*('Updated Population'!I$147/'Updated Population'!H$147)</f>
        <v>21.884491263222024</v>
      </c>
      <c r="J151" s="1">
        <f ca="1">I151*('Updated Population'!J$147/'Updated Population'!I$147)</f>
        <v>21.522606436320224</v>
      </c>
      <c r="K151" s="1">
        <f ca="1">J151*('Updated Population'!K$147/'Updated Population'!J$147)</f>
        <v>21.121217166772848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OFFSET(Southland_Reference,28,5)</f>
        <v>0.47613164409999997</v>
      </c>
      <c r="C152" s="4">
        <f ca="1">OFFSET(Southland_Reference,29,5)</f>
        <v>0.51433755179999996</v>
      </c>
      <c r="D152" s="4">
        <f ca="1">OFFSET(Southland_Reference,30,5)</f>
        <v>0.5400614976</v>
      </c>
      <c r="E152" s="4">
        <f ca="1">OFFSET(Southland_Reference,31,5)</f>
        <v>0.56883864510000004</v>
      </c>
      <c r="F152" s="4">
        <f ca="1">OFFSET(Southland_Reference,32,5)</f>
        <v>0.59830382410000005</v>
      </c>
      <c r="G152" s="4">
        <f ca="1">OFFSET(Southland_Reference,33,5)</f>
        <v>0.61560851770000002</v>
      </c>
      <c r="H152" s="4">
        <f ca="1">OFFSET(Southland_Reference,34,5)</f>
        <v>0.63174146689999999</v>
      </c>
      <c r="I152" s="1">
        <f ca="1">H152*('Updated Population'!I$147/'Updated Population'!H$147)</f>
        <v>0.62327891105178468</v>
      </c>
      <c r="J152" s="1">
        <f ca="1">I152*('Updated Population'!J$147/'Updated Population'!I$147)</f>
        <v>0.61297228897295319</v>
      </c>
      <c r="K152" s="1">
        <f ca="1">J152*('Updated Population'!K$147/'Updated Population'!J$147)</f>
        <v>0.60154056484364726</v>
      </c>
    </row>
    <row r="153" spans="1:11" x14ac:dyDescent="0.2">
      <c r="A153" t="str">
        <f ca="1">OFFSET(Southland_Reference,35,2)</f>
        <v>Motorcyclist</v>
      </c>
      <c r="B153" s="4">
        <f ca="1">OFFSET(Southland_Reference,35,5)</f>
        <v>0.62652592730000001</v>
      </c>
      <c r="C153" s="4">
        <f ca="1">OFFSET(Southland_Reference,36,5)</f>
        <v>0.71649916489999999</v>
      </c>
      <c r="D153" s="4">
        <f ca="1">OFFSET(Southland_Reference,37,5)</f>
        <v>0.77478135349999999</v>
      </c>
      <c r="E153" s="4">
        <f ca="1">OFFSET(Southland_Reference,38,5)</f>
        <v>0.80009175539999999</v>
      </c>
      <c r="F153" s="4">
        <f ca="1">OFFSET(Southland_Reference,39,5)</f>
        <v>0.79729143449999995</v>
      </c>
      <c r="G153" s="4">
        <f ca="1">OFFSET(Southland_Reference,40,5)</f>
        <v>0.77747879789999996</v>
      </c>
      <c r="H153" s="4">
        <f ca="1">OFFSET(Southland_Reference,41,5)</f>
        <v>0.75087674800000004</v>
      </c>
      <c r="I153" s="1">
        <f ca="1">H153*('Updated Population'!I$147/'Updated Population'!H$147)</f>
        <v>0.74081830360777501</v>
      </c>
      <c r="J153" s="1">
        <f ca="1">I153*('Updated Population'!J$147/'Updated Population'!I$147)</f>
        <v>0.72856803466881526</v>
      </c>
      <c r="K153" s="1">
        <f ca="1">J153*('Updated Population'!K$147/'Updated Population'!J$147)</f>
        <v>0.71498048930731206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OFFSET(Southland_Reference,42,5)</f>
        <v>2.6369167839999998</v>
      </c>
      <c r="C155" s="4">
        <f ca="1">OFFSET(Southland_Reference,43,5)</f>
        <v>2.6522461971000002</v>
      </c>
      <c r="D155" s="4">
        <f ca="1">OFFSET(Southland_Reference,44,5)</f>
        <v>2.6669033813</v>
      </c>
      <c r="E155" s="4">
        <f ca="1">OFFSET(Southland_Reference,45,5)</f>
        <v>2.6967261397</v>
      </c>
      <c r="F155" s="4">
        <f ca="1">OFFSET(Southland_Reference,46,5)</f>
        <v>2.6090905865999998</v>
      </c>
      <c r="G155" s="4">
        <f ca="1">OFFSET(Southland_Reference,47,5)</f>
        <v>2.5063507006000001</v>
      </c>
      <c r="H155" s="4">
        <f ca="1">OFFSET(Southland_Reference,48,5)</f>
        <v>2.3857704051000002</v>
      </c>
      <c r="I155" s="1">
        <f ca="1">H155*('Updated Population'!I$147/'Updated Population'!H$147)</f>
        <v>2.3538115796120191</v>
      </c>
      <c r="J155" s="1">
        <f ca="1">I155*('Updated Population'!J$147/'Updated Population'!I$147)</f>
        <v>2.3148886416372694</v>
      </c>
      <c r="K155" s="1">
        <f ca="1">J155*('Updated Population'!K$147/'Updated Population'!J$147)</f>
        <v>2.2717167579855624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OFFSET(Southland_Reference,49,5)</f>
        <v>0.42937289560000003</v>
      </c>
      <c r="C157" s="4">
        <f ca="1">OFFSET(Southland_Reference,50,5)</f>
        <v>0.4747555692</v>
      </c>
      <c r="D157" s="4">
        <f ca="1">OFFSET(Southland_Reference,51,5)</f>
        <v>0.50353461129999999</v>
      </c>
      <c r="E157" s="4">
        <f ca="1">OFFSET(Southland_Reference,52,5)</f>
        <v>0.532821973</v>
      </c>
      <c r="F157" s="4">
        <f ca="1">OFFSET(Southland_Reference,53,5)</f>
        <v>0.55929527649999999</v>
      </c>
      <c r="G157" s="4">
        <f ca="1">OFFSET(Southland_Reference,54,5)</f>
        <v>0.56388493200000001</v>
      </c>
      <c r="H157" s="4">
        <f ca="1">OFFSET(Southland_Reference,55,5)</f>
        <v>0.5574157636</v>
      </c>
      <c r="I157" s="1">
        <f ca="1">H157*('Updated Population'!I$147/'Updated Population'!H$147)</f>
        <v>0.54994884512575759</v>
      </c>
      <c r="J157" s="1">
        <f ca="1">I157*('Updated Population'!J$147/'Updated Population'!I$147)</f>
        <v>0.54085481866521845</v>
      </c>
      <c r="K157" s="1">
        <f ca="1">J157*('Updated Population'!K$147/'Updated Population'!J$147)</f>
        <v>0.53076806076080141</v>
      </c>
    </row>
    <row r="158" spans="1:11" x14ac:dyDescent="0.2">
      <c r="A158" t="s">
        <v>12</v>
      </c>
      <c r="I158" s="1"/>
      <c r="J158" s="1"/>
      <c r="K158" s="1"/>
    </row>
    <row r="159" spans="1:11" x14ac:dyDescent="0.2">
      <c r="A159" t="str">
        <f t="shared" ref="A159:A168" ca="1" si="0">A5</f>
        <v>Pedestrian</v>
      </c>
      <c r="B159" s="4">
        <f ca="1">B5+B16+B27+B38+B49+B60+B71+B82+B93+B104+B115+B126+B137+B148</f>
        <v>986.56972308989998</v>
      </c>
      <c r="C159" s="4">
        <f t="shared" ref="C159:K168" ca="1" si="1">C5+C16+C27+C38+C49+C60+C71+C82+C93+C104+C115+C126+C137+C148</f>
        <v>1037.2981624913</v>
      </c>
      <c r="D159" s="4">
        <f t="shared" ca="1" si="1"/>
        <v>1065.9693452668998</v>
      </c>
      <c r="E159" s="4">
        <f t="shared" ca="1" si="1"/>
        <v>1086.6453829351997</v>
      </c>
      <c r="F159" s="4">
        <f t="shared" ca="1" si="1"/>
        <v>1098.1318946386002</v>
      </c>
      <c r="G159" s="4">
        <f t="shared" ca="1" si="1"/>
        <v>1104.2826183234999</v>
      </c>
      <c r="H159" s="4">
        <f t="shared" ca="1" si="1"/>
        <v>1105.8347674816</v>
      </c>
      <c r="I159" s="1">
        <f t="shared" ca="1" si="1"/>
        <v>1132.6256443931882</v>
      </c>
      <c r="J159" s="1">
        <f t="shared" ca="1" si="1"/>
        <v>1156.7210353919463</v>
      </c>
      <c r="K159" s="1">
        <f t="shared" ca="1" si="1"/>
        <v>1179.143290235306</v>
      </c>
    </row>
    <row r="160" spans="1:11" x14ac:dyDescent="0.2">
      <c r="A160" t="str">
        <f t="shared" ca="1" si="0"/>
        <v>Cyclist</v>
      </c>
      <c r="B160" s="4">
        <f t="shared" ref="B160:H160" ca="1" si="2">B6+B17+B28+B39+B50+B61+B72+B83+B94+B105+B116+B127+B138+B149</f>
        <v>71.074316198400012</v>
      </c>
      <c r="C160" s="4">
        <f t="shared" ca="1" si="2"/>
        <v>74.726193396900001</v>
      </c>
      <c r="D160" s="4">
        <f t="shared" ca="1" si="2"/>
        <v>76.205021870700008</v>
      </c>
      <c r="E160" s="4">
        <f t="shared" ca="1" si="2"/>
        <v>76.91488039070002</v>
      </c>
      <c r="F160" s="4">
        <f t="shared" ca="1" si="2"/>
        <v>77.5999219877</v>
      </c>
      <c r="G160" s="4">
        <f t="shared" ca="1" si="2"/>
        <v>78.177828320099991</v>
      </c>
      <c r="H160" s="4">
        <f t="shared" ca="1" si="2"/>
        <v>78.644829095599988</v>
      </c>
      <c r="I160" s="1">
        <f t="shared" ca="1" si="1"/>
        <v>80.414250931447697</v>
      </c>
      <c r="J160" s="1">
        <f t="shared" ca="1" si="1"/>
        <v>81.987538630201428</v>
      </c>
      <c r="K160" s="1">
        <f t="shared" ca="1" si="1"/>
        <v>83.437970113196002</v>
      </c>
    </row>
    <row r="161" spans="1:11" x14ac:dyDescent="0.2">
      <c r="A161" t="str">
        <f t="shared" ca="1" si="0"/>
        <v>Light Vehicle Driver</v>
      </c>
      <c r="B161" s="4">
        <f t="shared" ref="B161:H161" ca="1" si="3">B7+B18+B29+B40+B51+B62+B73+B84+B95+B106+B117+B128+B139+B150</f>
        <v>3093.3887589700003</v>
      </c>
      <c r="C161" s="4">
        <f t="shared" ca="1" si="3"/>
        <v>3333.1604034479997</v>
      </c>
      <c r="D161" s="4">
        <f t="shared" ca="1" si="3"/>
        <v>3477.4222717410003</v>
      </c>
      <c r="E161" s="4">
        <f t="shared" ca="1" si="3"/>
        <v>3634.6800277850007</v>
      </c>
      <c r="F161" s="4">
        <f t="shared" ca="1" si="3"/>
        <v>3778.2584645039997</v>
      </c>
      <c r="G161" s="4">
        <f t="shared" ca="1" si="3"/>
        <v>3882.2303715910007</v>
      </c>
      <c r="H161" s="4">
        <f t="shared" ca="1" si="3"/>
        <v>3968.1872746230001</v>
      </c>
      <c r="I161" s="1">
        <f t="shared" ca="1" si="1"/>
        <v>4060.2119147228677</v>
      </c>
      <c r="J161" s="1">
        <f t="shared" ca="1" si="1"/>
        <v>4142.4936309109271</v>
      </c>
      <c r="K161" s="1">
        <f t="shared" ca="1" si="1"/>
        <v>4218.7216661186549</v>
      </c>
    </row>
    <row r="162" spans="1:11" x14ac:dyDescent="0.2">
      <c r="A162" t="str">
        <f t="shared" ca="1" si="0"/>
        <v>Light Vehicle Passenger</v>
      </c>
      <c r="B162" s="4">
        <f t="shared" ref="B162:H162" ca="1" si="4">B8+B19+B30+B41+B52+B63+B74+B85+B96+B107+B118+B129+B140+B151</f>
        <v>1512.9377645669999</v>
      </c>
      <c r="C162" s="4">
        <f t="shared" ca="1" si="4"/>
        <v>1555.150275186</v>
      </c>
      <c r="D162" s="4">
        <f t="shared" ca="1" si="4"/>
        <v>1577.9840150127998</v>
      </c>
      <c r="E162" s="4">
        <f t="shared" ca="1" si="4"/>
        <v>1602.8078877842001</v>
      </c>
      <c r="F162" s="4">
        <f t="shared" ca="1" si="4"/>
        <v>1623.9080325987002</v>
      </c>
      <c r="G162" s="4">
        <f t="shared" ca="1" si="4"/>
        <v>1635.1234389881001</v>
      </c>
      <c r="H162" s="4">
        <f t="shared" ca="1" si="4"/>
        <v>1637.6865937386999</v>
      </c>
      <c r="I162" s="1">
        <f t="shared" ca="1" si="1"/>
        <v>1675.9124694063905</v>
      </c>
      <c r="J162" s="1">
        <f t="shared" ca="1" si="1"/>
        <v>1710.1245342876152</v>
      </c>
      <c r="K162" s="1">
        <f t="shared" ca="1" si="1"/>
        <v>1741.8442920599982</v>
      </c>
    </row>
    <row r="163" spans="1:11" x14ac:dyDescent="0.2">
      <c r="A163" t="str">
        <f t="shared" ca="1" si="0"/>
        <v>Taxi/Vehicle Share</v>
      </c>
      <c r="B163" s="4">
        <f t="shared" ref="B163:H163" ca="1" si="5">B9+B20+B31+B42+B53+B64+B75+B86+B97+B108+B119+B130+B141+B152</f>
        <v>15.600131729099999</v>
      </c>
      <c r="C163" s="4">
        <f t="shared" ca="1" si="5"/>
        <v>17.566514211300003</v>
      </c>
      <c r="D163" s="4">
        <f t="shared" ca="1" si="5"/>
        <v>18.995906660399999</v>
      </c>
      <c r="E163" s="4">
        <f t="shared" ca="1" si="5"/>
        <v>20.188023466200001</v>
      </c>
      <c r="F163" s="4">
        <f t="shared" ca="1" si="5"/>
        <v>21.189576271100002</v>
      </c>
      <c r="G163" s="4">
        <f t="shared" ca="1" si="5"/>
        <v>21.877099448799999</v>
      </c>
      <c r="H163" s="4">
        <f t="shared" ca="1" si="5"/>
        <v>22.497324604599999</v>
      </c>
      <c r="I163" s="1">
        <f t="shared" ca="1" si="1"/>
        <v>23.056523349280852</v>
      </c>
      <c r="J163" s="1">
        <f t="shared" ca="1" si="1"/>
        <v>23.563147213927451</v>
      </c>
      <c r="K163" s="1">
        <f t="shared" ca="1" si="1"/>
        <v>24.037959028450373</v>
      </c>
    </row>
    <row r="164" spans="1:11" x14ac:dyDescent="0.2">
      <c r="A164" t="str">
        <f t="shared" ca="1" si="0"/>
        <v>Motorcyclist</v>
      </c>
      <c r="B164" s="4">
        <f t="shared" ref="B164:H164" ca="1" si="6">B10+B21+B32+B43+B54+B65+B76+B87+B98+B109+B120+B131+B142+B153</f>
        <v>19.272283824500001</v>
      </c>
      <c r="C164" s="4">
        <f t="shared" ca="1" si="6"/>
        <v>20.223211861899998</v>
      </c>
      <c r="D164" s="4">
        <f t="shared" ca="1" si="6"/>
        <v>20.576058538799998</v>
      </c>
      <c r="E164" s="4">
        <f t="shared" ca="1" si="6"/>
        <v>20.957474443900001</v>
      </c>
      <c r="F164" s="4">
        <f t="shared" ca="1" si="6"/>
        <v>21.212525333399995</v>
      </c>
      <c r="G164" s="4">
        <f t="shared" ca="1" si="6"/>
        <v>21.107621852599998</v>
      </c>
      <c r="H164" s="4">
        <f t="shared" ca="1" si="6"/>
        <v>20.856772619700003</v>
      </c>
      <c r="I164" s="1">
        <f t="shared" ca="1" si="1"/>
        <v>21.298034144891453</v>
      </c>
      <c r="J164" s="1">
        <f t="shared" ca="1" si="1"/>
        <v>21.686940630780498</v>
      </c>
      <c r="K164" s="1">
        <f t="shared" ca="1" si="1"/>
        <v>22.04312925405603</v>
      </c>
    </row>
    <row r="165" spans="1:11" x14ac:dyDescent="0.2">
      <c r="A165" t="str">
        <f t="shared" ca="1" si="0"/>
        <v>Local Train</v>
      </c>
      <c r="B165" s="4">
        <f t="shared" ref="B165:H165" ca="1" si="7">B11+B22+B33+B44+B55+B66+B77+B88+B99+B110+B121+B132+B143+B154</f>
        <v>21.100326668600001</v>
      </c>
      <c r="C165" s="4">
        <f t="shared" ca="1" si="7"/>
        <v>22.866552732300001</v>
      </c>
      <c r="D165" s="4">
        <f t="shared" ca="1" si="7"/>
        <v>23.932431012300004</v>
      </c>
      <c r="E165" s="4">
        <f t="shared" ca="1" si="7"/>
        <v>24.642409519999998</v>
      </c>
      <c r="F165" s="4">
        <f t="shared" ca="1" si="7"/>
        <v>25.091332910200002</v>
      </c>
      <c r="G165" s="4">
        <f t="shared" ca="1" si="7"/>
        <v>25.422756413699997</v>
      </c>
      <c r="H165" s="4">
        <f t="shared" ca="1" si="7"/>
        <v>25.603724179099999</v>
      </c>
      <c r="I165" s="1">
        <f t="shared" ca="1" si="1"/>
        <v>26.297585865057307</v>
      </c>
      <c r="J165" s="1">
        <f t="shared" ca="1" si="1"/>
        <v>26.931368540154367</v>
      </c>
      <c r="K165" s="1">
        <f t="shared" ca="1" si="1"/>
        <v>27.528422194556669</v>
      </c>
    </row>
    <row r="166" spans="1:11" x14ac:dyDescent="0.2">
      <c r="A166" t="str">
        <f t="shared" ca="1" si="0"/>
        <v>Local Bus</v>
      </c>
      <c r="B166" s="4">
        <f t="shared" ref="B166:H166" ca="1" si="8">B12+B23+B34+B45+B56+B67+B78+B89+B100+B111+B122+B133+B144+B155</f>
        <v>137.43780974689997</v>
      </c>
      <c r="C166" s="4">
        <f t="shared" ca="1" si="8"/>
        <v>140.7067777666</v>
      </c>
      <c r="D166" s="4">
        <f t="shared" ca="1" si="8"/>
        <v>141.19133543619998</v>
      </c>
      <c r="E166" s="4">
        <f t="shared" ca="1" si="8"/>
        <v>140.51562276850001</v>
      </c>
      <c r="F166" s="4">
        <f t="shared" ca="1" si="8"/>
        <v>137.47880124389997</v>
      </c>
      <c r="G166" s="4">
        <f t="shared" ca="1" si="8"/>
        <v>134.22826538019999</v>
      </c>
      <c r="H166" s="4">
        <f t="shared" ca="1" si="8"/>
        <v>130.20393189080002</v>
      </c>
      <c r="I166" s="1">
        <f t="shared" ca="1" si="1"/>
        <v>133.4860383049608</v>
      </c>
      <c r="J166" s="1">
        <f t="shared" ca="1" si="1"/>
        <v>136.45732877700488</v>
      </c>
      <c r="K166" s="1">
        <f t="shared" ca="1" si="1"/>
        <v>139.23756903828684</v>
      </c>
    </row>
    <row r="167" spans="1:11" x14ac:dyDescent="0.2">
      <c r="A167" t="str">
        <f t="shared" ca="1" si="0"/>
        <v>Local Ferry</v>
      </c>
      <c r="B167" s="4">
        <f t="shared" ref="B167:H167" ca="1" si="9">B13+B24+B35+B46+B57+B68+B79+B90+B101+B112+B123+B134+B145+B156</f>
        <v>4.9488267775000008</v>
      </c>
      <c r="C167" s="4">
        <f t="shared" ca="1" si="9"/>
        <v>5.4686347349999993</v>
      </c>
      <c r="D167" s="4">
        <f t="shared" ca="1" si="9"/>
        <v>5.8426492214000003</v>
      </c>
      <c r="E167" s="4">
        <f t="shared" ca="1" si="9"/>
        <v>6.074080369599999</v>
      </c>
      <c r="F167" s="4">
        <f t="shared" ca="1" si="9"/>
        <v>6.2296259829999991</v>
      </c>
      <c r="G167" s="4">
        <f t="shared" ca="1" si="9"/>
        <v>6.5130371251999994</v>
      </c>
      <c r="H167" s="4">
        <f t="shared" ca="1" si="9"/>
        <v>6.7452826636999994</v>
      </c>
      <c r="I167" s="1">
        <f t="shared" ca="1" si="1"/>
        <v>6.9520373129662065</v>
      </c>
      <c r="J167" s="1">
        <f t="shared" ca="1" si="1"/>
        <v>7.1441619065196766</v>
      </c>
      <c r="K167" s="1">
        <f t="shared" ca="1" si="1"/>
        <v>7.3276765027813742</v>
      </c>
    </row>
    <row r="168" spans="1:11" x14ac:dyDescent="0.2">
      <c r="A168" t="str">
        <f t="shared" ca="1" si="0"/>
        <v>Other Household Travel</v>
      </c>
      <c r="B168" s="4">
        <f t="shared" ref="B168:H168" ca="1" si="10">B14+B25+B36+B47+B58+B69+B80+B91+B102+B113+B124+B135+B146+B157</f>
        <v>10.3599389081</v>
      </c>
      <c r="C168" s="4">
        <f t="shared" ca="1" si="10"/>
        <v>10.980723563599998</v>
      </c>
      <c r="D168" s="4">
        <f t="shared" ca="1" si="10"/>
        <v>11.541621634</v>
      </c>
      <c r="E168" s="4">
        <f t="shared" ca="1" si="10"/>
        <v>12.051855823800002</v>
      </c>
      <c r="F168" s="4">
        <f t="shared" ca="1" si="10"/>
        <v>12.470598485</v>
      </c>
      <c r="G168" s="4">
        <f t="shared" ca="1" si="10"/>
        <v>12.7951814986</v>
      </c>
      <c r="H168" s="4">
        <f t="shared" ca="1" si="10"/>
        <v>12.938141620400001</v>
      </c>
      <c r="I168" s="1">
        <f t="shared" ca="1" si="1"/>
        <v>13.200000237695582</v>
      </c>
      <c r="J168" s="1">
        <f t="shared" ca="1" si="1"/>
        <v>13.42869202220988</v>
      </c>
      <c r="K168" s="1">
        <f t="shared" ca="1" si="1"/>
        <v>13.636426021343883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02"/>
  <sheetViews>
    <sheetView topLeftCell="A59" workbookViewId="0">
      <selection activeCell="K182" sqref="K182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70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B159*'Total Distance Tables Sup #1'!B5*(1+'Other Assumptions'!D$44)*(1+'Active Mode Assumptions'!B9)</f>
        <v>17.849116999</v>
      </c>
      <c r="C5" s="4">
        <f ca="1">C159*'Total Distance Tables Sup #1'!C5*(1+'Other Assumptions'!G$44)*(1+'Active Mode Assumptions'!C9)</f>
        <v>18.992021773173029</v>
      </c>
      <c r="D5" s="4">
        <f ca="1">D159*'Total Distance Tables Sup #1'!D5*(1+'Other Assumptions'!H$44)*(1+'Active Mode Assumptions'!D9)</f>
        <v>20.325937333113501</v>
      </c>
      <c r="E5" s="4">
        <f ca="1">E159*'Total Distance Tables Sup #1'!E5*(1+'Other Assumptions'!I$44)*(1+'Active Mode Assumptions'!E9)</f>
        <v>21.330147332011897</v>
      </c>
      <c r="F5" s="4">
        <f ca="1">F159*'Total Distance Tables Sup #1'!F5*(1+'Other Assumptions'!J$44)*(1+'Active Mode Assumptions'!F9)</f>
        <v>22.091682171974927</v>
      </c>
      <c r="G5" s="4">
        <f ca="1">G159*'Total Distance Tables Sup #1'!G5*(1+'Other Assumptions'!K$44)*(1+'Active Mode Assumptions'!G9)</f>
        <v>22.779314856411517</v>
      </c>
      <c r="H5" s="4">
        <f ca="1">H159*'Total Distance Tables Sup #1'!H5*(1+'Other Assumptions'!L$44)*(1+'Active Mode Assumptions'!H9)</f>
        <v>23.351477732448135</v>
      </c>
      <c r="I5" s="1">
        <f ca="1">I159*'Total Distance Tables Sup #1'!I5*(1+'Other Assumptions'!M$44)*(1+'Active Mode Assumptions'!I9)</f>
        <v>23.636995808823816</v>
      </c>
      <c r="J5" s="1">
        <f ca="1">J159*'Total Distance Tables Sup #1'!J5*(1+'Other Assumptions'!N$44)*(1+'Active Mode Assumptions'!J9)</f>
        <v>23.859885886621267</v>
      </c>
      <c r="K5" s="1">
        <f ca="1">K159*'Total Distance Tables Sup #1'!K5*(1+'Other Assumptions'!O$44)*(1+'Active Mode Assumptions'!K9)</f>
        <v>24.043415545539332</v>
      </c>
    </row>
    <row r="6" spans="1:11" x14ac:dyDescent="0.2">
      <c r="A6" t="str">
        <f ca="1">OFFSET(Northland_Reference,7,2)</f>
        <v>Cyclist</v>
      </c>
      <c r="B6" s="4">
        <f ca="1">B160*'Total Distance Tables Sup #1'!B6*(1+'Other Assumptions'!D$44)*(1+'Active Mode Assumptions'!B18)</f>
        <v>1.0072239942000001</v>
      </c>
      <c r="C6" s="4">
        <f ca="1">C160*'Total Distance Tables Sup #1'!C6*(1+'Other Assumptions'!G$44)*(1+'Active Mode Assumptions'!C18)</f>
        <v>1.1107449647065137</v>
      </c>
      <c r="D6" s="4">
        <f ca="1">D160*'Total Distance Tables Sup #1'!D6*(1+'Other Assumptions'!H$44)*(1+'Active Mode Assumptions'!D18)</f>
        <v>1.3930147312206085</v>
      </c>
      <c r="E6" s="4">
        <f ca="1">E160*'Total Distance Tables Sup #1'!E6*(1+'Other Assumptions'!I$44)*(1+'Active Mode Assumptions'!E18)</f>
        <v>1.6567683376821922</v>
      </c>
      <c r="F6" s="4">
        <f ca="1">F160*'Total Distance Tables Sup #1'!F6*(1+'Other Assumptions'!J$44)*(1+'Active Mode Assumptions'!F18)</f>
        <v>1.9493768674359957</v>
      </c>
      <c r="G6" s="4">
        <f ca="1">G160*'Total Distance Tables Sup #1'!G6*(1+'Other Assumptions'!K$44)*(1+'Active Mode Assumptions'!G18)</f>
        <v>2.285643624598773</v>
      </c>
      <c r="H6" s="4">
        <f ca="1">H160*'Total Distance Tables Sup #1'!H6*(1+'Other Assumptions'!L$44)*(1+'Active Mode Assumptions'!H18)</f>
        <v>2.6406857193119411</v>
      </c>
      <c r="I6" s="1">
        <f ca="1">I160*'Total Distance Tables Sup #1'!I6*(1+'Other Assumptions'!M$44)*(1+'Active Mode Assumptions'!I18)</f>
        <v>2.6746183847403278</v>
      </c>
      <c r="J6" s="1">
        <f ca="1">J160*'Total Distance Tables Sup #1'!J6*(1+'Other Assumptions'!N$44)*(1+'Active Mode Assumptions'!J18)</f>
        <v>2.7014832058646676</v>
      </c>
      <c r="K6" s="1">
        <f ca="1">K160*'Total Distance Tables Sup #1'!K6*(1+'Other Assumptions'!O$44)*(1+'Active Mode Assumptions'!K18)</f>
        <v>2.7239047878963527</v>
      </c>
    </row>
    <row r="7" spans="1:11" x14ac:dyDescent="0.2">
      <c r="A7" t="str">
        <f ca="1">OFFSET(Northland_Reference,14,2)</f>
        <v>Light Vehicle Driver</v>
      </c>
      <c r="B7" s="4">
        <f ca="1">B161*'Total Distance Tables Sup #1'!B7*(1+'Other Assumptions'!D$44)-(B5*'Active Mode Assumptions'!B9*'Active Mode Assumptions'!B14/(1+'Active Mode Assumptions'!B9))-(B6*'Active Mode Assumptions'!B18*'Active Mode Assumptions'!B23/(1+'Active Mode Assumptions'!B18))</f>
        <v>1011.4273062</v>
      </c>
      <c r="C7" s="4">
        <f ca="1">C161*'Total Distance Tables Sup #1'!C7*(1+'Other Assumptions'!G$44)-(C5*'Active Mode Assumptions'!C9*'Active Mode Assumptions'!C14/(1+'Active Mode Assumptions'!C9))-(C6*'Active Mode Assumptions'!C18*'Active Mode Assumptions'!C23/(1+'Active Mode Assumptions'!C18))</f>
        <v>1114.4236289552919</v>
      </c>
      <c r="D7" s="4">
        <f ca="1">D161*'Total Distance Tables Sup #1'!D7*(1+'Other Assumptions'!H$44)-(D5*'Active Mode Assumptions'!D9*'Active Mode Assumptions'!D14/(1+'Active Mode Assumptions'!D9))-(D6*'Active Mode Assumptions'!D18*'Active Mode Assumptions'!D23/(1+'Active Mode Assumptions'!D18))</f>
        <v>1173.637629036305</v>
      </c>
      <c r="E7" s="4">
        <f ca="1">E161*'Total Distance Tables Sup #1'!E7*(1+'Other Assumptions'!I$44)-(E5*'Active Mode Assumptions'!E9*'Active Mode Assumptions'!E14/(1+'Active Mode Assumptions'!E9))-(E6*'Active Mode Assumptions'!E18*'Active Mode Assumptions'!E23/(1+'Active Mode Assumptions'!E18))</f>
        <v>1226.0519843973423</v>
      </c>
      <c r="F7" s="4">
        <f ca="1">F161*'Total Distance Tables Sup #1'!F7*(1+'Other Assumptions'!J$44)-(F5*'Active Mode Assumptions'!F9*'Active Mode Assumptions'!F14/(1+'Active Mode Assumptions'!F9))-(F6*'Active Mode Assumptions'!F18*'Active Mode Assumptions'!F23/(1+'Active Mode Assumptions'!F18))</f>
        <v>1270.2211183983532</v>
      </c>
      <c r="G7" s="4">
        <f ca="1">G161*'Total Distance Tables Sup #1'!G7*(1+'Other Assumptions'!K$44)-(G5*'Active Mode Assumptions'!G9*'Active Mode Assumptions'!G14/(1+'Active Mode Assumptions'!G9))-(G6*'Active Mode Assumptions'!G18*'Active Mode Assumptions'!G23/(1+'Active Mode Assumptions'!G18))</f>
        <v>1299.7236240115124</v>
      </c>
      <c r="H7" s="4">
        <f ca="1">H161*'Total Distance Tables Sup #1'!H7*(1+'Other Assumptions'!L$44)-(H5*'Active Mode Assumptions'!H9*'Active Mode Assumptions'!H14/(1+'Active Mode Assumptions'!H9))-(H6*'Active Mode Assumptions'!H18*'Active Mode Assumptions'!H23/(1+'Active Mode Assumptions'!H18))</f>
        <v>1321.7917343330664</v>
      </c>
      <c r="I7" s="1">
        <f ca="1">I161*'Total Distance Tables Sup #1'!I7*(1+'Other Assumptions'!M$44)-(I5*'Active Mode Assumptions'!I9*'Active Mode Assumptions'!I14/(1+'Active Mode Assumptions'!I9))-(I6*'Active Mode Assumptions'!I18*'Active Mode Assumptions'!I23/(1+'Active Mode Assumptions'!I18))</f>
        <v>1340.8851514754526</v>
      </c>
      <c r="J7" s="1">
        <f ca="1">J161*'Total Distance Tables Sup #1'!J7*(1+'Other Assumptions'!N$44)-(J5*'Active Mode Assumptions'!J9*'Active Mode Assumptions'!J14/(1+'Active Mode Assumptions'!J9))-(J6*'Active Mode Assumptions'!J18*'Active Mode Assumptions'!J23/(1+'Active Mode Assumptions'!J18))</f>
        <v>1356.4756338374273</v>
      </c>
      <c r="K7" s="1">
        <f ca="1">K161*'Total Distance Tables Sup #1'!K7*(1+'Other Assumptions'!O$44)-(K5*'Active Mode Assumptions'!K9*'Active Mode Assumptions'!K14/(1+'Active Mode Assumptions'!K9))-(K6*'Active Mode Assumptions'!K18*'Active Mode Assumptions'!K23/(1+'Active Mode Assumptions'!K18))</f>
        <v>1369.8647536108936</v>
      </c>
    </row>
    <row r="8" spans="1:11" x14ac:dyDescent="0.2">
      <c r="A8" t="str">
        <f ca="1">OFFSET(Northland_Reference,21,2)</f>
        <v>Light Vehicle Passenger</v>
      </c>
      <c r="B8" s="4">
        <f ca="1">B162*'Total Distance Tables Sup #1'!B8*(1+'Other Assumptions'!D$44)-(B5*'Active Mode Assumptions'!B9*'Active Mode Assumptions'!B15/(1+'Active Mode Assumptions'!B9))-(B6*'Active Mode Assumptions'!B18*'Active Mode Assumptions'!B24/(1+'Active Mode Assumptions'!B18))</f>
        <v>666.23785996000004</v>
      </c>
      <c r="C8" s="4">
        <f ca="1">C162*'Total Distance Tables Sup #1'!C8*(1+'Other Assumptions'!G$44)-(C5*'Active Mode Assumptions'!C9*'Active Mode Assumptions'!C15/(1+'Active Mode Assumptions'!C9))-(C6*'Active Mode Assumptions'!C18*'Active Mode Assumptions'!C24/(1+'Active Mode Assumptions'!C18))</f>
        <v>706.99571814390356</v>
      </c>
      <c r="D8" s="4">
        <f ca="1">D162*'Total Distance Tables Sup #1'!D8*(1+'Other Assumptions'!H$44)-(D5*'Active Mode Assumptions'!D9*'Active Mode Assumptions'!D15/(1+'Active Mode Assumptions'!D9))-(D6*'Active Mode Assumptions'!D18*'Active Mode Assumptions'!D24/(1+'Active Mode Assumptions'!D18))</f>
        <v>729.32342906434963</v>
      </c>
      <c r="E8" s="4">
        <f ca="1">E162*'Total Distance Tables Sup #1'!E8*(1+'Other Assumptions'!I$44)-(E5*'Active Mode Assumptions'!E9*'Active Mode Assumptions'!E15/(1+'Active Mode Assumptions'!E9))-(E6*'Active Mode Assumptions'!E18*'Active Mode Assumptions'!E24/(1+'Active Mode Assumptions'!E18))</f>
        <v>746.81223945683359</v>
      </c>
      <c r="F8" s="4">
        <f ca="1">F162*'Total Distance Tables Sup #1'!F8*(1+'Other Assumptions'!J$44)-(F5*'Active Mode Assumptions'!F9*'Active Mode Assumptions'!F15/(1+'Active Mode Assumptions'!F9))-(F6*'Active Mode Assumptions'!F18*'Active Mode Assumptions'!F24/(1+'Active Mode Assumptions'!F18))</f>
        <v>757.35274734688699</v>
      </c>
      <c r="G8" s="4">
        <f ca="1">G162*'Total Distance Tables Sup #1'!G8*(1+'Other Assumptions'!K$44)-(G5*'Active Mode Assumptions'!G9*'Active Mode Assumptions'!G15/(1+'Active Mode Assumptions'!G9))-(G6*'Active Mode Assumptions'!G18*'Active Mode Assumptions'!G24/(1+'Active Mode Assumptions'!G18))</f>
        <v>762.01320131977229</v>
      </c>
      <c r="H8" s="4">
        <f ca="1">H162*'Total Distance Tables Sup #1'!H8*(1+'Other Assumptions'!L$44)-(H5*'Active Mode Assumptions'!H9*'Active Mode Assumptions'!H15/(1+'Active Mode Assumptions'!H9))-(H6*'Active Mode Assumptions'!H18*'Active Mode Assumptions'!H24/(1+'Active Mode Assumptions'!H18))</f>
        <v>761.92278311274947</v>
      </c>
      <c r="I8" s="1">
        <f ca="1">I162*'Total Distance Tables Sup #1'!I8*(1+'Other Assumptions'!M$44)-(I5*'Active Mode Assumptions'!I9*'Active Mode Assumptions'!I15/(1+'Active Mode Assumptions'!I9))-(I6*'Active Mode Assumptions'!I18*'Active Mode Assumptions'!I24/(1+'Active Mode Assumptions'!I18))</f>
        <v>773.30869939375611</v>
      </c>
      <c r="J8" s="1">
        <f ca="1">J162*'Total Distance Tables Sup #1'!J8*(1+'Other Assumptions'!N$44)-(J5*'Active Mode Assumptions'!J9*'Active Mode Assumptions'!J15/(1+'Active Mode Assumptions'!J9))-(J6*'Active Mode Assumptions'!J18*'Active Mode Assumptions'!J24/(1+'Active Mode Assumptions'!J18))</f>
        <v>782.68551086317723</v>
      </c>
      <c r="K8" s="1">
        <f ca="1">K162*'Total Distance Tables Sup #1'!K8*(1+'Other Assumptions'!O$44)-(K5*'Active Mode Assumptions'!K9*'Active Mode Assumptions'!K15/(1+'Active Mode Assumptions'!K9))-(K6*'Active Mode Assumptions'!K18*'Active Mode Assumptions'!K24/(1+'Active Mode Assumptions'!K18))</f>
        <v>790.80140273645327</v>
      </c>
    </row>
    <row r="9" spans="1:11" x14ac:dyDescent="0.2">
      <c r="A9" t="str">
        <f ca="1">OFFSET(Northland_Reference,28,2)</f>
        <v>Taxi/Vehicle Share</v>
      </c>
      <c r="B9" s="4">
        <f ca="1">B163*'Total Distance Tables Sup #1'!B9*(1+'Other Assumptions'!D$44)</f>
        <v>0.75976041549999995</v>
      </c>
      <c r="C9" s="4">
        <f ca="1">C163*'Total Distance Tables Sup #1'!C9*(1+'Other Assumptions'!G$44)</f>
        <v>0.87234578553496545</v>
      </c>
      <c r="D9" s="4">
        <f ca="1">D163*'Total Distance Tables Sup #1'!D9*(1+'Other Assumptions'!H$44)</f>
        <v>0.96408812070281047</v>
      </c>
      <c r="E9" s="4">
        <f ca="1">E163*'Total Distance Tables Sup #1'!E9*(1+'Other Assumptions'!I$44)</f>
        <v>1.0459679427395825</v>
      </c>
      <c r="F9" s="4">
        <f ca="1">F163*'Total Distance Tables Sup #1'!F9*(1+'Other Assumptions'!J$44)</f>
        <v>1.1136182213401959</v>
      </c>
      <c r="G9" s="4">
        <f ca="1">G163*'Total Distance Tables Sup #1'!G9*(1+'Other Assumptions'!K$44)</f>
        <v>1.1614535905728827</v>
      </c>
      <c r="H9" s="4">
        <f ca="1">H163*'Total Distance Tables Sup #1'!H9*(1+'Other Assumptions'!L$44)</f>
        <v>1.2029039208280174</v>
      </c>
      <c r="I9" s="1">
        <f ca="1">I163*'Total Distance Tables Sup #1'!I9*(1+'Other Assumptions'!M$44)</f>
        <v>1.2160242766730565</v>
      </c>
      <c r="J9" s="1">
        <f ca="1">J163*'Total Distance Tables Sup #1'!J9*(1+'Other Assumptions'!N$44)</f>
        <v>1.2258719534159388</v>
      </c>
      <c r="K9" s="1">
        <f ca="1">K163*'Total Distance Tables Sup #1'!K9*(1+'Other Assumptions'!O$44)</f>
        <v>1.2336548685475657</v>
      </c>
    </row>
    <row r="10" spans="1:11" x14ac:dyDescent="0.2">
      <c r="A10" t="str">
        <f ca="1">OFFSET(Northland_Reference,35,2)</f>
        <v>Motorcyclist</v>
      </c>
      <c r="B10" s="4">
        <f ca="1">B164*'Total Distance Tables Sup #1'!B10*(1+'Other Assumptions'!D$44)</f>
        <v>9.2423909657000003</v>
      </c>
      <c r="C10" s="4">
        <f ca="1">C164*'Total Distance Tables Sup #1'!C10*(1+'Other Assumptions'!G$44)</f>
        <v>10.195102034266119</v>
      </c>
      <c r="D10" s="4">
        <f ca="1">D164*'Total Distance Tables Sup #1'!D10*(1+'Other Assumptions'!H$44)</f>
        <v>10.710686716169121</v>
      </c>
      <c r="E10" s="4">
        <f ca="1">E164*'Total Distance Tables Sup #1'!E10*(1+'Other Assumptions'!I$44)</f>
        <v>10.988708683702917</v>
      </c>
      <c r="F10" s="4">
        <f ca="1">F164*'Total Distance Tables Sup #1'!F10*(1+'Other Assumptions'!J$44)</f>
        <v>11.127551202043438</v>
      </c>
      <c r="G10" s="4">
        <f ca="1">G164*'Total Distance Tables Sup #1'!G10*(1+'Other Assumptions'!K$44)</f>
        <v>11.051081679298122</v>
      </c>
      <c r="H10" s="4">
        <f ca="1">H164*'Total Distance Tables Sup #1'!H10*(1+'Other Assumptions'!L$44)</f>
        <v>10.901766283085157</v>
      </c>
      <c r="I10" s="1">
        <f ca="1">I164*'Total Distance Tables Sup #1'!I10*(1+'Other Assumptions'!M$44)</f>
        <v>11.123116406099317</v>
      </c>
      <c r="J10" s="1">
        <f ca="1">J164*'Total Distance Tables Sup #1'!J10*(1+'Other Assumptions'!N$44)</f>
        <v>11.317848978190924</v>
      </c>
      <c r="K10" s="1">
        <f ca="1">K164*'Total Distance Tables Sup #1'!K10*(1+'Other Assumptions'!O$44)</f>
        <v>11.496387361808544</v>
      </c>
    </row>
    <row r="11" spans="1:11" x14ac:dyDescent="0.2">
      <c r="A11" t="str">
        <f ca="1">OFFSET(Auckland_Reference,42,2)</f>
        <v>Local Train</v>
      </c>
      <c r="B11" s="4">
        <f ca="1">B165*'Total Distance Tables Sup #1'!B11*(1+'Other Assumptions'!D$44)</f>
        <v>0</v>
      </c>
      <c r="C11" s="4">
        <f ca="1">C165*'Total Distance Tables Sup #1'!C11*(1+'Other Assumptions'!G$44)</f>
        <v>0</v>
      </c>
      <c r="D11" s="4">
        <f ca="1">D165*'Total Distance Tables Sup #1'!D11*(1+'Other Assumptions'!H$44)</f>
        <v>0</v>
      </c>
      <c r="E11" s="4">
        <f ca="1">E165*'Total Distance Tables Sup #1'!E11*(1+'Other Assumptions'!I$44)</f>
        <v>0</v>
      </c>
      <c r="F11" s="4">
        <f ca="1">F165*'Total Distance Tables Sup #1'!F11*(1+'Other Assumptions'!J$44)</f>
        <v>0</v>
      </c>
      <c r="G11" s="4">
        <f ca="1">G165*'Total Distance Tables Sup #1'!G11*(1+'Other Assumptions'!K$44)</f>
        <v>0</v>
      </c>
      <c r="H11" s="4">
        <f ca="1">H165*'Total Distance Tables Sup #1'!H11*(1+'Other Assumptions'!L$44)</f>
        <v>0</v>
      </c>
      <c r="I11" s="1">
        <f ca="1">I165*'Total Distance Tables Sup #1'!I11*(1+'Other Assumptions'!M$44)</f>
        <v>0</v>
      </c>
      <c r="J11" s="1">
        <f ca="1">J165*'Total Distance Tables Sup #1'!J11*(1+'Other Assumptions'!N$44)</f>
        <v>0</v>
      </c>
      <c r="K11" s="1">
        <f ca="1">K165*'Total Distance Tables Sup #1'!K11*(1+'Other Assumptions'!O$44)</f>
        <v>0</v>
      </c>
    </row>
    <row r="12" spans="1:11" x14ac:dyDescent="0.2">
      <c r="A12" t="str">
        <f ca="1">OFFSET(Northland_Reference,42,2)</f>
        <v>Local Bus</v>
      </c>
      <c r="B12" s="4">
        <f ca="1">B166*'Total Distance Tables Sup #1'!B12*(1+'Other Assumptions'!D$44)</f>
        <v>44.734594063999999</v>
      </c>
      <c r="C12" s="4">
        <f ca="1">C166*'Total Distance Tables Sup #1'!C12*(1+'Other Assumptions'!G$44)</f>
        <v>44.210536509503747</v>
      </c>
      <c r="D12" s="4">
        <f ca="1">D166*'Total Distance Tables Sup #1'!D12*(1+'Other Assumptions'!H$44)</f>
        <v>43.739248920842712</v>
      </c>
      <c r="E12" s="4">
        <f ca="1">E166*'Total Distance Tables Sup #1'!E12*(1+'Other Assumptions'!I$44)</f>
        <v>43.431846711174501</v>
      </c>
      <c r="F12" s="4">
        <f ca="1">F166*'Total Distance Tables Sup #1'!F12*(1+'Other Assumptions'!J$44)</f>
        <v>42.285976873369115</v>
      </c>
      <c r="G12" s="4">
        <f ca="1">G166*'Total Distance Tables Sup #1'!G12*(1+'Other Assumptions'!K$44)</f>
        <v>41.53290022531516</v>
      </c>
      <c r="H12" s="4">
        <f ca="1">H166*'Total Distance Tables Sup #1'!H12*(1+'Other Assumptions'!L$44)</f>
        <v>40.584136226170948</v>
      </c>
      <c r="I12" s="1">
        <f ca="1">I166*'Total Distance Tables Sup #1'!I12*(1+'Other Assumptions'!M$44)</f>
        <v>41.204591726580155</v>
      </c>
      <c r="J12" s="1">
        <f ca="1">J166*'Total Distance Tables Sup #1'!J12*(1+'Other Assumptions'!N$44)</f>
        <v>41.716510625213509</v>
      </c>
      <c r="K12" s="1">
        <f ca="1">K166*'Total Distance Tables Sup #1'!K12*(1+'Other Assumptions'!O$44)</f>
        <v>42.159594898909269</v>
      </c>
    </row>
    <row r="13" spans="1:11" x14ac:dyDescent="0.2">
      <c r="A13" t="str">
        <f ca="1">OFFSET(Northland_Reference,49,2)</f>
        <v>Local Ferry</v>
      </c>
      <c r="B13" s="4">
        <f ca="1">B167*'Total Distance Tables Sup #1'!B13*(1+'Other Assumptions'!D$44)</f>
        <v>0</v>
      </c>
      <c r="C13" s="4">
        <f ca="1">C167*'Total Distance Tables Sup #1'!C13*(1+'Other Assumptions'!G$44)</f>
        <v>0</v>
      </c>
      <c r="D13" s="4">
        <f ca="1">D167*'Total Distance Tables Sup #1'!D13*(1+'Other Assumptions'!H$44)</f>
        <v>0</v>
      </c>
      <c r="E13" s="4">
        <f ca="1">E167*'Total Distance Tables Sup #1'!E13*(1+'Other Assumptions'!I$44)</f>
        <v>0</v>
      </c>
      <c r="F13" s="4">
        <f ca="1">F167*'Total Distance Tables Sup #1'!F13*(1+'Other Assumptions'!J$44)</f>
        <v>0</v>
      </c>
      <c r="G13" s="4">
        <f ca="1">G167*'Total Distance Tables Sup #1'!G13*(1+'Other Assumptions'!K$44)</f>
        <v>0</v>
      </c>
      <c r="H13" s="4">
        <f ca="1">H167*'Total Distance Tables Sup #1'!H13*(1+'Other Assumptions'!L$44)</f>
        <v>0</v>
      </c>
      <c r="I13" s="1">
        <f ca="1">I167*'Total Distance Tables Sup #1'!I13*(1+'Other Assumptions'!M$44)</f>
        <v>0</v>
      </c>
      <c r="J13" s="1">
        <f ca="1">J167*'Total Distance Tables Sup #1'!J13*(1+'Other Assumptions'!N$44)</f>
        <v>0</v>
      </c>
      <c r="K13" s="1">
        <f ca="1">K167*'Total Distance Tables Sup #1'!K13*(1+'Other Assumptions'!O$44)</f>
        <v>0</v>
      </c>
    </row>
    <row r="14" spans="1:11" x14ac:dyDescent="0.2">
      <c r="A14" t="str">
        <f ca="1">OFFSET(Northland_Reference,56,2)</f>
        <v>Other Household Travel</v>
      </c>
      <c r="B14" s="4">
        <f ca="1">B168*'Total Distance Tables Sup #1'!B14*(1+'Other Assumptions'!D$44)</f>
        <v>0</v>
      </c>
      <c r="C14" s="4">
        <f ca="1">C168*'Total Distance Tables Sup #1'!C14*(1+'Other Assumptions'!G$44)</f>
        <v>0</v>
      </c>
      <c r="D14" s="4">
        <f ca="1">D168*'Total Distance Tables Sup #1'!D14*(1+'Other Assumptions'!H$44)</f>
        <v>0</v>
      </c>
      <c r="E14" s="4">
        <f ca="1">E168*'Total Distance Tables Sup #1'!E14*(1+'Other Assumptions'!I$44)</f>
        <v>0</v>
      </c>
      <c r="F14" s="4">
        <f ca="1">F168*'Total Distance Tables Sup #1'!F14*(1+'Other Assumptions'!J$44)</f>
        <v>0</v>
      </c>
      <c r="G14" s="4">
        <f ca="1">G168*'Total Distance Tables Sup #1'!G14*(1+'Other Assumptions'!K$44)</f>
        <v>0</v>
      </c>
      <c r="H14" s="4">
        <f ca="1">H168*'Total Distance Tables Sup #1'!H14*(1+'Other Assumptions'!L$44)</f>
        <v>0</v>
      </c>
      <c r="I14" s="1">
        <f ca="1">I168*'Total Distance Tables Sup #1'!I14*(1+'Other Assumptions'!M$44)</f>
        <v>0</v>
      </c>
      <c r="J14" s="1">
        <f ca="1">J168*'Total Distance Tables Sup #1'!J14*(1+'Other Assumptions'!N$44)</f>
        <v>0</v>
      </c>
      <c r="K14" s="1">
        <f ca="1">K168*'Total Distance Tables Sup #1'!K14*(1+'Other Assumptions'!O$44)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(B159*'Total Distance Tables Sup #1'!B16)*(1+'Other Assumptions'!D$45)*(1+'Active Mode Assumptions'!B9)-('PT Assumptions'!B14*'Total Distance Tables Sup #2'!B170+'PT Assumptions'!B26*'Total Distance Tables Sup #2'!B173)*(1+'Other Assumptions'!D$45)</f>
        <v>294.55939388000002</v>
      </c>
      <c r="C16" s="4">
        <f ca="1">(C159*'Total Distance Tables Sup #1'!C16)*(1+'Other Assumptions'!G$45)*(1+'Active Mode Assumptions'!C9)-('PT Assumptions'!C14*'Total Distance Tables Sup #2'!C170+'PT Assumptions'!C26*'Total Distance Tables Sup #2'!C173)*(1+'Other Assumptions'!G$45)</f>
        <v>321.02138978441405</v>
      </c>
      <c r="D16" s="4">
        <f ca="1">(D159*'Total Distance Tables Sup #1'!D16)*(1+'Other Assumptions'!H$45)*(1+'Active Mode Assumptions'!D9)-('PT Assumptions'!D14*'Total Distance Tables Sup #2'!D170+'PT Assumptions'!D26*'Total Distance Tables Sup #2'!D173)*(1+'Other Assumptions'!H$45)</f>
        <v>343.56891489907753</v>
      </c>
      <c r="E16" s="56">
        <f ca="1">(E159*'Total Distance Tables Sup #1'!E16)*(1+'Other Assumptions'!I$45)*(1+'Active Mode Assumptions'!E9)-('PT Assumptions'!E14*'Total Distance Tables Sup #2'!E170+'PT Assumptions'!E26*'Total Distance Tables Sup #2'!E173)*(1+'Other Assumptions'!I$45)</f>
        <v>359.9079914756598</v>
      </c>
      <c r="F16" s="4">
        <f ca="1">(F159*'Total Distance Tables Sup #1'!F16)*(1+'Other Assumptions'!J$45)*(1+'Active Mode Assumptions'!F9)-('PT Assumptions'!F14*'Total Distance Tables Sup #2'!F170+'PT Assumptions'!F26*'Total Distance Tables Sup #2'!F173)*(1+'Other Assumptions'!J$45)</f>
        <v>375.96464905913007</v>
      </c>
      <c r="G16" s="4">
        <f ca="1">(G159*'Total Distance Tables Sup #1'!G16)*(1+'Other Assumptions'!K$45)*(1+'Active Mode Assumptions'!G9)-('PT Assumptions'!G14*'Total Distance Tables Sup #2'!G170+'PT Assumptions'!G26*'Total Distance Tables Sup #2'!G173)*(1+'Other Assumptions'!K$45)</f>
        <v>391.30433967564932</v>
      </c>
      <c r="H16" s="4">
        <f ca="1">(H159*'Total Distance Tables Sup #1'!H16)*(1+'Other Assumptions'!L$45)*(1+'Active Mode Assumptions'!H9)-('PT Assumptions'!H14*'Total Distance Tables Sup #2'!H170+'PT Assumptions'!H26*'Total Distance Tables Sup #2'!H173)*(1+'Other Assumptions'!L$45)</f>
        <v>405.31707098586577</v>
      </c>
      <c r="I16" s="1">
        <f ca="1">(I159*'Total Distance Tables Sup #1'!I16)*(1+'Other Assumptions'!M$45)*(1+'Active Mode Assumptions'!I9)-('PT Assumptions'!I14*'Total Distance Tables Sup #2'!I170+'PT Assumptions'!I26*'Total Distance Tables Sup #2'!I173)*(1+'Other Assumptions'!M$45)</f>
        <v>414.86544647605569</v>
      </c>
      <c r="J16" s="1">
        <f ca="1">(J159*'Total Distance Tables Sup #1'!J16)*(1+'Other Assumptions'!N$45)*(1+'Active Mode Assumptions'!J9)-('PT Assumptions'!J14*'Total Distance Tables Sup #2'!J170+'PT Assumptions'!J26*'Total Distance Tables Sup #2'!J173)*(1+'Other Assumptions'!N$45)</f>
        <v>423.15614199136502</v>
      </c>
      <c r="K16" s="1">
        <f ca="1">(K159*'Total Distance Tables Sup #1'!K16)*(1+'Other Assumptions'!O$45)*(1+'Active Mode Assumptions'!K9)-('PT Assumptions'!K14*'Total Distance Tables Sup #2'!K170+'PT Assumptions'!K26*'Total Distance Tables Sup #2'!K173)*(1+'Other Assumptions'!O$45)</f>
        <v>430.38172033389151</v>
      </c>
    </row>
    <row r="17" spans="1:11" x14ac:dyDescent="0.2">
      <c r="A17" t="str">
        <f ca="1">OFFSET(Auckland_Reference,7,2)</f>
        <v>Cyclist</v>
      </c>
      <c r="B17" s="4">
        <f ca="1">(B160*'Total Distance Tables Sup #1'!B17)*(1+'Other Assumptions'!D$45)*(1+'Active Mode Assumptions'!B18)-('PT Assumptions'!B15*'Total Distance Tables Sup #2'!B170+'PT Assumptions'!B27*'Total Distance Tables Sup #2'!B173)*(1+'Other Assumptions'!D$45)</f>
        <v>55.843008154000003</v>
      </c>
      <c r="C17" s="4">
        <f ca="1">(C160*'Total Distance Tables Sup #1'!C17)*(1+'Other Assumptions'!G$45)*(1+'Active Mode Assumptions'!C18)-('PT Assumptions'!C15*'Total Distance Tables Sup #2'!C170+'PT Assumptions'!C27*'Total Distance Tables Sup #2'!C173)*(1+'Other Assumptions'!G$45)</f>
        <v>63.103369259163827</v>
      </c>
      <c r="D17" s="4">
        <f ca="1">(D160*'Total Distance Tables Sup #1'!D17)*(1+'Other Assumptions'!H$45)*(1+'Active Mode Assumptions'!D18)-('PT Assumptions'!D15*'Total Distance Tables Sup #2'!D170+'PT Assumptions'!D27*'Total Distance Tables Sup #2'!D173)*(1+'Other Assumptions'!H$45)</f>
        <v>80.821263580201517</v>
      </c>
      <c r="E17" s="56">
        <f ca="1">(E160*'Total Distance Tables Sup #1'!E17)*(1+'Other Assumptions'!I$45)*(1+'Active Mode Assumptions'!E18)-('PT Assumptions'!E15*'Total Distance Tables Sup #2'!E170+'PT Assumptions'!E27*'Total Distance Tables Sup #2'!E173)*(1+'Other Assumptions'!I$45)</f>
        <v>97.72714244453968</v>
      </c>
      <c r="F17" s="4">
        <f ca="1">(F160*'Total Distance Tables Sup #1'!F17)*(1+'Other Assumptions'!J$45)*(1+'Active Mode Assumptions'!F18)-('PT Assumptions'!F15*'Total Distance Tables Sup #2'!F170+'PT Assumptions'!F27*'Total Distance Tables Sup #2'!F173)*(1+'Other Assumptions'!J$45)</f>
        <v>117.06191884413977</v>
      </c>
      <c r="G17" s="4">
        <f ca="1">(G160*'Total Distance Tables Sup #1'!G17)*(1+'Other Assumptions'!K$45)*(1+'Active Mode Assumptions'!G18)-('PT Assumptions'!G15*'Total Distance Tables Sup #2'!G170+'PT Assumptions'!G27*'Total Distance Tables Sup #2'!G173)*(1+'Other Assumptions'!K$45)</f>
        <v>139.73821408389034</v>
      </c>
      <c r="H17" s="4">
        <f ca="1">(H160*'Total Distance Tables Sup #1'!H17)*(1+'Other Assumptions'!L$45)*(1+'Active Mode Assumptions'!H18)-('PT Assumptions'!H15*'Total Distance Tables Sup #2'!H170+'PT Assumptions'!H27*'Total Distance Tables Sup #2'!H173)*(1+'Other Assumptions'!L$45)</f>
        <v>164.5215456911076</v>
      </c>
      <c r="I17" s="1">
        <f ca="1">(I160*'Total Distance Tables Sup #1'!I17)*(1+'Other Assumptions'!M$45)*(1+'Active Mode Assumptions'!I18)-('PT Assumptions'!I15*'Total Distance Tables Sup #2'!I170+'PT Assumptions'!I27*'Total Distance Tables Sup #2'!I173)*(1+'Other Assumptions'!M$45)</f>
        <v>169.78322974426345</v>
      </c>
      <c r="J17" s="1">
        <f ca="1">(J160*'Total Distance Tables Sup #1'!J17)*(1+'Other Assumptions'!N$45)*(1+'Active Mode Assumptions'!J18)-('PT Assumptions'!J15*'Total Distance Tables Sup #2'!J170+'PT Assumptions'!J27*'Total Distance Tables Sup #2'!J173)*(1+'Other Assumptions'!N$45)</f>
        <v>174.69655944570812</v>
      </c>
      <c r="K17" s="1">
        <f ca="1">(K160*'Total Distance Tables Sup #1'!K17)*(1+'Other Assumptions'!O$45)*(1+'Active Mode Assumptions'!K18)-('PT Assumptions'!K15*'Total Distance Tables Sup #2'!K170+'PT Assumptions'!K27*'Total Distance Tables Sup #2'!K173)*(1+'Other Assumptions'!O$45)</f>
        <v>179.40731620441048</v>
      </c>
    </row>
    <row r="18" spans="1:11" x14ac:dyDescent="0.2">
      <c r="A18" t="str">
        <f ca="1">OFFSET(Auckland_Reference,14,2)</f>
        <v>Light Vehicle Driver</v>
      </c>
      <c r="B18" s="4">
        <f ca="1">(B161*'Total Distance Tables Sup #1'!B18-'PT Assumptions'!B16*'Total Distance Tables Sup #2'!B170-'PT Assumptions'!B28*'Total Distance Tables Sup #2'!B173)*(1+'Other Assumptions'!D$45)-(B159*'Total Distance Tables Sup #1'!B16)*(1+'Other Assumptions'!D$45)*'Active Mode Assumptions'!B9*'Active Mode Assumptions'!B14-(B160*'Total Distance Tables Sup #1'!B17)*(1+'Other Assumptions'!D$45)*'Active Mode Assumptions'!B18*'Active Mode Assumptions'!B23</f>
        <v>9374.4733825999992</v>
      </c>
      <c r="C18" s="4">
        <f ca="1">(C161*'Total Distance Tables Sup #1'!C18-'PT Assumptions'!C16*'Total Distance Tables Sup #2'!C170-'PT Assumptions'!C28*'Total Distance Tables Sup #2'!C173)*(1+'Other Assumptions'!G$45)-(C159*'Total Distance Tables Sup #1'!C16)*(1+'Other Assumptions'!G$45)*'Active Mode Assumptions'!C9*'Active Mode Assumptions'!C14-(C160*'Total Distance Tables Sup #1'!C17)*(1+'Other Assumptions'!G$45)*'Active Mode Assumptions'!C18*'Active Mode Assumptions'!C23</f>
        <v>10545.664852441845</v>
      </c>
      <c r="D18" s="4">
        <f ca="1">(D161*'Total Distance Tables Sup #1'!D18-'PT Assumptions'!D16*'Total Distance Tables Sup #2'!D170-'PT Assumptions'!D28*'Total Distance Tables Sup #2'!D173)*(1+'Other Assumptions'!H$45)-(D159*'Total Distance Tables Sup #1'!D16)*(1+'Other Assumptions'!H$45)*'Active Mode Assumptions'!D9*'Active Mode Assumptions'!D14-(D160*'Total Distance Tables Sup #1'!D17)*(1+'Other Assumptions'!H$45)*'Active Mode Assumptions'!D18*'Active Mode Assumptions'!D23</f>
        <v>11199.758543902939</v>
      </c>
      <c r="E18" s="56">
        <f ca="1">(E161*'Total Distance Tables Sup #1'!E18-'PT Assumptions'!E16*'Total Distance Tables Sup #2'!E170-'PT Assumptions'!E28*'Total Distance Tables Sup #2'!E173)*(1+'Other Assumptions'!I$45)-(E159*'Total Distance Tables Sup #1'!E16)*(1+'Other Assumptions'!I$45)*'Active Mode Assumptions'!E9*'Active Mode Assumptions'!E14-(E160*'Total Distance Tables Sup #1'!E17)*(1+'Other Assumptions'!I$45)*'Active Mode Assumptions'!E18*'Active Mode Assumptions'!E23</f>
        <v>11762.207134737535</v>
      </c>
      <c r="F18" s="4">
        <f ca="1">(F161*'Total Distance Tables Sup #1'!F18-'PT Assumptions'!F16*'Total Distance Tables Sup #2'!F170-'PT Assumptions'!F28*'Total Distance Tables Sup #2'!F173)*(1+'Other Assumptions'!J$45)-(F159*'Total Distance Tables Sup #1'!F16)*(1+'Other Assumptions'!J$45)*'Active Mode Assumptions'!F9*'Active Mode Assumptions'!F14-(F160*'Total Distance Tables Sup #1'!F17)*(1+'Other Assumptions'!J$45)*'Active Mode Assumptions'!F18*'Active Mode Assumptions'!F23</f>
        <v>12344.040978793206</v>
      </c>
      <c r="G18" s="4">
        <f ca="1">(G161*'Total Distance Tables Sup #1'!G18-'PT Assumptions'!G16*'Total Distance Tables Sup #2'!G170-'PT Assumptions'!G28*'Total Distance Tables Sup #2'!G173)*(1+'Other Assumptions'!K$45)-(G159*'Total Distance Tables Sup #1'!G16)*(1+'Other Assumptions'!K$45)*'Active Mode Assumptions'!G9*'Active Mode Assumptions'!G14-(G160*'Total Distance Tables Sup #1'!G17)*(1+'Other Assumptions'!K$45)*'Active Mode Assumptions'!G18*'Active Mode Assumptions'!G23</f>
        <v>12795.231252053323</v>
      </c>
      <c r="H18" s="4">
        <f ca="1">(H161*'Total Distance Tables Sup #1'!H18-'PT Assumptions'!H16*'Total Distance Tables Sup #2'!H170-'PT Assumptions'!H28*'Total Distance Tables Sup #2'!H173)*(1+'Other Assumptions'!L$45)-(H159*'Total Distance Tables Sup #1'!H16)*(1+'Other Assumptions'!L$45)*'Active Mode Assumptions'!H9*'Active Mode Assumptions'!H14-(H160*'Total Distance Tables Sup #1'!H17)*(1+'Other Assumptions'!L$45)*'Active Mode Assumptions'!H18*'Active Mode Assumptions'!H23</f>
        <v>13195.002054362691</v>
      </c>
      <c r="I18" s="1">
        <f ca="1">(I161*'Total Distance Tables Sup #1'!I18-'PT Assumptions'!I16*'Total Distance Tables Sup #2'!I170-'PT Assumptions'!I28*'Total Distance Tables Sup #2'!I173)*(1+'Other Assumptions'!M$45)-(I159*'Total Distance Tables Sup #1'!I16)*(1+'Other Assumptions'!M$45)*'Active Mode Assumptions'!I9*'Active Mode Assumptions'!I14-(I160*'Total Distance Tables Sup #1'!I17)*(1+'Other Assumptions'!M$45)*'Active Mode Assumptions'!I18*'Active Mode Assumptions'!I23</f>
        <v>13583.543079182091</v>
      </c>
      <c r="J18" s="1">
        <f ca="1">(J161*'Total Distance Tables Sup #1'!J18-'PT Assumptions'!J16*'Total Distance Tables Sup #2'!J170-'PT Assumptions'!J28*'Total Distance Tables Sup #2'!J173)*(1+'Other Assumptions'!N$45)-(J159*'Total Distance Tables Sup #1'!J16)*(1+'Other Assumptions'!N$45)*'Active Mode Assumptions'!J9*'Active Mode Assumptions'!J14-(J160*'Total Distance Tables Sup #1'!J17)*(1+'Other Assumptions'!N$45)*'Active Mode Assumptions'!J18*'Active Mode Assumptions'!J23</f>
        <v>13938.675878802065</v>
      </c>
      <c r="K18" s="1">
        <f ca="1">(K161*'Total Distance Tables Sup #1'!K18-'PT Assumptions'!K16*'Total Distance Tables Sup #2'!K170-'PT Assumptions'!K28*'Total Distance Tables Sup #2'!K173)*(1+'Other Assumptions'!O$45)-(K159*'Total Distance Tables Sup #1'!K16)*(1+'Other Assumptions'!O$45)*'Active Mode Assumptions'!K9*'Active Mode Assumptions'!K14-(K160*'Total Distance Tables Sup #1'!K17)*(1+'Other Assumptions'!O$45)*'Active Mode Assumptions'!K18*'Active Mode Assumptions'!K23</f>
        <v>14268.752201372155</v>
      </c>
    </row>
    <row r="19" spans="1:11" x14ac:dyDescent="0.2">
      <c r="A19" t="str">
        <f ca="1">OFFSET(Auckland_Reference,21,2)</f>
        <v>Light Vehicle Passenger</v>
      </c>
      <c r="B19" s="4">
        <f ca="1">(B162*'Total Distance Tables Sup #1'!B19-'PT Assumptions'!B17*'Total Distance Tables Sup #2'!B170-'PT Assumptions'!B29*'Total Distance Tables Sup #2'!B173)*(1+'Other Assumptions'!D$45)-(B159*'Total Distance Tables Sup #1'!B16)*(1+'Other Assumptions'!D$45)*'Active Mode Assumptions'!B9*'Active Mode Assumptions'!B15-(B160*'Total Distance Tables Sup #1'!B17)*(1+'Other Assumptions'!D$45)*'Active Mode Assumptions'!B18*'Active Mode Assumptions'!B24</f>
        <v>4814.6436660999998</v>
      </c>
      <c r="C19" s="4">
        <f ca="1">(C162*'Total Distance Tables Sup #1'!C19-'PT Assumptions'!C17*'Total Distance Tables Sup #2'!C170-'PT Assumptions'!C29*'Total Distance Tables Sup #2'!C173)*(1+'Other Assumptions'!G$45)-(C159*'Total Distance Tables Sup #1'!C16)*(1+'Other Assumptions'!G$45)*'Active Mode Assumptions'!C9*'Active Mode Assumptions'!C15-(C160*'Total Distance Tables Sup #1'!C17)*(1+'Other Assumptions'!G$45)*'Active Mode Assumptions'!C18*'Active Mode Assumptions'!C24</f>
        <v>5196.8328487547815</v>
      </c>
      <c r="D19" s="4">
        <f ca="1">(D162*'Total Distance Tables Sup #1'!D19-'PT Assumptions'!D17*'Total Distance Tables Sup #2'!D170-'PT Assumptions'!D29*'Total Distance Tables Sup #2'!D173)*(1+'Other Assumptions'!H$45)-(D159*'Total Distance Tables Sup #1'!D16)*(1+'Other Assumptions'!H$45)*'Active Mode Assumptions'!D9*'Active Mode Assumptions'!D15-(D160*'Total Distance Tables Sup #1'!D17)*(1+'Other Assumptions'!H$45)*'Active Mode Assumptions'!D18*'Active Mode Assumptions'!D24</f>
        <v>5331.245432064351</v>
      </c>
      <c r="E19" s="56">
        <f ca="1">(E162*'Total Distance Tables Sup #1'!E19-'PT Assumptions'!E17*'Total Distance Tables Sup #2'!E170-'PT Assumptions'!E29*'Total Distance Tables Sup #2'!E173)*(1+'Other Assumptions'!I$45)-(E159*'Total Distance Tables Sup #1'!E16)*(1+'Other Assumptions'!I$45)*'Active Mode Assumptions'!E9*'Active Mode Assumptions'!E15-(E160*'Total Distance Tables Sup #1'!E17)*(1+'Other Assumptions'!I$45)*'Active Mode Assumptions'!E18*'Active Mode Assumptions'!E24</f>
        <v>5412.8572663384866</v>
      </c>
      <c r="F19" s="4">
        <f ca="1">(F162*'Total Distance Tables Sup #1'!F19-'PT Assumptions'!F17*'Total Distance Tables Sup #2'!F170-'PT Assumptions'!F29*'Total Distance Tables Sup #2'!F173)*(1+'Other Assumptions'!J$45)-(F159*'Total Distance Tables Sup #1'!F16)*(1+'Other Assumptions'!J$45)*'Active Mode Assumptions'!F9*'Active Mode Assumptions'!F15-(F160*'Total Distance Tables Sup #1'!F17)*(1+'Other Assumptions'!J$45)*'Active Mode Assumptions'!F18*'Active Mode Assumptions'!F24</f>
        <v>5518.638779171617</v>
      </c>
      <c r="G19" s="4">
        <f ca="1">(G162*'Total Distance Tables Sup #1'!G19-'PT Assumptions'!G17*'Total Distance Tables Sup #2'!G170-'PT Assumptions'!G29*'Total Distance Tables Sup #2'!G173)*(1+'Other Assumptions'!K$45)-(G159*'Total Distance Tables Sup #1'!G16)*(1+'Other Assumptions'!K$45)*'Active Mode Assumptions'!G9*'Active Mode Assumptions'!G15-(G160*'Total Distance Tables Sup #1'!G17)*(1+'Other Assumptions'!K$45)*'Active Mode Assumptions'!G18*'Active Mode Assumptions'!G24</f>
        <v>5581.355801664552</v>
      </c>
      <c r="H19" s="4">
        <f ca="1">(H162*'Total Distance Tables Sup #1'!H19-'PT Assumptions'!H17*'Total Distance Tables Sup #2'!H170-'PT Assumptions'!H29*'Total Distance Tables Sup #2'!H173)*(1+'Other Assumptions'!L$45)-(H159*'Total Distance Tables Sup #1'!H16)*(1+'Other Assumptions'!L$45)*'Active Mode Assumptions'!H9*'Active Mode Assumptions'!H15-(H160*'Total Distance Tables Sup #1'!H17)*(1+'Other Assumptions'!L$45)*'Active Mode Assumptions'!H18*'Active Mode Assumptions'!H24</f>
        <v>5612.44915943055</v>
      </c>
      <c r="I19" s="1">
        <f ca="1">(I162*'Total Distance Tables Sup #1'!I19-'PT Assumptions'!I17*'Total Distance Tables Sup #2'!I170-'PT Assumptions'!I29*'Total Distance Tables Sup #2'!I173)*(1+'Other Assumptions'!M$45)-(I159*'Total Distance Tables Sup #1'!I16)*(1+'Other Assumptions'!M$45)*'Active Mode Assumptions'!I9*'Active Mode Assumptions'!I15-(I160*'Total Distance Tables Sup #1'!I17)*(1+'Other Assumptions'!M$45)*'Active Mode Assumptions'!I18*'Active Mode Assumptions'!I24</f>
        <v>5749.312504262688</v>
      </c>
      <c r="J19" s="1">
        <f ca="1">(J162*'Total Distance Tables Sup #1'!J19-'PT Assumptions'!J17*'Total Distance Tables Sup #2'!J170-'PT Assumptions'!J29*'Total Distance Tables Sup #2'!J173)*(1+'Other Assumptions'!N$45)-(J159*'Total Distance Tables Sup #1'!J16)*(1+'Other Assumptions'!N$45)*'Active Mode Assumptions'!J9*'Active Mode Assumptions'!J15-(J160*'Total Distance Tables Sup #1'!J17)*(1+'Other Assumptions'!N$45)*'Active Mode Assumptions'!J18*'Active Mode Assumptions'!J24</f>
        <v>5868.3571238516797</v>
      </c>
      <c r="K19" s="1">
        <f ca="1">(K162*'Total Distance Tables Sup #1'!K19-'PT Assumptions'!K17*'Total Distance Tables Sup #2'!K170-'PT Assumptions'!K29*'Total Distance Tables Sup #2'!K173)*(1+'Other Assumptions'!O$45)-(K159*'Total Distance Tables Sup #1'!K16)*(1+'Other Assumptions'!O$45)*'Active Mode Assumptions'!K9*'Active Mode Assumptions'!K15-(K160*'Total Distance Tables Sup #1'!K17)*(1+'Other Assumptions'!O$45)*'Active Mode Assumptions'!K18*'Active Mode Assumptions'!K24</f>
        <v>5971.26084177149</v>
      </c>
    </row>
    <row r="20" spans="1:11" x14ac:dyDescent="0.2">
      <c r="A20" t="str">
        <f ca="1">OFFSET(Auckland_Reference,28,2)</f>
        <v>Taxi/Vehicle Share</v>
      </c>
      <c r="B20" s="4">
        <f ca="1">B163*'Total Distance Tables Sup #1'!B20*(1+'Other Assumptions'!D$45)</f>
        <v>41.157157814999998</v>
      </c>
      <c r="C20" s="4">
        <f ca="1">C163*'Total Distance Tables Sup #1'!C20*(1+'Other Assumptions'!G$45)</f>
        <v>48.423127295137689</v>
      </c>
      <c r="D20" s="4">
        <f ca="1">D163*'Total Distance Tables Sup #1'!D20*(1+'Other Assumptions'!H$45)</f>
        <v>54.652826859218308</v>
      </c>
      <c r="E20" s="56">
        <f ca="1">E163*'Total Distance Tables Sup #1'!E20*(1+'Other Assumptions'!I$45)</f>
        <v>60.283402962386404</v>
      </c>
      <c r="F20" s="4">
        <f ca="1">F163*'Total Distance Tables Sup #1'!F20*(1+'Other Assumptions'!J$45)</f>
        <v>65.340451436701684</v>
      </c>
      <c r="G20" s="4">
        <f ca="1">G163*'Total Distance Tables Sup #1'!G20*(1+'Other Assumptions'!K$45)</f>
        <v>69.380033409426176</v>
      </c>
      <c r="H20" s="4">
        <f ca="1">H163*'Total Distance Tables Sup #1'!H20*(1+'Other Assumptions'!L$45)</f>
        <v>73.225606340326948</v>
      </c>
      <c r="I20" s="1">
        <f ca="1">I163*'Total Distance Tables Sup #1'!I20*(1+'Other Assumptions'!M$45)</f>
        <v>75.422544916085684</v>
      </c>
      <c r="J20" s="1">
        <f ca="1">J163*'Total Distance Tables Sup #1'!J20*(1+'Other Assumptions'!N$45)</f>
        <v>77.455660302235771</v>
      </c>
      <c r="K20" s="1">
        <f ca="1">K163*'Total Distance Tables Sup #1'!K20*(1+'Other Assumptions'!O$45)</f>
        <v>79.390379008472934</v>
      </c>
    </row>
    <row r="21" spans="1:11" x14ac:dyDescent="0.2">
      <c r="A21" t="str">
        <f ca="1">OFFSET(Auckland_Reference,35,2)</f>
        <v>Motorcyclist</v>
      </c>
      <c r="B21" s="4">
        <f ca="1">B164*'Total Distance Tables Sup #1'!B21*(1+'Other Assumptions'!D$45)</f>
        <v>43.570185572</v>
      </c>
      <c r="C21" s="4">
        <f ca="1">C164*'Total Distance Tables Sup #1'!C21*(1+'Other Assumptions'!G$45)</f>
        <v>49.248397504015529</v>
      </c>
      <c r="D21" s="4">
        <f ca="1">D164*'Total Distance Tables Sup #1'!D21*(1+'Other Assumptions'!H$45)</f>
        <v>52.838389925703254</v>
      </c>
      <c r="E21" s="56">
        <f ca="1">E164*'Total Distance Tables Sup #1'!E21*(1+'Other Assumptions'!I$45)</f>
        <v>55.114060181872198</v>
      </c>
      <c r="F21" s="4">
        <f ca="1">F164*'Total Distance Tables Sup #1'!F21*(1+'Other Assumptions'!J$45)</f>
        <v>56.817453327540775</v>
      </c>
      <c r="G21" s="4">
        <f ca="1">G164*'Total Distance Tables Sup #1'!G21*(1+'Other Assumptions'!K$45)</f>
        <v>57.447851724737596</v>
      </c>
      <c r="H21" s="4">
        <f ca="1">H164*'Total Distance Tables Sup #1'!H21*(1+'Other Assumptions'!L$45)</f>
        <v>57.751765252598638</v>
      </c>
      <c r="I21" s="1">
        <f ca="1">I164*'Total Distance Tables Sup #1'!I21*(1+'Other Assumptions'!M$45)</f>
        <v>60.037386629467356</v>
      </c>
      <c r="J21" s="1">
        <f ca="1">J164*'Total Distance Tables Sup #1'!J21*(1+'Other Assumptions'!N$45)</f>
        <v>62.231218755642864</v>
      </c>
      <c r="K21" s="1">
        <f ca="1">K164*'Total Distance Tables Sup #1'!K21*(1+'Other Assumptions'!O$45)</f>
        <v>64.383109381230923</v>
      </c>
    </row>
    <row r="22" spans="1:11" x14ac:dyDescent="0.2">
      <c r="A22" t="str">
        <f ca="1">OFFSET(Auckland_Reference,42,2)</f>
        <v>Local Train</v>
      </c>
      <c r="B22" s="4">
        <f ca="1">'Total Distance Tables Sup #1'!B22*(1+'PT Assumptions'!B9)*(1+'Other Assumptions'!D$45)</f>
        <v>158.68929399999999</v>
      </c>
      <c r="C22" s="4">
        <f ca="1">'Total Distance Tables Sup #1'!C22*(1+'PT Assumptions'!C9)*(1+'Other Assumptions'!G$45)</f>
        <v>316.60247944885913</v>
      </c>
      <c r="D22" s="4">
        <f ca="1">'Total Distance Tables Sup #1'!D22*(1+'PT Assumptions'!D9)*(1+'Other Assumptions'!H$45)</f>
        <v>622.77958371507737</v>
      </c>
      <c r="E22" s="56">
        <f ca="1">'Total Distance Tables Sup #1'!E22*(1+'PT Assumptions'!E9)*(1+'Other Assumptions'!I$45)</f>
        <v>902.05050670302876</v>
      </c>
      <c r="F22" s="4">
        <f ca="1">'Total Distance Tables Sup #1'!F22*(1+'PT Assumptions'!F9)*(1+'Other Assumptions'!J$45)</f>
        <v>1014.5348551085546</v>
      </c>
      <c r="G22" s="4">
        <f ca="1">'Total Distance Tables Sup #1'!G22*(1+'PT Assumptions'!G9)*(1+'Other Assumptions'!K$45)</f>
        <v>1118.5366655347614</v>
      </c>
      <c r="H22" s="4">
        <f ca="1">'Total Distance Tables Sup #1'!H22*(1+'PT Assumptions'!H9)*(1+'Other Assumptions'!L$45)</f>
        <v>1213.9221684860038</v>
      </c>
      <c r="I22" s="1">
        <f ca="1">'Total Distance Tables Sup #1'!I22*(1+'PT Assumptions'!I9)*(1+'Other Assumptions'!M$45)</f>
        <v>1338.4795222561095</v>
      </c>
      <c r="J22" s="1">
        <f ca="1">'Total Distance Tables Sup #1'!J22*(1+'PT Assumptions'!J9)*(1+'Other Assumptions'!N$45)</f>
        <v>1469.5087670610669</v>
      </c>
      <c r="K22" s="1">
        <f ca="1">'Total Distance Tables Sup #1'!K22*(1+'PT Assumptions'!K9)*(1+'Other Assumptions'!O$45)</f>
        <v>1613.7158850488663</v>
      </c>
    </row>
    <row r="23" spans="1:11" x14ac:dyDescent="0.2">
      <c r="A23" t="str">
        <f ca="1">OFFSET(Auckland_Reference,49,2)</f>
        <v>Local Bus</v>
      </c>
      <c r="B23" s="4">
        <f ca="1">'Total Distance Tables Sup #1'!B23*(1+'PT Assumptions'!B21)*(1+'Other Assumptions'!D$45)</f>
        <v>438.79018300000001</v>
      </c>
      <c r="C23" s="4">
        <f ca="1">'Total Distance Tables Sup #1'!C23*(1+'PT Assumptions'!C21)*(1+'Other Assumptions'!G$45)</f>
        <v>466.70233909568009</v>
      </c>
      <c r="D23" s="4">
        <f ca="1">'Total Distance Tables Sup #1'!D23*(1+'PT Assumptions'!D21)*(1+'Other Assumptions'!H$45)</f>
        <v>612.34079847648843</v>
      </c>
      <c r="E23" s="56">
        <f ca="1">'Total Distance Tables Sup #1'!E23*(1+'PT Assumptions'!E21)*(1+'Other Assumptions'!I$45)</f>
        <v>733.22808150172034</v>
      </c>
      <c r="F23" s="4">
        <f ca="1">'Total Distance Tables Sup #1'!F23*(1+'PT Assumptions'!F21)*(1+'Other Assumptions'!J$45)</f>
        <v>784.25600785752545</v>
      </c>
      <c r="G23" s="4">
        <f ca="1">'Total Distance Tables Sup #1'!G23*(1+'PT Assumptions'!G21)*(1+'Other Assumptions'!K$45)</f>
        <v>826.72232102138798</v>
      </c>
      <c r="H23" s="4">
        <f ca="1">'Total Distance Tables Sup #1'!H23*(1+'PT Assumptions'!H21)*(1+'Other Assumptions'!L$45)</f>
        <v>862.28223910927261</v>
      </c>
      <c r="I23" s="1">
        <f ca="1">'Total Distance Tables Sup #1'!I23*(1+'PT Assumptions'!I21)*(1+'Other Assumptions'!M$45)</f>
        <v>932.83215667246668</v>
      </c>
      <c r="J23" s="1">
        <f ca="1">'Total Distance Tables Sup #1'!J23*(1+'PT Assumptions'!J21)*(1+'Other Assumptions'!N$45)</f>
        <v>1006.293736752051</v>
      </c>
      <c r="K23" s="1">
        <f ca="1">'Total Distance Tables Sup #1'!K23*(1+'PT Assumptions'!K21)*(1+'Other Assumptions'!O$45)</f>
        <v>1085.776588110223</v>
      </c>
    </row>
    <row r="24" spans="1:11" x14ac:dyDescent="0.2">
      <c r="A24" t="str">
        <f ca="1">OFFSET(Auckland_Reference,56,2)</f>
        <v>Local Ferry</v>
      </c>
      <c r="B24" s="4">
        <f ca="1">B167*'Total Distance Tables Sup #1'!B24*(1+'PT Assumptions'!B32)*(1+'Other Assumptions'!D$45)</f>
        <v>0</v>
      </c>
      <c r="C24" s="4">
        <f ca="1">C167*'Total Distance Tables Sup #1'!C24*(1+'PT Assumptions'!C32)*(1+'Other Assumptions'!G$45)</f>
        <v>0</v>
      </c>
      <c r="D24" s="4">
        <f ca="1">D167*'Total Distance Tables Sup #1'!D24*(1+'PT Assumptions'!D32)*(1+'Other Assumptions'!H$45)</f>
        <v>0</v>
      </c>
      <c r="E24" s="56">
        <f ca="1">E167*'Total Distance Tables Sup #1'!E24*(1+'PT Assumptions'!E32)*(1+'Other Assumptions'!I$45)</f>
        <v>0</v>
      </c>
      <c r="F24" s="4">
        <f ca="1">F167*'Total Distance Tables Sup #1'!F24*(1+'PT Assumptions'!F32)*(1+'Other Assumptions'!J$45)</f>
        <v>0</v>
      </c>
      <c r="G24" s="4">
        <f ca="1">G167*'Total Distance Tables Sup #1'!G24*(1+'PT Assumptions'!G32)*(1+'Other Assumptions'!K$45)</f>
        <v>0</v>
      </c>
      <c r="H24" s="4">
        <f ca="1">H167*'Total Distance Tables Sup #1'!H24*(1+'PT Assumptions'!H32)*(1+'Other Assumptions'!L$45)</f>
        <v>0</v>
      </c>
      <c r="I24" s="1">
        <f ca="1">I167*'Total Distance Tables Sup #1'!I24*(1+'PT Assumptions'!I32)*(1+'Other Assumptions'!M$45)</f>
        <v>0</v>
      </c>
      <c r="J24" s="1">
        <f ca="1">J167*'Total Distance Tables Sup #1'!J24*(1+'PT Assumptions'!J32)*(1+'Other Assumptions'!N$45)</f>
        <v>0</v>
      </c>
      <c r="K24" s="1">
        <f ca="1">K167*'Total Distance Tables Sup #1'!K24*(1+'PT Assumptions'!K32)*(1+'Other Assumptions'!O$45)</f>
        <v>0</v>
      </c>
    </row>
    <row r="25" spans="1:11" x14ac:dyDescent="0.2">
      <c r="A25" t="str">
        <f ca="1">OFFSET(Auckland_Reference,63,2)</f>
        <v>Other Household Travel</v>
      </c>
      <c r="B25" s="4">
        <f ca="1">B168*'Total Distance Tables Sup #1'!B25*(1+'Other Assumptions'!D$45)</f>
        <v>1.8241938706</v>
      </c>
      <c r="C25" s="4">
        <f ca="1">C168*'Total Distance Tables Sup #1'!C25*(1+'Other Assumptions'!G$45)</f>
        <v>1.8247395548120247</v>
      </c>
      <c r="D25" s="4">
        <f ca="1">D168*'Total Distance Tables Sup #1'!D25*(1+'Other Assumptions'!H$45)</f>
        <v>1.7523776218586544</v>
      </c>
      <c r="E25" s="56">
        <f ca="1">E168*'Total Distance Tables Sup #1'!E25*(1+'Other Assumptions'!I$45)</f>
        <v>2.0194934604915908</v>
      </c>
      <c r="F25" s="4">
        <f ca="1">F168*'Total Distance Tables Sup #1'!F25*(1+'Other Assumptions'!J$45)</f>
        <v>2.1587599506921595</v>
      </c>
      <c r="G25" s="4">
        <f ca="1">G168*'Total Distance Tables Sup #1'!G25*(1+'Other Assumptions'!K$45)</f>
        <v>2.147982068889811</v>
      </c>
      <c r="H25" s="4">
        <f ca="1">H168*'Total Distance Tables Sup #1'!H25*(1+'Other Assumptions'!L$45)</f>
        <v>2.0889530747354486</v>
      </c>
      <c r="I25" s="1">
        <f ca="1">I168*'Total Distance Tables Sup #1'!I25*(1+'Other Assumptions'!M$45)</f>
        <v>2.1378040668588532</v>
      </c>
      <c r="J25" s="1">
        <f ca="1">J168*'Total Distance Tables Sup #1'!J25*(1+'Other Assumptions'!N$45)</f>
        <v>2.1815406951859435</v>
      </c>
      <c r="K25" s="1">
        <f ca="1">K168*'Total Distance Tables Sup #1'!K25*(1+'Other Assumptions'!O$45)</f>
        <v>2.2221028908118754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B159*'Total Distance Tables Sup #1'!B27*(1+'Other Assumptions'!D$46)*(1+'Active Mode Assumptions'!B9)</f>
        <v>52.675735545000002</v>
      </c>
      <c r="C27" s="4">
        <f ca="1">C159*'Total Distance Tables Sup #1'!C27*(1+'Other Assumptions'!G$46)*(1+'Active Mode Assumptions'!C9)</f>
        <v>56.693094616848931</v>
      </c>
      <c r="D27" s="4">
        <f ca="1">D159*'Total Distance Tables Sup #1'!D27*(1+'Other Assumptions'!H$46)*(1+'Active Mode Assumptions'!D9)</f>
        <v>60.842374663221484</v>
      </c>
      <c r="E27" s="4">
        <f ca="1">E159*'Total Distance Tables Sup #1'!E27*(1+'Other Assumptions'!I$46)*(1+'Active Mode Assumptions'!E9)</f>
        <v>63.973811196913353</v>
      </c>
      <c r="F27" s="4">
        <f ca="1">F159*'Total Distance Tables Sup #1'!F27*(1+'Other Assumptions'!J$46)*(1+'Active Mode Assumptions'!F9)</f>
        <v>66.443534260680352</v>
      </c>
      <c r="G27" s="4">
        <f ca="1">G159*'Total Distance Tables Sup #1'!G27*(1+'Other Assumptions'!K$46)*(1+'Active Mode Assumptions'!G9)</f>
        <v>68.692198640868483</v>
      </c>
      <c r="H27" s="4">
        <f ca="1">H159*'Total Distance Tables Sup #1'!H27*(1+'Other Assumptions'!L$46)*(1+'Active Mode Assumptions'!H9)</f>
        <v>70.653665872562073</v>
      </c>
      <c r="I27" s="1">
        <f ca="1">I159*'Total Distance Tables Sup #1'!I27*(1+'Other Assumptions'!M$46)*(1+'Active Mode Assumptions'!I9)</f>
        <v>71.724064495496648</v>
      </c>
      <c r="J27" s="1">
        <f ca="1">J159*'Total Distance Tables Sup #1'!J27*(1+'Other Assumptions'!N$46)*(1+'Active Mode Assumptions'!J9)</f>
        <v>72.57503648909433</v>
      </c>
      <c r="K27" s="1">
        <f ca="1">K159*'Total Distance Tables Sup #1'!K27*(1+'Other Assumptions'!O$46)*(1+'Active Mode Assumptions'!K9)</f>
        <v>73.274135764349083</v>
      </c>
    </row>
    <row r="28" spans="1:11" x14ac:dyDescent="0.2">
      <c r="A28" t="str">
        <f ca="1">OFFSET(Waikato_Reference,7,2)</f>
        <v>Cyclist</v>
      </c>
      <c r="B28" s="4">
        <f ca="1">B160*'Total Distance Tables Sup #1'!B28*(1+'Other Assumptions'!D$46)*(1+'Active Mode Assumptions'!B18)</f>
        <v>21.829422874999999</v>
      </c>
      <c r="C28" s="4">
        <f ca="1">C160*'Total Distance Tables Sup #1'!C28*(1+'Other Assumptions'!G$46)*(1+'Active Mode Assumptions'!C18)</f>
        <v>24.349813323058839</v>
      </c>
      <c r="D28" s="4">
        <f ca="1">D160*'Total Distance Tables Sup #1'!D28*(1+'Other Assumptions'!H$46)*(1+'Active Mode Assumptions'!D18)</f>
        <v>30.622003487433247</v>
      </c>
      <c r="E28" s="4">
        <f ca="1">E160*'Total Distance Tables Sup #1'!E28*(1+'Other Assumptions'!I$46)*(1+'Active Mode Assumptions'!E18)</f>
        <v>36.491563715508967</v>
      </c>
      <c r="F28" s="4">
        <f ca="1">F160*'Total Distance Tables Sup #1'!F28*(1+'Other Assumptions'!J$46)*(1+'Active Mode Assumptions'!F18)</f>
        <v>43.05683131844313</v>
      </c>
      <c r="G28" s="4">
        <f ca="1">G160*'Total Distance Tables Sup #1'!G28*(1+'Other Assumptions'!K$46)*(1+'Active Mode Assumptions'!G18)</f>
        <v>50.617139077141594</v>
      </c>
      <c r="H28" s="4">
        <f ca="1">H160*'Total Distance Tables Sup #1'!H28*(1+'Other Assumptions'!L$46)*(1+'Active Mode Assumptions'!H18)</f>
        <v>58.675846903260314</v>
      </c>
      <c r="I28" s="1">
        <f ca="1">I160*'Total Distance Tables Sup #1'!I28*(1+'Other Assumptions'!M$46)*(1+'Active Mode Assumptions'!I18)</f>
        <v>59.601440786629489</v>
      </c>
      <c r="J28" s="1">
        <f ca="1">J160*'Total Distance Tables Sup #1'!J28*(1+'Other Assumptions'!N$46)*(1+'Active Mode Assumptions'!J18)</f>
        <v>60.345305637909149</v>
      </c>
      <c r="K28" s="1">
        <f ca="1">K160*'Total Distance Tables Sup #1'!K28*(1+'Other Assumptions'!O$46)*(1+'Active Mode Assumptions'!K18)</f>
        <v>60.96334440290903</v>
      </c>
    </row>
    <row r="29" spans="1:11" x14ac:dyDescent="0.2">
      <c r="A29" t="str">
        <f ca="1">OFFSET(Waikato_Reference,14,2)</f>
        <v>Light Vehicle Driver</v>
      </c>
      <c r="B29" s="4">
        <f ca="1">B161*'Total Distance Tables Sup #1'!B29*(1+'Other Assumptions'!D$46)-(B27*'Active Mode Assumptions'!B9*'Active Mode Assumptions'!B14/(1+'Active Mode Assumptions'!B9))-(B28*'Active Mode Assumptions'!B18*'Active Mode Assumptions'!B23/(1+'Active Mode Assumptions'!B18))</f>
        <v>3709.9843593000001</v>
      </c>
      <c r="C29" s="4">
        <f ca="1">C161*'Total Distance Tables Sup #1'!C29*(1+'Other Assumptions'!G$46)-(C27*'Active Mode Assumptions'!C9*'Active Mode Assumptions'!C14/(1+'Active Mode Assumptions'!C9))-(C28*'Active Mode Assumptions'!C18*'Active Mode Assumptions'!C23/(1+'Active Mode Assumptions'!C18))</f>
        <v>4134.7838188859669</v>
      </c>
      <c r="D29" s="4">
        <f ca="1">D161*'Total Distance Tables Sup #1'!D29*(1+'Other Assumptions'!H$46)-(D27*'Active Mode Assumptions'!D9*'Active Mode Assumptions'!D14/(1+'Active Mode Assumptions'!D9))-(D28*'Active Mode Assumptions'!D18*'Active Mode Assumptions'!D23/(1+'Active Mode Assumptions'!D18))</f>
        <v>4365.5787913147242</v>
      </c>
      <c r="E29" s="4">
        <f ca="1">E161*'Total Distance Tables Sup #1'!E29*(1+'Other Assumptions'!I$46)-(E27*'Active Mode Assumptions'!E9*'Active Mode Assumptions'!E14/(1+'Active Mode Assumptions'!E9))-(E28*'Active Mode Assumptions'!E18*'Active Mode Assumptions'!E23/(1+'Active Mode Assumptions'!E18))</f>
        <v>4568.5915870049166</v>
      </c>
      <c r="F29" s="4">
        <f ca="1">F161*'Total Distance Tables Sup #1'!F29*(1+'Other Assumptions'!J$46)-(F27*'Active Mode Assumptions'!F9*'Active Mode Assumptions'!F14/(1+'Active Mode Assumptions'!F9))-(F28*'Active Mode Assumptions'!F18*'Active Mode Assumptions'!F23/(1+'Active Mode Assumptions'!F18))</f>
        <v>4745.4735076098013</v>
      </c>
      <c r="G29" s="4">
        <f ca="1">G161*'Total Distance Tables Sup #1'!G29*(1+'Other Assumptions'!K$46)-(G27*'Active Mode Assumptions'!G9*'Active Mode Assumptions'!G14/(1+'Active Mode Assumptions'!G9))-(G28*'Active Mode Assumptions'!G18*'Active Mode Assumptions'!G23/(1+'Active Mode Assumptions'!G18))</f>
        <v>4867.3874152643612</v>
      </c>
      <c r="H29" s="4">
        <f ca="1">H161*'Total Distance Tables Sup #1'!H29*(1+'Other Assumptions'!L$46)-(H27*'Active Mode Assumptions'!H9*'Active Mode Assumptions'!H14/(1+'Active Mode Assumptions'!H9))-(H28*'Active Mode Assumptions'!H18*'Active Mode Assumptions'!H23/(1+'Active Mode Assumptions'!H18))</f>
        <v>4965.4289229659162</v>
      </c>
      <c r="I29" s="1">
        <f ca="1">I161*'Total Distance Tables Sup #1'!I29*(1+'Other Assumptions'!M$46)-(I27*'Active Mode Assumptions'!I9*'Active Mode Assumptions'!I14/(1+'Active Mode Assumptions'!I9))-(I28*'Active Mode Assumptions'!I18*'Active Mode Assumptions'!I23/(1+'Active Mode Assumptions'!I18))</f>
        <v>5051.7087464428123</v>
      </c>
      <c r="J29" s="1">
        <f ca="1">J161*'Total Distance Tables Sup #1'!J29*(1+'Other Assumptions'!N$46)-(J27*'Active Mode Assumptions'!J9*'Active Mode Assumptions'!J14/(1+'Active Mode Assumptions'!J9))-(J28*'Active Mode Assumptions'!J18*'Active Mode Assumptions'!J23/(1+'Active Mode Assumptions'!J18))</f>
        <v>5122.7799641993761</v>
      </c>
      <c r="K29" s="1">
        <f ca="1">K161*'Total Distance Tables Sup #1'!K29*(1+'Other Assumptions'!O$46)-(K27*'Active Mode Assumptions'!K9*'Active Mode Assumptions'!K14/(1+'Active Mode Assumptions'!K9))-(K28*'Active Mode Assumptions'!K18*'Active Mode Assumptions'!K23/(1+'Active Mode Assumptions'!K18))</f>
        <v>5183.3165274120111</v>
      </c>
    </row>
    <row r="30" spans="1:11" x14ac:dyDescent="0.2">
      <c r="A30" t="str">
        <f ca="1">OFFSET(Waikato_Reference,21,2)</f>
        <v>Light Vehicle Passenger</v>
      </c>
      <c r="B30" s="4">
        <f ca="1">B162*'Total Distance Tables Sup #1'!B30*(1+'Other Assumptions'!D$46)-(B27*'Active Mode Assumptions'!B9*'Active Mode Assumptions'!B15/(1+'Active Mode Assumptions'!B9))-(B28*'Active Mode Assumptions'!B18*'Active Mode Assumptions'!B24/(1+'Active Mode Assumptions'!B18))</f>
        <v>1955.0668243</v>
      </c>
      <c r="C30" s="4">
        <f ca="1">C162*'Total Distance Tables Sup #1'!C30*(1+'Other Assumptions'!G$46)-(C27*'Active Mode Assumptions'!C9*'Active Mode Assumptions'!C15/(1+'Active Mode Assumptions'!C9))-(C28*'Active Mode Assumptions'!C18*'Active Mode Assumptions'!C24/(1+'Active Mode Assumptions'!C18))</f>
        <v>2098.5251246685793</v>
      </c>
      <c r="D30" s="4">
        <f ca="1">D162*'Total Distance Tables Sup #1'!D30*(1+'Other Assumptions'!H$46)-(D27*'Active Mode Assumptions'!D9*'Active Mode Assumptions'!D15/(1+'Active Mode Assumptions'!D9))-(D28*'Active Mode Assumptions'!D18*'Active Mode Assumptions'!D24/(1+'Active Mode Assumptions'!D18))</f>
        <v>2169.6653013674068</v>
      </c>
      <c r="E30" s="4">
        <f ca="1">E162*'Total Distance Tables Sup #1'!E30*(1+'Other Assumptions'!I$46)-(E27*'Active Mode Assumptions'!E9*'Active Mode Assumptions'!E15/(1+'Active Mode Assumptions'!E9))-(E28*'Active Mode Assumptions'!E18*'Active Mode Assumptions'!E24/(1+'Active Mode Assumptions'!E18))</f>
        <v>2224.9345767323962</v>
      </c>
      <c r="F30" s="4">
        <f ca="1">F162*'Total Distance Tables Sup #1'!F30*(1+'Other Assumptions'!J$46)-(F27*'Active Mode Assumptions'!F9*'Active Mode Assumptions'!F15/(1+'Active Mode Assumptions'!F9))-(F28*'Active Mode Assumptions'!F18*'Active Mode Assumptions'!F24/(1+'Active Mode Assumptions'!F18))</f>
        <v>2261.4600834893263</v>
      </c>
      <c r="G30" s="4">
        <f ca="1">G162*'Total Distance Tables Sup #1'!G30*(1+'Other Assumptions'!K$46)-(G27*'Active Mode Assumptions'!G9*'Active Mode Assumptions'!G15/(1+'Active Mode Assumptions'!G9))-(G28*'Active Mode Assumptions'!G18*'Active Mode Assumptions'!G24/(1+'Active Mode Assumptions'!G18))</f>
        <v>2280.026526886998</v>
      </c>
      <c r="H30" s="4">
        <f ca="1">H162*'Total Distance Tables Sup #1'!H30*(1+'Other Assumptions'!L$46)-(H27*'Active Mode Assumptions'!H9*'Active Mode Assumptions'!H15/(1+'Active Mode Assumptions'!H9))-(H28*'Active Mode Assumptions'!H18*'Active Mode Assumptions'!H24/(1+'Active Mode Assumptions'!H18))</f>
        <v>2285.9327915876252</v>
      </c>
      <c r="I30" s="1">
        <f ca="1">I162*'Total Distance Tables Sup #1'!I30*(1+'Other Assumptions'!M$46)-(I27*'Active Mode Assumptions'!I9*'Active Mode Assumptions'!I15/(1+'Active Mode Assumptions'!I9))-(I28*'Active Mode Assumptions'!I18*'Active Mode Assumptions'!I24/(1+'Active Mode Assumptions'!I18))</f>
        <v>2326.8059732576367</v>
      </c>
      <c r="J30" s="1">
        <f ca="1">J162*'Total Distance Tables Sup #1'!J30*(1+'Other Assumptions'!N$46)-(J27*'Active Mode Assumptions'!J9*'Active Mode Assumptions'!J15/(1+'Active Mode Assumptions'!J9))-(J28*'Active Mode Assumptions'!J18*'Active Mode Assumptions'!J24/(1+'Active Mode Assumptions'!J18))</f>
        <v>2360.7137815679675</v>
      </c>
      <c r="K30" s="1">
        <f ca="1">K162*'Total Distance Tables Sup #1'!K30*(1+'Other Assumptions'!O$46)-(K27*'Active Mode Assumptions'!K9*'Active Mode Assumptions'!K15/(1+'Active Mode Assumptions'!K9))-(K28*'Active Mode Assumptions'!K18*'Active Mode Assumptions'!K24/(1+'Active Mode Assumptions'!K18))</f>
        <v>2389.8001270037889</v>
      </c>
    </row>
    <row r="31" spans="1:11" x14ac:dyDescent="0.2">
      <c r="A31" t="str">
        <f ca="1">OFFSET(Waikato_Reference,28,2)</f>
        <v>Taxi/Vehicle Share</v>
      </c>
      <c r="B31" s="4">
        <f ca="1">B163*'Total Distance Tables Sup #1'!B31*(1+'Other Assumptions'!D$46)</f>
        <v>2.4426175743999998</v>
      </c>
      <c r="C31" s="4">
        <f ca="1">C163*'Total Distance Tables Sup #1'!C31*(1+'Other Assumptions'!G$46)</f>
        <v>2.8368251868126371</v>
      </c>
      <c r="D31" s="4">
        <f ca="1">D163*'Total Distance Tables Sup #1'!D31*(1+'Other Assumptions'!H$46)</f>
        <v>3.143816927924282</v>
      </c>
      <c r="E31" s="4">
        <f ca="1">E163*'Total Distance Tables Sup #1'!E31*(1+'Other Assumptions'!I$46)</f>
        <v>3.417524888037867</v>
      </c>
      <c r="F31" s="4">
        <f ca="1">F163*'Total Distance Tables Sup #1'!F31*(1+'Other Assumptions'!J$46)</f>
        <v>3.6487592574253078</v>
      </c>
      <c r="G31" s="4">
        <f ca="1">G163*'Total Distance Tables Sup #1'!G31*(1+'Other Assumptions'!K$46)</f>
        <v>3.8155184962790307</v>
      </c>
      <c r="H31" s="4">
        <f ca="1">H163*'Total Distance Tables Sup #1'!H31*(1+'Other Assumptions'!L$46)</f>
        <v>3.9649362998717237</v>
      </c>
      <c r="I31" s="1">
        <f ca="1">I163*'Total Distance Tables Sup #1'!I31*(1+'Other Assumptions'!M$46)</f>
        <v>4.0197570180174544</v>
      </c>
      <c r="J31" s="1">
        <f ca="1">J163*'Total Distance Tables Sup #1'!J31*(1+'Other Assumptions'!N$46)</f>
        <v>4.0620844887337064</v>
      </c>
      <c r="K31" s="1">
        <f ca="1">K163*'Total Distance Tables Sup #1'!K31*(1+'Other Assumptions'!O$46)</f>
        <v>4.0957473788538756</v>
      </c>
    </row>
    <row r="32" spans="1:11" x14ac:dyDescent="0.2">
      <c r="A32" t="str">
        <f ca="1">OFFSET(Waikato_Reference,35,2)</f>
        <v>Motorcyclist</v>
      </c>
      <c r="B32" s="4">
        <f ca="1">B164*'Total Distance Tables Sup #1'!B32*(1+'Other Assumptions'!D$46)</f>
        <v>38.030338682999997</v>
      </c>
      <c r="C32" s="4">
        <f ca="1">C164*'Total Distance Tables Sup #1'!C32*(1+'Other Assumptions'!G$46)</f>
        <v>42.432881628855164</v>
      </c>
      <c r="D32" s="4">
        <f ca="1">D164*'Total Distance Tables Sup #1'!D32*(1+'Other Assumptions'!H$46)</f>
        <v>44.70178601711234</v>
      </c>
      <c r="E32" s="4">
        <f ca="1">E164*'Total Distance Tables Sup #1'!E32*(1+'Other Assumptions'!I$46)</f>
        <v>45.95227467096116</v>
      </c>
      <c r="F32" s="4">
        <f ca="1">F164*'Total Distance Tables Sup #1'!F32*(1+'Other Assumptions'!J$46)</f>
        <v>46.663308220010805</v>
      </c>
      <c r="G32" s="4">
        <f ca="1">G164*'Total Distance Tables Sup #1'!G32*(1+'Other Assumptions'!K$46)</f>
        <v>46.464742359480589</v>
      </c>
      <c r="H32" s="4">
        <f ca="1">H164*'Total Distance Tables Sup #1'!H32*(1+'Other Assumptions'!L$46)</f>
        <v>45.990611430233997</v>
      </c>
      <c r="I32" s="1">
        <f ca="1">I164*'Total Distance Tables Sup #1'!I32*(1+'Other Assumptions'!M$46)</f>
        <v>47.059908818824951</v>
      </c>
      <c r="J32" s="1">
        <f ca="1">J164*'Total Distance Tables Sup #1'!J32*(1+'Other Assumptions'!N$46)</f>
        <v>47.999286316297827</v>
      </c>
      <c r="K32" s="1">
        <f ca="1">K164*'Total Distance Tables Sup #1'!K32*(1+'Other Assumptions'!O$46)</f>
        <v>48.850376567683178</v>
      </c>
    </row>
    <row r="33" spans="1:11" x14ac:dyDescent="0.2">
      <c r="A33" t="str">
        <f ca="1">OFFSET(Waikato_Reference,42,2)</f>
        <v>Local Train</v>
      </c>
      <c r="B33" s="4">
        <f ca="1">B165*'Total Distance Tables Sup #1'!B33*(1+'Other Assumptions'!D$46)</f>
        <v>0</v>
      </c>
      <c r="C33" s="4">
        <f ca="1">C165*'Total Distance Tables Sup #1'!C33*(1+'Other Assumptions'!G$46)</f>
        <v>0</v>
      </c>
      <c r="D33" s="4">
        <f ca="1">D165*'Total Distance Tables Sup #1'!D33*(1+'Other Assumptions'!H$46)</f>
        <v>0</v>
      </c>
      <c r="E33" s="4">
        <f ca="1">E165*'Total Distance Tables Sup #1'!E33*(1+'Other Assumptions'!I$46)</f>
        <v>0</v>
      </c>
      <c r="F33" s="4">
        <f ca="1">F165*'Total Distance Tables Sup #1'!F33*(1+'Other Assumptions'!J$46)</f>
        <v>0</v>
      </c>
      <c r="G33" s="4">
        <f ca="1">G165*'Total Distance Tables Sup #1'!G33*(1+'Other Assumptions'!K$46)</f>
        <v>0</v>
      </c>
      <c r="H33" s="4">
        <f ca="1">H165*'Total Distance Tables Sup #1'!H33*(1+'Other Assumptions'!L$46)</f>
        <v>0</v>
      </c>
      <c r="I33" s="1">
        <f ca="1">I165*'Total Distance Tables Sup #1'!I33*(1+'Other Assumptions'!M$46)</f>
        <v>0</v>
      </c>
      <c r="J33" s="1">
        <f ca="1">J165*'Total Distance Tables Sup #1'!J33*(1+'Other Assumptions'!N$46)</f>
        <v>0</v>
      </c>
      <c r="K33" s="1">
        <f ca="1">K165*'Total Distance Tables Sup #1'!K33*(1+'Other Assumptions'!O$46)</f>
        <v>0</v>
      </c>
    </row>
    <row r="34" spans="1:11" x14ac:dyDescent="0.2">
      <c r="A34" t="str">
        <f ca="1">OFFSET(Waikato_Reference,49,2)</f>
        <v>Local Bus</v>
      </c>
      <c r="B34" s="4">
        <f ca="1">B166*'Total Distance Tables Sup #1'!B34*(1+'Other Assumptions'!D$46)</f>
        <v>54.303948532</v>
      </c>
      <c r="C34" s="4">
        <f ca="1">C166*'Total Distance Tables Sup #1'!C34*(1+'Other Assumptions'!G$46)</f>
        <v>54.284867913554585</v>
      </c>
      <c r="D34" s="4">
        <f ca="1">D166*'Total Distance Tables Sup #1'!D34*(1+'Other Assumptions'!H$46)</f>
        <v>53.85436766129304</v>
      </c>
      <c r="E34" s="4">
        <f ca="1">E166*'Total Distance Tables Sup #1'!E34*(1+'Other Assumptions'!I$46)</f>
        <v>53.580985945781713</v>
      </c>
      <c r="F34" s="4">
        <f ca="1">F166*'Total Distance Tables Sup #1'!F34*(1+'Other Assumptions'!J$46)</f>
        <v>52.31356812034452</v>
      </c>
      <c r="G34" s="4">
        <f ca="1">G166*'Total Distance Tables Sup #1'!G34*(1+'Other Assumptions'!K$46)</f>
        <v>51.51729532309465</v>
      </c>
      <c r="H34" s="4">
        <f ca="1">H166*'Total Distance Tables Sup #1'!H34*(1+'Other Assumptions'!L$46)</f>
        <v>50.509221444386178</v>
      </c>
      <c r="I34" s="1">
        <f ca="1">I166*'Total Distance Tables Sup #1'!I34*(1+'Other Assumptions'!M$46)</f>
        <v>51.429495656695977</v>
      </c>
      <c r="J34" s="1">
        <f ca="1">J166*'Total Distance Tables Sup #1'!J34*(1+'Other Assumptions'!N$46)</f>
        <v>52.194039661279326</v>
      </c>
      <c r="K34" s="1">
        <f ca="1">K166*'Total Distance Tables Sup #1'!K34*(1+'Other Assumptions'!O$46)</f>
        <v>52.850001925564719</v>
      </c>
    </row>
    <row r="35" spans="1:11" x14ac:dyDescent="0.2">
      <c r="A35" t="str">
        <f ca="1">OFFSET(Waikato_Reference,56,2)</f>
        <v>Local Ferry</v>
      </c>
      <c r="B35" s="4">
        <f ca="1">B167*'Total Distance Tables Sup #1'!B35*(1+'Other Assumptions'!D$46)</f>
        <v>0</v>
      </c>
      <c r="C35" s="4">
        <f ca="1">C167*'Total Distance Tables Sup #1'!C35*(1+'Other Assumptions'!G$46)</f>
        <v>0</v>
      </c>
      <c r="D35" s="4">
        <f ca="1">D167*'Total Distance Tables Sup #1'!D35*(1+'Other Assumptions'!H$46)</f>
        <v>0</v>
      </c>
      <c r="E35" s="4">
        <f ca="1">E167*'Total Distance Tables Sup #1'!E35*(1+'Other Assumptions'!I$46)</f>
        <v>0</v>
      </c>
      <c r="F35" s="4">
        <f ca="1">F167*'Total Distance Tables Sup #1'!F35*(1+'Other Assumptions'!J$46)</f>
        <v>0</v>
      </c>
      <c r="G35" s="4">
        <f ca="1">G167*'Total Distance Tables Sup #1'!G35*(1+'Other Assumptions'!K$46)</f>
        <v>0</v>
      </c>
      <c r="H35" s="4">
        <f ca="1">H167*'Total Distance Tables Sup #1'!H35*(1+'Other Assumptions'!L$46)</f>
        <v>0</v>
      </c>
      <c r="I35" s="1">
        <f ca="1">I167*'Total Distance Tables Sup #1'!I35*(1+'Other Assumptions'!M$46)</f>
        <v>0</v>
      </c>
      <c r="J35" s="1">
        <f ca="1">J167*'Total Distance Tables Sup #1'!J35*(1+'Other Assumptions'!N$46)</f>
        <v>0</v>
      </c>
      <c r="K35" s="1">
        <f ca="1">K167*'Total Distance Tables Sup #1'!K35*(1+'Other Assumptions'!O$46)</f>
        <v>0</v>
      </c>
    </row>
    <row r="36" spans="1:11" x14ac:dyDescent="0.2">
      <c r="A36" t="str">
        <f ca="1">OFFSET(Waikato_Reference,63,2)</f>
        <v>Other Household Travel</v>
      </c>
      <c r="B36" s="4">
        <f ca="1">B168*'Total Distance Tables Sup #1'!B36*(1+'Other Assumptions'!D$46)</f>
        <v>0</v>
      </c>
      <c r="C36" s="4">
        <f ca="1">C168*'Total Distance Tables Sup #1'!C36*(1+'Other Assumptions'!G$46)</f>
        <v>0</v>
      </c>
      <c r="D36" s="4">
        <f ca="1">D168*'Total Distance Tables Sup #1'!D36*(1+'Other Assumptions'!H$46)</f>
        <v>0</v>
      </c>
      <c r="E36" s="4">
        <f ca="1">E168*'Total Distance Tables Sup #1'!E36*(1+'Other Assumptions'!I$46)</f>
        <v>0</v>
      </c>
      <c r="F36" s="4">
        <f ca="1">F168*'Total Distance Tables Sup #1'!F36*(1+'Other Assumptions'!J$46)</f>
        <v>0</v>
      </c>
      <c r="G36" s="4">
        <f ca="1">G168*'Total Distance Tables Sup #1'!G36*(1+'Other Assumptions'!K$46)</f>
        <v>0</v>
      </c>
      <c r="H36" s="4">
        <f ca="1">H168*'Total Distance Tables Sup #1'!H36*(1+'Other Assumptions'!L$46)</f>
        <v>0</v>
      </c>
      <c r="I36" s="1">
        <f ca="1">I168*'Total Distance Tables Sup #1'!I36*(1+'Other Assumptions'!M$46)</f>
        <v>0</v>
      </c>
      <c r="J36" s="1">
        <f ca="1">J168*'Total Distance Tables Sup #1'!J36*(1+'Other Assumptions'!N$46)</f>
        <v>0</v>
      </c>
      <c r="K36" s="1">
        <f ca="1">K168*'Total Distance Tables Sup #1'!K36*(1+'Other Assumptions'!O$46)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B159*'Total Distance Tables Sup #1'!B38*(1+'Other Assumptions'!D$47)*(1+'Active Mode Assumptions'!B9)</f>
        <v>35.579183637</v>
      </c>
      <c r="C38" s="4">
        <f ca="1">C159*'Total Distance Tables Sup #1'!C38*(1+'Other Assumptions'!G$47)*(1+'Active Mode Assumptions'!C9)</f>
        <v>37.720087808483846</v>
      </c>
      <c r="D38" s="4">
        <f ca="1">D159*'Total Distance Tables Sup #1'!D38*(1+'Other Assumptions'!H$47)*(1+'Active Mode Assumptions'!D9)</f>
        <v>40.118417570497947</v>
      </c>
      <c r="E38" s="4">
        <f ca="1">E159*'Total Distance Tables Sup #1'!E38*(1+'Other Assumptions'!I$47)*(1+'Active Mode Assumptions'!E9)</f>
        <v>41.87304484905772</v>
      </c>
      <c r="F38" s="4">
        <f ca="1">F159*'Total Distance Tables Sup #1'!F38*(1+'Other Assumptions'!J$47)*(1+'Active Mode Assumptions'!F9)</f>
        <v>43.174437602469112</v>
      </c>
      <c r="G38" s="4">
        <f ca="1">G159*'Total Distance Tables Sup #1'!G38*(1+'Other Assumptions'!K$47)*(1+'Active Mode Assumptions'!G9)</f>
        <v>44.301607639657689</v>
      </c>
      <c r="H38" s="4">
        <f ca="1">H159*'Total Distance Tables Sup #1'!H38*(1+'Other Assumptions'!L$47)*(1+'Active Mode Assumptions'!H9)</f>
        <v>45.232711574269672</v>
      </c>
      <c r="I38" s="1">
        <f ca="1">I159*'Total Distance Tables Sup #1'!I38*(1+'Other Assumptions'!M$47)*(1+'Active Mode Assumptions'!I9)</f>
        <v>45.57908575929082</v>
      </c>
      <c r="J38" s="1">
        <f ca="1">J159*'Total Distance Tables Sup #1'!J38*(1+'Other Assumptions'!N$47)*(1+'Active Mode Assumptions'!J9)</f>
        <v>45.776955990017761</v>
      </c>
      <c r="K38" s="1">
        <f ca="1">K159*'Total Distance Tables Sup #1'!K38*(1+'Other Assumptions'!O$47)*(1+'Active Mode Assumptions'!K9)</f>
        <v>45.871671437459618</v>
      </c>
    </row>
    <row r="39" spans="1:11" x14ac:dyDescent="0.2">
      <c r="A39" t="str">
        <f ca="1">OFFSET(BOP_Reference,7,2)</f>
        <v>Cyclist</v>
      </c>
      <c r="B39" s="4">
        <f ca="1">B160*'Total Distance Tables Sup #1'!B39*(1+'Other Assumptions'!D$47)*(1+'Active Mode Assumptions'!B18)</f>
        <v>8.5028812633000008</v>
      </c>
      <c r="C39" s="4">
        <f ca="1">C160*'Total Distance Tables Sup #1'!C39*(1+'Other Assumptions'!G$47)*(1+'Active Mode Assumptions'!C18)</f>
        <v>9.3427915116397084</v>
      </c>
      <c r="D39" s="4">
        <f ca="1">D160*'Total Distance Tables Sup #1'!D39*(1+'Other Assumptions'!H$47)*(1+'Active Mode Assumptions'!D18)</f>
        <v>11.644201978681483</v>
      </c>
      <c r="E39" s="4">
        <f ca="1">E160*'Total Distance Tables Sup #1'!E39*(1+'Other Assumptions'!I$47)*(1+'Active Mode Assumptions'!E18)</f>
        <v>13.774101598990592</v>
      </c>
      <c r="F39" s="4">
        <f ca="1">F160*'Total Distance Tables Sup #1'!F39*(1+'Other Assumptions'!J$47)*(1+'Active Mode Assumptions'!F18)</f>
        <v>16.134463150868619</v>
      </c>
      <c r="G39" s="4">
        <f ca="1">G160*'Total Distance Tables Sup #1'!G39*(1+'Other Assumptions'!K$47)*(1+'Active Mode Assumptions'!G18)</f>
        <v>18.82557085179576</v>
      </c>
      <c r="H39" s="4">
        <f ca="1">H160*'Total Distance Tables Sup #1'!H39*(1+'Other Assumptions'!L$47)*(1+'Active Mode Assumptions'!H18)</f>
        <v>21.66285934979442</v>
      </c>
      <c r="I39" s="1">
        <f ca="1">I160*'Total Distance Tables Sup #1'!I39*(1+'Other Assumptions'!M$47)*(1+'Active Mode Assumptions'!I18)</f>
        <v>21.842179197708951</v>
      </c>
      <c r="J39" s="1">
        <f ca="1">J160*'Total Distance Tables Sup #1'!J39*(1+'Other Assumptions'!N$47)*(1+'Active Mode Assumptions'!J18)</f>
        <v>21.950359060969788</v>
      </c>
      <c r="K39" s="1">
        <f ca="1">K160*'Total Distance Tables Sup #1'!K39*(1+'Other Assumptions'!O$47)*(1+'Active Mode Assumptions'!K18)</f>
        <v>22.009041752203657</v>
      </c>
    </row>
    <row r="40" spans="1:11" x14ac:dyDescent="0.2">
      <c r="A40" t="str">
        <f ca="1">OFFSET(BOP_Reference,14,2)</f>
        <v>Light Vehicle Driver</v>
      </c>
      <c r="B40" s="4">
        <f ca="1">B161*'Total Distance Tables Sup #1'!B40*(1+'Other Assumptions'!D$47)-(B38*'Active Mode Assumptions'!B9*'Active Mode Assumptions'!B14/(1+'Active Mode Assumptions'!B9))-(B39*'Active Mode Assumptions'!B18*'Active Mode Assumptions'!B23/(1+'Active Mode Assumptions'!B18))</f>
        <v>1972.0747595</v>
      </c>
      <c r="C40" s="4">
        <f ca="1">C161*'Total Distance Tables Sup #1'!C40*(1+'Other Assumptions'!G$47)-(C38*'Active Mode Assumptions'!C9*'Active Mode Assumptions'!C14/(1+'Active Mode Assumptions'!C9))-(C39*'Active Mode Assumptions'!C18*'Active Mode Assumptions'!C23/(1+'Active Mode Assumptions'!C18))</f>
        <v>2165.016770853179</v>
      </c>
      <c r="D40" s="4">
        <f ca="1">D161*'Total Distance Tables Sup #1'!D40*(1+'Other Assumptions'!H$47)-(D38*'Active Mode Assumptions'!D9*'Active Mode Assumptions'!D14/(1+'Active Mode Assumptions'!D9))-(D39*'Active Mode Assumptions'!D18*'Active Mode Assumptions'!D23/(1+'Active Mode Assumptions'!D18))</f>
        <v>2265.4973574171531</v>
      </c>
      <c r="E40" s="4">
        <f ca="1">E161*'Total Distance Tables Sup #1'!E40*(1+'Other Assumptions'!I$47)-(E38*'Active Mode Assumptions'!E9*'Active Mode Assumptions'!E14/(1+'Active Mode Assumptions'!E9))-(E39*'Active Mode Assumptions'!E18*'Active Mode Assumptions'!E23/(1+'Active Mode Assumptions'!E18))</f>
        <v>2353.5114042819009</v>
      </c>
      <c r="F40" s="4">
        <f ca="1">F161*'Total Distance Tables Sup #1'!F40*(1+'Other Assumptions'!J$47)-(F38*'Active Mode Assumptions'!F9*'Active Mode Assumptions'!F14/(1+'Active Mode Assumptions'!F9))-(F39*'Active Mode Assumptions'!F18*'Active Mode Assumptions'!F23/(1+'Active Mode Assumptions'!F18))</f>
        <v>2427.0239890584548</v>
      </c>
      <c r="G40" s="4">
        <f ca="1">G161*'Total Distance Tables Sup #1'!G40*(1+'Other Assumptions'!K$47)-(G38*'Active Mode Assumptions'!G9*'Active Mode Assumptions'!G14/(1+'Active Mode Assumptions'!G9))-(G39*'Active Mode Assumptions'!G18*'Active Mode Assumptions'!G23/(1+'Active Mode Assumptions'!G18))</f>
        <v>2470.8750977909822</v>
      </c>
      <c r="H40" s="4">
        <f ca="1">H161*'Total Distance Tables Sup #1'!H40*(1+'Other Assumptions'!L$47)-(H38*'Active Mode Assumptions'!H9*'Active Mode Assumptions'!H14/(1+'Active Mode Assumptions'!H9))-(H39*'Active Mode Assumptions'!H18*'Active Mode Assumptions'!H23/(1+'Active Mode Assumptions'!H18))</f>
        <v>2502.3170491596161</v>
      </c>
      <c r="I40" s="1">
        <f ca="1">I161*'Total Distance Tables Sup #1'!I40*(1+'Other Assumptions'!M$47)-(I38*'Active Mode Assumptions'!I9*'Active Mode Assumptions'!I14/(1+'Active Mode Assumptions'!I9))-(I39*'Active Mode Assumptions'!I18*'Active Mode Assumptions'!I23/(1+'Active Mode Assumptions'!I18))</f>
        <v>2527.0075869125781</v>
      </c>
      <c r="J40" s="1">
        <f ca="1">J161*'Total Distance Tables Sup #1'!J40*(1+'Other Assumptions'!N$47)-(J38*'Active Mode Assumptions'!J9*'Active Mode Assumptions'!J14/(1+'Active Mode Assumptions'!J9))-(J39*'Active Mode Assumptions'!J18*'Active Mode Assumptions'!J23/(1+'Active Mode Assumptions'!J18))</f>
        <v>2543.5059488245201</v>
      </c>
      <c r="K40" s="1">
        <f ca="1">K161*'Total Distance Tables Sup #1'!K40*(1+'Other Assumptions'!O$47)-(K38*'Active Mode Assumptions'!K9*'Active Mode Assumptions'!K14/(1+'Active Mode Assumptions'!K9))-(K39*'Active Mode Assumptions'!K18*'Active Mode Assumptions'!K23/(1+'Active Mode Assumptions'!K18))</f>
        <v>2554.2822324777835</v>
      </c>
    </row>
    <row r="41" spans="1:11" x14ac:dyDescent="0.2">
      <c r="A41" t="str">
        <f ca="1">OFFSET(BOP_Reference,21,2)</f>
        <v>Light Vehicle Passenger</v>
      </c>
      <c r="B41" s="4">
        <f ca="1">B162*'Total Distance Tables Sup #1'!B41*(1+'Other Assumptions'!D$47)-(B38*'Active Mode Assumptions'!B9*'Active Mode Assumptions'!B15/(1+'Active Mode Assumptions'!B9))-(B39*'Active Mode Assumptions'!B18*'Active Mode Assumptions'!B24/(1+'Active Mode Assumptions'!B18))</f>
        <v>1385.2330090999999</v>
      </c>
      <c r="C41" s="4">
        <f ca="1">C162*'Total Distance Tables Sup #1'!C41*(1+'Other Assumptions'!G$47)-(C38*'Active Mode Assumptions'!C9*'Active Mode Assumptions'!C15/(1+'Active Mode Assumptions'!C9))-(C39*'Active Mode Assumptions'!C18*'Active Mode Assumptions'!C24/(1+'Active Mode Assumptions'!C18))</f>
        <v>1464.6456289752832</v>
      </c>
      <c r="D41" s="4">
        <f ca="1">D162*'Total Distance Tables Sup #1'!D41*(1+'Other Assumptions'!H$47)-(D38*'Active Mode Assumptions'!D9*'Active Mode Assumptions'!D15/(1+'Active Mode Assumptions'!D9))-(D39*'Active Mode Assumptions'!D18*'Active Mode Assumptions'!D24/(1+'Active Mode Assumptions'!D18))</f>
        <v>1501.1589621483217</v>
      </c>
      <c r="E41" s="4">
        <f ca="1">E162*'Total Distance Tables Sup #1'!E41*(1+'Other Assumptions'!I$47)-(E38*'Active Mode Assumptions'!E9*'Active Mode Assumptions'!E15/(1+'Active Mode Assumptions'!E9))-(E39*'Active Mode Assumptions'!E18*'Active Mode Assumptions'!E24/(1+'Active Mode Assumptions'!E18))</f>
        <v>1528.4992679131301</v>
      </c>
      <c r="F41" s="4">
        <f ca="1">F162*'Total Distance Tables Sup #1'!F41*(1+'Other Assumptions'!J$47)-(F38*'Active Mode Assumptions'!F9*'Active Mode Assumptions'!F15/(1+'Active Mode Assumptions'!F9))-(F39*'Active Mode Assumptions'!F18*'Active Mode Assumptions'!F24/(1+'Active Mode Assumptions'!F18))</f>
        <v>1542.7785428935631</v>
      </c>
      <c r="G41" s="4">
        <f ca="1">G162*'Total Distance Tables Sup #1'!G41*(1+'Other Assumptions'!K$47)-(G38*'Active Mode Assumptions'!G9*'Active Mode Assumptions'!G15/(1+'Active Mode Assumptions'!G9))-(G39*'Active Mode Assumptions'!G18*'Active Mode Assumptions'!G24/(1+'Active Mode Assumptions'!G18))</f>
        <v>1544.2974420996127</v>
      </c>
      <c r="H41" s="4">
        <f ca="1">H162*'Total Distance Tables Sup #1'!H41*(1+'Other Assumptions'!L$47)-(H38*'Active Mode Assumptions'!H9*'Active Mode Assumptions'!H15/(1+'Active Mode Assumptions'!H9))-(H39*'Active Mode Assumptions'!H18*'Active Mode Assumptions'!H24/(1+'Active Mode Assumptions'!H18))</f>
        <v>1537.4828305763353</v>
      </c>
      <c r="I41" s="1">
        <f ca="1">I162*'Total Distance Tables Sup #1'!I41*(1+'Other Assumptions'!M$47)-(I38*'Active Mode Assumptions'!I9*'Active Mode Assumptions'!I15/(1+'Active Mode Assumptions'!I9))-(I39*'Active Mode Assumptions'!I18*'Active Mode Assumptions'!I24/(1+'Active Mode Assumptions'!I18))</f>
        <v>1553.4182939630725</v>
      </c>
      <c r="J41" s="1">
        <f ca="1">J162*'Total Distance Tables Sup #1'!J41*(1+'Other Assumptions'!N$47)-(J38*'Active Mode Assumptions'!J9*'Active Mode Assumptions'!J15/(1+'Active Mode Assumptions'!J9))-(J39*'Active Mode Assumptions'!J18*'Active Mode Assumptions'!J24/(1+'Active Mode Assumptions'!J18))</f>
        <v>1564.332802952086</v>
      </c>
      <c r="K41" s="1">
        <f ca="1">K162*'Total Distance Tables Sup #1'!K41*(1+'Other Assumptions'!O$47)-(K38*'Active Mode Assumptions'!K9*'Active Mode Assumptions'!K15/(1+'Active Mode Assumptions'!K9))-(K39*'Active Mode Assumptions'!K18*'Active Mode Assumptions'!K24/(1+'Active Mode Assumptions'!K18))</f>
        <v>1571.7383830821252</v>
      </c>
    </row>
    <row r="42" spans="1:11" x14ac:dyDescent="0.2">
      <c r="A42" t="str">
        <f ca="1">OFFSET(BOP_Reference,28,2)</f>
        <v>Taxi/Vehicle Share</v>
      </c>
      <c r="B42" s="4">
        <f ca="1">B163*'Total Distance Tables Sup #1'!B42*(1+'Other Assumptions'!D$47)</f>
        <v>0.98369936449999995</v>
      </c>
      <c r="C42" s="4">
        <f ca="1">C163*'Total Distance Tables Sup #1'!C42*(1+'Other Assumptions'!G$47)</f>
        <v>1.1253734071136658</v>
      </c>
      <c r="D42" s="4">
        <f ca="1">D163*'Total Distance Tables Sup #1'!D42*(1+'Other Assumptions'!H$47)</f>
        <v>1.2359941902045979</v>
      </c>
      <c r="E42" s="4">
        <f ca="1">E163*'Total Distance Tables Sup #1'!E42*(1+'Other Assumptions'!I$47)</f>
        <v>1.3337227124336684</v>
      </c>
      <c r="F42" s="4">
        <f ca="1">F163*'Total Distance Tables Sup #1'!F42*(1+'Other Assumptions'!J$47)</f>
        <v>1.413646156015069</v>
      </c>
      <c r="G42" s="4">
        <f ca="1">G163*'Total Distance Tables Sup #1'!G42*(1+'Other Assumptions'!K$47)</f>
        <v>1.4671927607671702</v>
      </c>
      <c r="H42" s="4">
        <f ca="1">H163*'Total Distance Tables Sup #1'!H42*(1+'Other Assumptions'!L$47)</f>
        <v>1.5134764947518748</v>
      </c>
      <c r="I42" s="1">
        <f ca="1">I163*'Total Distance Tables Sup #1'!I42*(1+'Other Assumptions'!M$47)</f>
        <v>1.5230777102463275</v>
      </c>
      <c r="J42" s="1">
        <f ca="1">J163*'Total Distance Tables Sup #1'!J42*(1+'Other Assumptions'!N$47)</f>
        <v>1.5276720838866964</v>
      </c>
      <c r="K42" s="1">
        <f ca="1">K163*'Total Distance Tables Sup #1'!K42*(1+'Other Assumptions'!O$47)</f>
        <v>1.5287925760471672</v>
      </c>
    </row>
    <row r="43" spans="1:11" x14ac:dyDescent="0.2">
      <c r="A43" t="str">
        <f ca="1">OFFSET(BOP_Reference,35,2)</f>
        <v>Motorcyclist</v>
      </c>
      <c r="B43" s="4">
        <f ca="1">B164*'Total Distance Tables Sup #1'!B43*(1+'Other Assumptions'!D$47)</f>
        <v>35.608960758999999</v>
      </c>
      <c r="C43" s="4">
        <f ca="1">C164*'Total Distance Tables Sup #1'!C43*(1+'Other Assumptions'!G$47)</f>
        <v>39.137113588161128</v>
      </c>
      <c r="D43" s="4">
        <f ca="1">D164*'Total Distance Tables Sup #1'!D43*(1+'Other Assumptions'!H$47)</f>
        <v>40.860742035464092</v>
      </c>
      <c r="E43" s="4">
        <f ca="1">E164*'Total Distance Tables Sup #1'!E43*(1+'Other Assumptions'!I$47)</f>
        <v>41.694912596440986</v>
      </c>
      <c r="F43" s="4">
        <f ca="1">F164*'Total Distance Tables Sup #1'!F43*(1+'Other Assumptions'!J$47)</f>
        <v>42.033274545002904</v>
      </c>
      <c r="G43" s="4">
        <f ca="1">G164*'Total Distance Tables Sup #1'!G43*(1+'Other Assumptions'!K$47)</f>
        <v>41.541228741084026</v>
      </c>
      <c r="H43" s="4">
        <f ca="1">H164*'Total Distance Tables Sup #1'!H43*(1+'Other Assumptions'!L$47)</f>
        <v>40.816037674361112</v>
      </c>
      <c r="I43" s="1">
        <f ca="1">I164*'Total Distance Tables Sup #1'!I43*(1+'Other Assumptions'!M$47)</f>
        <v>41.456776891303583</v>
      </c>
      <c r="J43" s="1">
        <f ca="1">J164*'Total Distance Tables Sup #1'!J43*(1+'Other Assumptions'!N$47)</f>
        <v>41.969922092735658</v>
      </c>
      <c r="K43" s="1">
        <f ca="1">K164*'Total Distance Tables Sup #1'!K43*(1+'Other Assumptions'!O$47)</f>
        <v>42.394108949951388</v>
      </c>
    </row>
    <row r="44" spans="1:11" x14ac:dyDescent="0.2">
      <c r="A44" t="str">
        <f ca="1">OFFSET(Auckland_Reference,42,2)</f>
        <v>Local Train</v>
      </c>
      <c r="B44" s="4">
        <f ca="1">B165*'Total Distance Tables Sup #1'!B44*(1+'Other Assumptions'!D$47)</f>
        <v>0</v>
      </c>
      <c r="C44" s="4">
        <f ca="1">C165*'Total Distance Tables Sup #1'!C44*(1+'Other Assumptions'!G$47)</f>
        <v>0</v>
      </c>
      <c r="D44" s="4">
        <f ca="1">D165*'Total Distance Tables Sup #1'!D44*(1+'Other Assumptions'!H$47)</f>
        <v>0</v>
      </c>
      <c r="E44" s="4">
        <f ca="1">E165*'Total Distance Tables Sup #1'!E44*(1+'Other Assumptions'!I$47)</f>
        <v>0</v>
      </c>
      <c r="F44" s="4">
        <f ca="1">F165*'Total Distance Tables Sup #1'!F44*(1+'Other Assumptions'!J$47)</f>
        <v>0</v>
      </c>
      <c r="G44" s="4">
        <f ca="1">G165*'Total Distance Tables Sup #1'!G44*(1+'Other Assumptions'!K$47)</f>
        <v>0</v>
      </c>
      <c r="H44" s="4">
        <f ca="1">H165*'Total Distance Tables Sup #1'!H44*(1+'Other Assumptions'!L$47)</f>
        <v>0</v>
      </c>
      <c r="I44" s="1">
        <f ca="1">I165*'Total Distance Tables Sup #1'!I44*(1+'Other Assumptions'!M$47)</f>
        <v>0</v>
      </c>
      <c r="J44" s="1">
        <f ca="1">J165*'Total Distance Tables Sup #1'!J44*(1+'Other Assumptions'!N$47)</f>
        <v>0</v>
      </c>
      <c r="K44" s="1">
        <f ca="1">K165*'Total Distance Tables Sup #1'!K44*(1+'Other Assumptions'!O$47)</f>
        <v>0</v>
      </c>
    </row>
    <row r="45" spans="1:11" x14ac:dyDescent="0.2">
      <c r="A45" t="str">
        <f ca="1">OFFSET(BOP_Reference,42,2)</f>
        <v>Local Bus</v>
      </c>
      <c r="B45" s="4">
        <f ca="1">B166*'Total Distance Tables Sup #1'!B45*(1+'Other Assumptions'!D$47)</f>
        <v>52.669440211999998</v>
      </c>
      <c r="C45" s="4">
        <f ca="1">C166*'Total Distance Tables Sup #1'!C45*(1+'Other Assumptions'!G$47)</f>
        <v>51.863669360445719</v>
      </c>
      <c r="D45" s="4">
        <f ca="1">D166*'Total Distance Tables Sup #1'!D45*(1+'Other Assumptions'!H$47)</f>
        <v>50.991817570640528</v>
      </c>
      <c r="E45" s="4">
        <f ca="1">E166*'Total Distance Tables Sup #1'!E45*(1+'Other Assumptions'!I$47)</f>
        <v>50.359909619139813</v>
      </c>
      <c r="F45" s="4">
        <f ca="1">F166*'Total Distance Tables Sup #1'!F45*(1+'Other Assumptions'!J$47)</f>
        <v>48.812407656394882</v>
      </c>
      <c r="G45" s="4">
        <f ca="1">G166*'Total Distance Tables Sup #1'!G45*(1+'Other Assumptions'!K$47)</f>
        <v>47.709739669433688</v>
      </c>
      <c r="H45" s="4">
        <f ca="1">H166*'Total Distance Tables Sup #1'!H45*(1+'Other Assumptions'!L$47)</f>
        <v>46.43340377726021</v>
      </c>
      <c r="I45" s="1">
        <f ca="1">I166*'Total Distance Tables Sup #1'!I45*(1+'Other Assumptions'!M$47)</f>
        <v>46.93047025035969</v>
      </c>
      <c r="J45" s="1">
        <f ca="1">J166*'Total Distance Tables Sup #1'!J45*(1+'Other Assumptions'!N$47)</f>
        <v>47.274014251731444</v>
      </c>
      <c r="K45" s="1">
        <f ca="1">K166*'Total Distance Tables Sup #1'!K45*(1+'Other Assumptions'!O$47)</f>
        <v>47.509536199977966</v>
      </c>
    </row>
    <row r="46" spans="1:11" x14ac:dyDescent="0.2">
      <c r="A46" t="str">
        <f ca="1">OFFSET(Waikato_Reference,56,2)</f>
        <v>Local Ferry</v>
      </c>
      <c r="B46" s="4">
        <f>B167*'Total Distance Tables Sup #1'!B46*(1+'Other Assumptions'!D$47)</f>
        <v>0</v>
      </c>
      <c r="C46" s="4">
        <f ca="1">C167*'Total Distance Tables Sup #1'!C46*(1+'Other Assumptions'!G$47)</f>
        <v>0</v>
      </c>
      <c r="D46" s="4">
        <f ca="1">D167*'Total Distance Tables Sup #1'!D46*(1+'Other Assumptions'!H$47)</f>
        <v>0</v>
      </c>
      <c r="E46" s="4">
        <f ca="1">E167*'Total Distance Tables Sup #1'!E46*(1+'Other Assumptions'!I$47)</f>
        <v>0</v>
      </c>
      <c r="F46" s="4">
        <f ca="1">F167*'Total Distance Tables Sup #1'!F46*(1+'Other Assumptions'!J$47)</f>
        <v>0</v>
      </c>
      <c r="G46" s="4">
        <f ca="1">G167*'Total Distance Tables Sup #1'!G46*(1+'Other Assumptions'!K$47)</f>
        <v>0</v>
      </c>
      <c r="H46" s="4">
        <f ca="1">H167*'Total Distance Tables Sup #1'!H46*(1+'Other Assumptions'!L$47)</f>
        <v>0</v>
      </c>
      <c r="I46" s="1">
        <f ca="1">I167*'Total Distance Tables Sup #1'!I46*(1+'Other Assumptions'!M$47)</f>
        <v>0</v>
      </c>
      <c r="J46" s="1">
        <f ca="1">J167*'Total Distance Tables Sup #1'!J46*(1+'Other Assumptions'!N$47)</f>
        <v>0</v>
      </c>
      <c r="K46" s="1">
        <f ca="1">K167*'Total Distance Tables Sup #1'!K46*(1+'Other Assumptions'!O$47)</f>
        <v>0</v>
      </c>
    </row>
    <row r="47" spans="1:11" x14ac:dyDescent="0.2">
      <c r="A47" t="str">
        <f ca="1">OFFSET(BOP_Reference,49,2)</f>
        <v>Other Household Travel</v>
      </c>
      <c r="B47" s="4">
        <f ca="1">B168*'Total Distance Tables Sup #1'!B47*(1+'Other Assumptions'!D$47)</f>
        <v>0</v>
      </c>
      <c r="C47" s="4">
        <f ca="1">C168*'Total Distance Tables Sup #1'!C47*(1+'Other Assumptions'!G$47)</f>
        <v>0</v>
      </c>
      <c r="D47" s="4">
        <f ca="1">D168*'Total Distance Tables Sup #1'!D47*(1+'Other Assumptions'!H$47)</f>
        <v>0</v>
      </c>
      <c r="E47" s="4">
        <f ca="1">E168*'Total Distance Tables Sup #1'!E47*(1+'Other Assumptions'!I$47)</f>
        <v>0</v>
      </c>
      <c r="F47" s="4">
        <f ca="1">F168*'Total Distance Tables Sup #1'!F47*(1+'Other Assumptions'!J$47)</f>
        <v>0</v>
      </c>
      <c r="G47" s="4">
        <f ca="1">G168*'Total Distance Tables Sup #1'!G47*(1+'Other Assumptions'!K$47)</f>
        <v>0</v>
      </c>
      <c r="H47" s="4">
        <f ca="1">H168*'Total Distance Tables Sup #1'!H47*(1+'Other Assumptions'!L$47)</f>
        <v>0</v>
      </c>
      <c r="I47" s="1">
        <f ca="1">I168*'Total Distance Tables Sup #1'!I47*(1+'Other Assumptions'!M$47)</f>
        <v>0</v>
      </c>
      <c r="J47" s="1">
        <f ca="1">J168*'Total Distance Tables Sup #1'!J47*(1+'Other Assumptions'!N$47)</f>
        <v>0</v>
      </c>
      <c r="K47" s="1">
        <f ca="1">K168*'Total Distance Tables Sup #1'!K47*(1+'Other Assumptions'!O$47)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B159*'Total Distance Tables Sup #1'!B49*(1+'Other Assumptions'!D$48)*(1+'Active Mode Assumptions'!B9)</f>
        <v>7.5635235767999998</v>
      </c>
      <c r="C49" s="4">
        <f ca="1">C159*'Total Distance Tables Sup #1'!C49*(1+'Other Assumptions'!G$48)*(1+'Active Mode Assumptions'!C9)</f>
        <v>7.6668020780627968</v>
      </c>
      <c r="D49" s="4">
        <f ca="1">D159*'Total Distance Tables Sup #1'!D49*(1+'Other Assumptions'!H$48)*(1+'Active Mode Assumptions'!D9)</f>
        <v>7.9507011286910503</v>
      </c>
      <c r="E49" s="4">
        <f ca="1">E159*'Total Distance Tables Sup #1'!E49*(1+'Other Assumptions'!I$48)*(1+'Active Mode Assumptions'!E9)</f>
        <v>8.1365865185795396</v>
      </c>
      <c r="F49" s="4">
        <f ca="1">F159*'Total Distance Tables Sup #1'!F49*(1+'Other Assumptions'!J$48)*(1+'Active Mode Assumptions'!F9)</f>
        <v>8.2331131628667205</v>
      </c>
      <c r="G49" s="4">
        <f ca="1">G159*'Total Distance Tables Sup #1'!G49*(1+'Other Assumptions'!K$48)*(1+'Active Mode Assumptions'!G9)</f>
        <v>8.2848264896669246</v>
      </c>
      <c r="H49" s="4">
        <f ca="1">H159*'Total Distance Tables Sup #1'!H49*(1+'Other Assumptions'!L$48)*(1+'Active Mode Assumptions'!H9)</f>
        <v>8.3015505927276614</v>
      </c>
      <c r="I49" s="1">
        <f ca="1">I159*'Total Distance Tables Sup #1'!I49*(1+'Other Assumptions'!M$48)*(1+'Active Mode Assumptions'!I9)</f>
        <v>8.2104773018047457</v>
      </c>
      <c r="J49" s="1">
        <f ca="1">J159*'Total Distance Tables Sup #1'!J49*(1+'Other Assumptions'!N$48)*(1+'Active Mode Assumptions'!J9)</f>
        <v>8.094715792881475</v>
      </c>
      <c r="K49" s="1">
        <f ca="1">K159*'Total Distance Tables Sup #1'!K49*(1+'Other Assumptions'!O$48)*(1+'Active Mode Assumptions'!K9)</f>
        <v>7.9635940104914145</v>
      </c>
    </row>
    <row r="50" spans="1:11" x14ac:dyDescent="0.2">
      <c r="A50" t="str">
        <f ca="1">OFFSET(Gisborne_Reference,7,2)</f>
        <v>Cyclist</v>
      </c>
      <c r="B50" s="4">
        <f ca="1">B160*'Total Distance Tables Sup #1'!B50*(1+'Other Assumptions'!D$48)*(1+'Active Mode Assumptions'!B18)</f>
        <v>3.8031873472000002</v>
      </c>
      <c r="C50" s="4">
        <f ca="1">C160*'Total Distance Tables Sup #1'!C50*(1+'Other Assumptions'!G$48)*(1+'Active Mode Assumptions'!C18)</f>
        <v>3.995504584703685</v>
      </c>
      <c r="D50" s="4">
        <f ca="1">D160*'Total Distance Tables Sup #1'!D50*(1+'Other Assumptions'!H$48)*(1+'Active Mode Assumptions'!D18)</f>
        <v>4.8553974182931592</v>
      </c>
      <c r="E50" s="4">
        <f ca="1">E160*'Total Distance Tables Sup #1'!E50*(1+'Other Assumptions'!I$48)*(1+'Active Mode Assumptions'!E18)</f>
        <v>5.6315041119463061</v>
      </c>
      <c r="F50" s="4">
        <f ca="1">F160*'Total Distance Tables Sup #1'!F50*(1+'Other Assumptions'!J$48)*(1+'Active Mode Assumptions'!F18)</f>
        <v>6.4735921462257808</v>
      </c>
      <c r="G50" s="4">
        <f ca="1">G160*'Total Distance Tables Sup #1'!G50*(1+'Other Assumptions'!K$48)*(1+'Active Mode Assumptions'!G18)</f>
        <v>7.4073950030263207</v>
      </c>
      <c r="H50" s="4">
        <f ca="1">H160*'Total Distance Tables Sup #1'!H50*(1+'Other Assumptions'!L$48)*(1+'Active Mode Assumptions'!H18)</f>
        <v>8.3651897134040514</v>
      </c>
      <c r="I50" s="1">
        <f ca="1">I160*'Total Distance Tables Sup #1'!I50*(1+'Other Assumptions'!M$48)*(1+'Active Mode Assumptions'!I18)</f>
        <v>8.2785100422272357</v>
      </c>
      <c r="J50" s="1">
        <f ca="1">J160*'Total Distance Tables Sup #1'!J50*(1+'Other Assumptions'!N$48)*(1+'Active Mode Assumptions'!J18)</f>
        <v>8.1667590556084821</v>
      </c>
      <c r="K50" s="1">
        <f ca="1">K160*'Total Distance Tables Sup #1'!K50*(1+'Other Assumptions'!O$48)*(1+'Active Mode Assumptions'!K18)</f>
        <v>8.0393159990061935</v>
      </c>
    </row>
    <row r="51" spans="1:11" x14ac:dyDescent="0.2">
      <c r="A51" t="str">
        <f ca="1">OFFSET(Gisborne_Reference,14,2)</f>
        <v>Light Vehicle Driver</v>
      </c>
      <c r="B51" s="4">
        <f ca="1">B161*'Total Distance Tables Sup #1'!B51*(1+'Other Assumptions'!D$48)-(B49*'Active Mode Assumptions'!B9*'Active Mode Assumptions'!B14/(1+'Active Mode Assumptions'!B9))-(B50*'Active Mode Assumptions'!B18*'Active Mode Assumptions'!B23/(1+'Active Mode Assumptions'!B18))</f>
        <v>241.40144318</v>
      </c>
      <c r="C51" s="4">
        <f ca="1">C161*'Total Distance Tables Sup #1'!C51*(1+'Other Assumptions'!G$48)-(C49*'Active Mode Assumptions'!C9*'Active Mode Assumptions'!C14/(1+'Active Mode Assumptions'!C9))-(C50*'Active Mode Assumptions'!C18*'Active Mode Assumptions'!C23/(1+'Active Mode Assumptions'!C18))</f>
        <v>253.3909636869648</v>
      </c>
      <c r="D51" s="4">
        <f ca="1">D161*'Total Distance Tables Sup #1'!D51*(1+'Other Assumptions'!H$48)-(D49*'Active Mode Assumptions'!D9*'Active Mode Assumptions'!D14/(1+'Active Mode Assumptions'!D9))-(D50*'Active Mode Assumptions'!D18*'Active Mode Assumptions'!D23/(1+'Active Mode Assumptions'!D18))</f>
        <v>258.35214798907072</v>
      </c>
      <c r="E51" s="4">
        <f ca="1">E161*'Total Distance Tables Sup #1'!E51*(1+'Other Assumptions'!I$48)-(E49*'Active Mode Assumptions'!E9*'Active Mode Assumptions'!E14/(1+'Active Mode Assumptions'!E9))-(E50*'Active Mode Assumptions'!E18*'Active Mode Assumptions'!E23/(1+'Active Mode Assumptions'!E18))</f>
        <v>262.98118178360613</v>
      </c>
      <c r="F51" s="4">
        <f ca="1">F161*'Total Distance Tables Sup #1'!F51*(1+'Other Assumptions'!J$48)-(F49*'Active Mode Assumptions'!F9*'Active Mode Assumptions'!F14/(1+'Active Mode Assumptions'!F9))-(F50*'Active Mode Assumptions'!F18*'Active Mode Assumptions'!F23/(1+'Active Mode Assumptions'!F18))</f>
        <v>265.9672164202097</v>
      </c>
      <c r="G51" s="4">
        <f ca="1">G161*'Total Distance Tables Sup #1'!G51*(1+'Other Assumptions'!K$48)-(G49*'Active Mode Assumptions'!G9*'Active Mode Assumptions'!G14/(1+'Active Mode Assumptions'!G9))-(G50*'Active Mode Assumptions'!G18*'Active Mode Assumptions'!G23/(1+'Active Mode Assumptions'!G18))</f>
        <v>265.3553810225178</v>
      </c>
      <c r="H51" s="4">
        <f ca="1">H161*'Total Distance Tables Sup #1'!H51*(1+'Other Assumptions'!L$48)-(H49*'Active Mode Assumptions'!H9*'Active Mode Assumptions'!H14/(1+'Active Mode Assumptions'!H9))-(H50*'Active Mode Assumptions'!H18*'Active Mode Assumptions'!H23/(1+'Active Mode Assumptions'!H18))</f>
        <v>263.53993673782446</v>
      </c>
      <c r="I51" s="1">
        <f ca="1">I161*'Total Distance Tables Sup #1'!I51*(1+'Other Assumptions'!M$48)-(I49*'Active Mode Assumptions'!I9*'Active Mode Assumptions'!I14/(1+'Active Mode Assumptions'!I9))-(I50*'Active Mode Assumptions'!I18*'Active Mode Assumptions'!I23/(1+'Active Mode Assumptions'!I18))</f>
        <v>261.22175704416753</v>
      </c>
      <c r="J51" s="1">
        <f ca="1">J161*'Total Distance Tables Sup #1'!J51*(1+'Other Assumptions'!N$48)-(J49*'Active Mode Assumptions'!J9*'Active Mode Assumptions'!J14/(1+'Active Mode Assumptions'!J9))-(J50*'Active Mode Assumptions'!J18*'Active Mode Assumptions'!J23/(1+'Active Mode Assumptions'!J18))</f>
        <v>258.10114965209942</v>
      </c>
      <c r="K51" s="1">
        <f ca="1">K161*'Total Distance Tables Sup #1'!K51*(1+'Other Assumptions'!O$48)-(K49*'Active Mode Assumptions'!K9*'Active Mode Assumptions'!K14/(1+'Active Mode Assumptions'!K9))-(K50*'Active Mode Assumptions'!K18*'Active Mode Assumptions'!K23/(1+'Active Mode Assumptions'!K18))</f>
        <v>254.47104720746751</v>
      </c>
    </row>
    <row r="52" spans="1:11" x14ac:dyDescent="0.2">
      <c r="A52" t="str">
        <f ca="1">OFFSET(Gisborne_Reference,21,2)</f>
        <v>Light Vehicle Passenger</v>
      </c>
      <c r="B52" s="4">
        <f ca="1">B162*'Total Distance Tables Sup #1'!B52*(1+'Other Assumptions'!D$48)-(B49*'Active Mode Assumptions'!B9*'Active Mode Assumptions'!B15/(1+'Active Mode Assumptions'!B9))-(B50*'Active Mode Assumptions'!B18*'Active Mode Assumptions'!B24/(1+'Active Mode Assumptions'!B18))</f>
        <v>174.74236519999999</v>
      </c>
      <c r="C52" s="4">
        <f ca="1">C162*'Total Distance Tables Sup #1'!C52*(1+'Other Assumptions'!G$48)-(C49*'Active Mode Assumptions'!C9*'Active Mode Assumptions'!C15/(1+'Active Mode Assumptions'!C9))-(C50*'Active Mode Assumptions'!C18*'Active Mode Assumptions'!C24/(1+'Active Mode Assumptions'!C18))</f>
        <v>176.65311847740119</v>
      </c>
      <c r="D52" s="4">
        <f ca="1">D162*'Total Distance Tables Sup #1'!D52*(1+'Other Assumptions'!H$48)-(D49*'Active Mode Assumptions'!D9*'Active Mode Assumptions'!D15/(1+'Active Mode Assumptions'!D9))-(D50*'Active Mode Assumptions'!D18*'Active Mode Assumptions'!D24/(1+'Active Mode Assumptions'!D18))</f>
        <v>176.36056968037889</v>
      </c>
      <c r="E52" s="4">
        <f ca="1">E162*'Total Distance Tables Sup #1'!E52*(1+'Other Assumptions'!I$48)-(E49*'Active Mode Assumptions'!E9*'Active Mode Assumptions'!E15/(1+'Active Mode Assumptions'!E9))-(E50*'Active Mode Assumptions'!E18*'Active Mode Assumptions'!E24/(1+'Active Mode Assumptions'!E18))</f>
        <v>175.89628026944382</v>
      </c>
      <c r="F52" s="4">
        <f ca="1">F162*'Total Distance Tables Sup #1'!F52*(1+'Other Assumptions'!J$48)-(F49*'Active Mode Assumptions'!F9*'Active Mode Assumptions'!F15/(1+'Active Mode Assumptions'!F9))-(F50*'Active Mode Assumptions'!F18*'Active Mode Assumptions'!F24/(1+'Active Mode Assumptions'!F18))</f>
        <v>174.05205923340617</v>
      </c>
      <c r="G52" s="4">
        <f ca="1">G162*'Total Distance Tables Sup #1'!G52*(1+'Other Assumptions'!K$48)-(G49*'Active Mode Assumptions'!G9*'Active Mode Assumptions'!G15/(1+'Active Mode Assumptions'!G9))-(G50*'Active Mode Assumptions'!G18*'Active Mode Assumptions'!G24/(1+'Active Mode Assumptions'!G18))</f>
        <v>170.665791169344</v>
      </c>
      <c r="H52" s="4">
        <f ca="1">H162*'Total Distance Tables Sup #1'!H52*(1+'Other Assumptions'!L$48)-(H49*'Active Mode Assumptions'!H9*'Active Mode Assumptions'!H15/(1+'Active Mode Assumptions'!H9))-(H50*'Active Mode Assumptions'!H18*'Active Mode Assumptions'!H24/(1+'Active Mode Assumptions'!H18))</f>
        <v>166.5504809595941</v>
      </c>
      <c r="I52" s="1">
        <f ca="1">I162*'Total Distance Tables Sup #1'!I52*(1+'Other Assumptions'!M$48)-(I49*'Active Mode Assumptions'!I9*'Active Mode Assumptions'!I15/(1+'Active Mode Assumptions'!I9))-(I50*'Active Mode Assumptions'!I18*'Active Mode Assumptions'!I24/(1+'Active Mode Assumptions'!I18))</f>
        <v>165.16775176881967</v>
      </c>
      <c r="J52" s="1">
        <f ca="1">J162*'Total Distance Tables Sup #1'!J52*(1+'Other Assumptions'!N$48)-(J49*'Active Mode Assumptions'!J9*'Active Mode Assumptions'!J15/(1+'Active Mode Assumptions'!J9))-(J50*'Active Mode Assumptions'!J18*'Active Mode Assumptions'!J24/(1+'Active Mode Assumptions'!J18))</f>
        <v>163.27620263271066</v>
      </c>
      <c r="K52" s="1">
        <f ca="1">K162*'Total Distance Tables Sup #1'!K52*(1+'Other Assumptions'!O$48)-(K49*'Active Mode Assumptions'!K9*'Active Mode Assumptions'!K15/(1+'Active Mode Assumptions'!K9))-(K50*'Active Mode Assumptions'!K18*'Active Mode Assumptions'!K24/(1+'Active Mode Assumptions'!K18))</f>
        <v>161.06041555174085</v>
      </c>
    </row>
    <row r="53" spans="1:11" x14ac:dyDescent="0.2">
      <c r="A53" t="str">
        <f ca="1">OFFSET(Gisborne_Reference,28,2)</f>
        <v>Taxi/Vehicle Share</v>
      </c>
      <c r="B53" s="4">
        <f ca="1">B163*'Total Distance Tables Sup #1'!B53*(1+'Other Assumptions'!D$48)</f>
        <v>0.1174510768</v>
      </c>
      <c r="C53" s="4">
        <f ca="1">C163*'Total Distance Tables Sup #1'!C53*(1+'Other Assumptions'!G$48)</f>
        <v>0.12847085995886276</v>
      </c>
      <c r="D53" s="4">
        <f ca="1">D163*'Total Distance Tables Sup #1'!D53*(1+'Other Assumptions'!H$48)</f>
        <v>0.13757657370376708</v>
      </c>
      <c r="E53" s="4">
        <f ca="1">E163*'Total Distance Tables Sup #1'!E53*(1+'Other Assumptions'!I$48)</f>
        <v>0.1455592058303766</v>
      </c>
      <c r="F53" s="4">
        <f ca="1">F163*'Total Distance Tables Sup #1'!F53*(1+'Other Assumptions'!J$48)</f>
        <v>0.15140650628958352</v>
      </c>
      <c r="G53" s="4">
        <f ca="1">G163*'Total Distance Tables Sup #1'!G53*(1+'Other Assumptions'!K$48)</f>
        <v>0.15410528478315444</v>
      </c>
      <c r="H53" s="4">
        <f ca="1">H163*'Total Distance Tables Sup #1'!H53*(1+'Other Assumptions'!L$48)</f>
        <v>0.15600865840337105</v>
      </c>
      <c r="I53" s="1">
        <f ca="1">I163*'Total Distance Tables Sup #1'!I53*(1+'Other Assumptions'!M$48)</f>
        <v>0.15409597088167376</v>
      </c>
      <c r="J53" s="1">
        <f ca="1">J163*'Total Distance Tables Sup #1'!J53*(1+'Other Assumptions'!N$48)</f>
        <v>0.1517229448421093</v>
      </c>
      <c r="K53" s="1">
        <f ca="1">K163*'Total Distance Tables Sup #1'!K53*(1+'Other Assumptions'!O$48)</f>
        <v>0.14906632247841198</v>
      </c>
    </row>
    <row r="54" spans="1:11" x14ac:dyDescent="0.2">
      <c r="A54" t="str">
        <f ca="1">OFFSET(Gisborne_Reference,35,2)</f>
        <v>Motorcyclist</v>
      </c>
      <c r="B54" s="4">
        <f ca="1">B164*'Total Distance Tables Sup #1'!B54*(1+'Other Assumptions'!D$48)</f>
        <v>0.95186353219999997</v>
      </c>
      <c r="C54" s="4">
        <f ca="1">C164*'Total Distance Tables Sup #1'!C54*(1+'Other Assumptions'!G$48)</f>
        <v>1.0002707122978947</v>
      </c>
      <c r="D54" s="4">
        <f ca="1">D164*'Total Distance Tables Sup #1'!D54*(1+'Other Assumptions'!H$48)</f>
        <v>1.0182515657889506</v>
      </c>
      <c r="E54" s="4">
        <f ca="1">E164*'Total Distance Tables Sup #1'!E54*(1+'Other Assumptions'!I$48)</f>
        <v>1.0187742880243813</v>
      </c>
      <c r="F54" s="4">
        <f ca="1">F164*'Total Distance Tables Sup #1'!F54*(1+'Other Assumptions'!J$48)</f>
        <v>1.0079008779491758</v>
      </c>
      <c r="G54" s="4">
        <f ca="1">G164*'Total Distance Tables Sup #1'!G54*(1+'Other Assumptions'!K$48)</f>
        <v>0.97685582969866991</v>
      </c>
      <c r="H54" s="4">
        <f ca="1">H164*'Total Distance Tables Sup #1'!H54*(1+'Other Assumptions'!L$48)</f>
        <v>0.94194303950428282</v>
      </c>
      <c r="I54" s="1">
        <f ca="1">I164*'Total Distance Tables Sup #1'!I54*(1+'Other Assumptions'!M$48)</f>
        <v>0.93904311493141446</v>
      </c>
      <c r="J54" s="1">
        <f ca="1">J164*'Total Distance Tables Sup #1'!J54*(1+'Other Assumptions'!N$48)</f>
        <v>0.93321145578272513</v>
      </c>
      <c r="K54" s="1">
        <f ca="1">K164*'Total Distance Tables Sup #1'!K54*(1+'Other Assumptions'!O$48)</f>
        <v>0.92545916639180903</v>
      </c>
    </row>
    <row r="55" spans="1:11" x14ac:dyDescent="0.2">
      <c r="A55" t="str">
        <f ca="1">OFFSET(Gisborne_Reference,42,2)</f>
        <v>Local Train</v>
      </c>
      <c r="B55" s="4">
        <f ca="1">B165*'Total Distance Tables Sup #1'!B55*(1+'Other Assumptions'!D$48)</f>
        <v>0</v>
      </c>
      <c r="C55" s="4">
        <f ca="1">C165*'Total Distance Tables Sup #1'!C55*(1+'Other Assumptions'!G$48)</f>
        <v>0</v>
      </c>
      <c r="D55" s="4">
        <f ca="1">D165*'Total Distance Tables Sup #1'!D55*(1+'Other Assumptions'!H$48)</f>
        <v>0</v>
      </c>
      <c r="E55" s="4">
        <f ca="1">E165*'Total Distance Tables Sup #1'!E55*(1+'Other Assumptions'!I$48)</f>
        <v>0</v>
      </c>
      <c r="F55" s="4">
        <f ca="1">F165*'Total Distance Tables Sup #1'!F55*(1+'Other Assumptions'!J$48)</f>
        <v>0</v>
      </c>
      <c r="G55" s="4">
        <f ca="1">G165*'Total Distance Tables Sup #1'!G55*(1+'Other Assumptions'!K$48)</f>
        <v>0</v>
      </c>
      <c r="H55" s="4">
        <f ca="1">H165*'Total Distance Tables Sup #1'!H55*(1+'Other Assumptions'!L$48)</f>
        <v>0</v>
      </c>
      <c r="I55" s="1">
        <f ca="1">I165*'Total Distance Tables Sup #1'!I55*(1+'Other Assumptions'!M$48)</f>
        <v>0</v>
      </c>
      <c r="J55" s="1">
        <f ca="1">J165*'Total Distance Tables Sup #1'!J55*(1+'Other Assumptions'!N$48)</f>
        <v>0</v>
      </c>
      <c r="K55" s="1">
        <f ca="1">K165*'Total Distance Tables Sup #1'!K55*(1+'Other Assumptions'!O$48)</f>
        <v>0</v>
      </c>
    </row>
    <row r="56" spans="1:11" x14ac:dyDescent="0.2">
      <c r="A56" t="str">
        <f ca="1">OFFSET(Gisborne_Reference,49,2)</f>
        <v>Local Bus</v>
      </c>
      <c r="B56" s="4">
        <f ca="1">B166*'Total Distance Tables Sup #1'!B56*(1+'Other Assumptions'!D$48)</f>
        <v>4.8778387282000004</v>
      </c>
      <c r="C56" s="4">
        <f ca="1">C166*'Total Distance Tables Sup #1'!C56*(1+'Other Assumptions'!G$48)</f>
        <v>4.5924596124923855</v>
      </c>
      <c r="D56" s="4">
        <f ca="1">D166*'Total Distance Tables Sup #1'!D56*(1+'Other Assumptions'!H$48)</f>
        <v>4.4025335610377505</v>
      </c>
      <c r="E56" s="4">
        <f ca="1">E166*'Total Distance Tables Sup #1'!E56*(1+'Other Assumptions'!I$48)</f>
        <v>4.2631753432682205</v>
      </c>
      <c r="F56" s="4">
        <f ca="1">F166*'Total Distance Tables Sup #1'!F56*(1+'Other Assumptions'!J$48)</f>
        <v>4.0551616795244705</v>
      </c>
      <c r="G56" s="4">
        <f ca="1">G166*'Total Distance Tables Sup #1'!G56*(1+'Other Assumptions'!K$48)</f>
        <v>3.886973024946673</v>
      </c>
      <c r="H56" s="4">
        <f ca="1">H166*'Total Distance Tables Sup #1'!H56*(1+'Other Assumptions'!L$48)</f>
        <v>3.7125957676692409</v>
      </c>
      <c r="I56" s="1">
        <f ca="1">I166*'Total Distance Tables Sup #1'!I56*(1+'Other Assumptions'!M$48)</f>
        <v>3.6829705824919623</v>
      </c>
      <c r="J56" s="1">
        <f ca="1">J166*'Total Distance Tables Sup #1'!J56*(1+'Other Assumptions'!N$48)</f>
        <v>3.6418137031233249</v>
      </c>
      <c r="K56" s="1">
        <f ca="1">K166*'Total Distance Tables Sup #1'!K56*(1+'Other Assumptions'!O$48)</f>
        <v>3.5932371906366432</v>
      </c>
    </row>
    <row r="57" spans="1:11" x14ac:dyDescent="0.2">
      <c r="A57" t="str">
        <f ca="1">OFFSET(Gisborne_Reference,56,2)</f>
        <v>Local Ferry</v>
      </c>
      <c r="B57" s="4">
        <f ca="1">B167*'Total Distance Tables Sup #1'!B57*(1+'Other Assumptions'!D$48)</f>
        <v>0</v>
      </c>
      <c r="C57" s="4">
        <f ca="1">C167*'Total Distance Tables Sup #1'!C57*(1+'Other Assumptions'!G$48)</f>
        <v>0</v>
      </c>
      <c r="D57" s="4">
        <f ca="1">D167*'Total Distance Tables Sup #1'!D57*(1+'Other Assumptions'!H$48)</f>
        <v>0</v>
      </c>
      <c r="E57" s="4">
        <f ca="1">E167*'Total Distance Tables Sup #1'!E57*(1+'Other Assumptions'!I$48)</f>
        <v>0</v>
      </c>
      <c r="F57" s="4">
        <f ca="1">F167*'Total Distance Tables Sup #1'!F57*(1+'Other Assumptions'!J$48)</f>
        <v>0</v>
      </c>
      <c r="G57" s="4">
        <f ca="1">G167*'Total Distance Tables Sup #1'!G57*(1+'Other Assumptions'!K$48)</f>
        <v>0</v>
      </c>
      <c r="H57" s="4">
        <f ca="1">H167*'Total Distance Tables Sup #1'!H57*(1+'Other Assumptions'!L$48)</f>
        <v>0</v>
      </c>
      <c r="I57" s="1">
        <f ca="1">I167*'Total Distance Tables Sup #1'!I57*(1+'Other Assumptions'!M$48)</f>
        <v>0</v>
      </c>
      <c r="J57" s="1">
        <f ca="1">J167*'Total Distance Tables Sup #1'!J57*(1+'Other Assumptions'!N$48)</f>
        <v>0</v>
      </c>
      <c r="K57" s="1">
        <f ca="1">K167*'Total Distance Tables Sup #1'!K57*(1+'Other Assumptions'!O$48)</f>
        <v>0</v>
      </c>
    </row>
    <row r="58" spans="1:11" x14ac:dyDescent="0.2">
      <c r="A58" t="str">
        <f ca="1">OFFSET(Gisborne_Reference,63,2)</f>
        <v>Other Household Travel</v>
      </c>
      <c r="B58" s="4">
        <f ca="1">B168*'Total Distance Tables Sup #1'!B58*(1+'Other Assumptions'!D$48)</f>
        <v>0</v>
      </c>
      <c r="C58" s="4">
        <f ca="1">C168*'Total Distance Tables Sup #1'!C58*(1+'Other Assumptions'!G$48)</f>
        <v>0</v>
      </c>
      <c r="D58" s="4">
        <f ca="1">D168*'Total Distance Tables Sup #1'!D58*(1+'Other Assumptions'!H$48)</f>
        <v>0</v>
      </c>
      <c r="E58" s="4">
        <f ca="1">E168*'Total Distance Tables Sup #1'!E58*(1+'Other Assumptions'!I$48)</f>
        <v>0</v>
      </c>
      <c r="F58" s="4">
        <f ca="1">F168*'Total Distance Tables Sup #1'!F58*(1+'Other Assumptions'!J$48)</f>
        <v>0</v>
      </c>
      <c r="G58" s="4">
        <f ca="1">G168*'Total Distance Tables Sup #1'!G58*(1+'Other Assumptions'!K$48)</f>
        <v>0</v>
      </c>
      <c r="H58" s="4">
        <f ca="1">H168*'Total Distance Tables Sup #1'!H58*(1+'Other Assumptions'!L$48)</f>
        <v>0</v>
      </c>
      <c r="I58" s="1">
        <f ca="1">I168*'Total Distance Tables Sup #1'!I58*(1+'Other Assumptions'!M$48)</f>
        <v>0</v>
      </c>
      <c r="J58" s="1">
        <f ca="1">J168*'Total Distance Tables Sup #1'!J58*(1+'Other Assumptions'!N$48)</f>
        <v>0</v>
      </c>
      <c r="K58" s="1">
        <f ca="1">K168*'Total Distance Tables Sup #1'!K58*(1+'Other Assumptions'!O$48)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B159*'Total Distance Tables Sup #1'!B60*(1+'Other Assumptions'!D$49)*(1+'Active Mode Assumptions'!B9)</f>
        <v>22.691613215</v>
      </c>
      <c r="C60" s="4">
        <f ca="1">C159*'Total Distance Tables Sup #1'!C60*(1+'Other Assumptions'!G$49)*(1+'Active Mode Assumptions'!C9)</f>
        <v>23.8748205727928</v>
      </c>
      <c r="D60" s="4">
        <f ca="1">D159*'Total Distance Tables Sup #1'!D60*(1+'Other Assumptions'!H$49)*(1+'Active Mode Assumptions'!D9)</f>
        <v>25.379046220323808</v>
      </c>
      <c r="E60" s="4">
        <f ca="1">E159*'Total Distance Tables Sup #1'!E60*(1+'Other Assumptions'!I$49)*(1+'Active Mode Assumptions'!E9)</f>
        <v>26.494987661287642</v>
      </c>
      <c r="F60" s="4">
        <f ca="1">F159*'Total Distance Tables Sup #1'!F60*(1+'Other Assumptions'!J$49)*(1+'Active Mode Assumptions'!F9)</f>
        <v>27.329530598916524</v>
      </c>
      <c r="G60" s="4">
        <f ca="1">G159*'Total Distance Tables Sup #1'!G60*(1+'Other Assumptions'!K$49)*(1+'Active Mode Assumptions'!G9)</f>
        <v>28.08036500167772</v>
      </c>
      <c r="H60" s="4">
        <f ca="1">H159*'Total Distance Tables Sup #1'!H60*(1+'Other Assumptions'!L$49)*(1+'Active Mode Assumptions'!H9)</f>
        <v>28.74016151883875</v>
      </c>
      <c r="I60" s="1">
        <f ca="1">I159*'Total Distance Tables Sup #1'!I60*(1+'Other Assumptions'!M$49)*(1+'Active Mode Assumptions'!I9)</f>
        <v>29.05197350359229</v>
      </c>
      <c r="J60" s="1">
        <f ca="1">J159*'Total Distance Tables Sup #1'!J60*(1+'Other Assumptions'!N$49)*(1+'Active Mode Assumptions'!J9)</f>
        <v>29.292371205301496</v>
      </c>
      <c r="K60" s="1">
        <f ca="1">K159*'Total Distance Tables Sup #1'!K60*(1+'Other Assumptions'!O$49)*(1+'Active Mode Assumptions'!K9)</f>
        <v>29.490198242840719</v>
      </c>
    </row>
    <row r="61" spans="1:11" x14ac:dyDescent="0.2">
      <c r="A61" t="str">
        <f ca="1">OFFSET(Hawkes_Bay_Reference,7,2)</f>
        <v>Cyclist</v>
      </c>
      <c r="B61" s="4">
        <f ca="1">B160*'Total Distance Tables Sup #1'!B61*(1+'Other Assumptions'!D$49)*(1+'Active Mode Assumptions'!B18)</f>
        <v>9.5482363540000001</v>
      </c>
      <c r="C61" s="4">
        <f ca="1">C160*'Total Distance Tables Sup #1'!C61*(1+'Other Assumptions'!G$49)*(1+'Active Mode Assumptions'!C18)</f>
        <v>10.411941800913239</v>
      </c>
      <c r="D61" s="4">
        <f ca="1">D160*'Total Distance Tables Sup #1'!D61*(1+'Other Assumptions'!H$49)*(1+'Active Mode Assumptions'!D18)</f>
        <v>12.96966878589568</v>
      </c>
      <c r="E61" s="4">
        <f ca="1">E160*'Total Distance Tables Sup #1'!E61*(1+'Other Assumptions'!I$49)*(1+'Active Mode Assumptions'!E18)</f>
        <v>15.345467170217756</v>
      </c>
      <c r="F61" s="4">
        <f ca="1">F160*'Total Distance Tables Sup #1'!F61*(1+'Other Assumptions'!J$49)*(1+'Active Mode Assumptions'!F18)</f>
        <v>17.982400087029067</v>
      </c>
      <c r="G61" s="4">
        <f ca="1">G160*'Total Distance Tables Sup #1'!G61*(1+'Other Assumptions'!K$49)*(1+'Active Mode Assumptions'!G18)</f>
        <v>21.009662192394305</v>
      </c>
      <c r="H61" s="4">
        <f ca="1">H160*'Total Distance Tables Sup #1'!H61*(1+'Other Assumptions'!L$49)*(1+'Active Mode Assumptions'!H18)</f>
        <v>24.234832046995422</v>
      </c>
      <c r="I61" s="1">
        <f ca="1">I160*'Total Distance Tables Sup #1'!I61*(1+'Other Assumptions'!M$49)*(1+'Active Mode Assumptions'!I18)</f>
        <v>24.51284101997085</v>
      </c>
      <c r="J61" s="1">
        <f ca="1">J160*'Total Distance Tables Sup #1'!J61*(1+'Other Assumptions'!N$49)*(1+'Active Mode Assumptions'!J18)</f>
        <v>24.730727987127874</v>
      </c>
      <c r="K61" s="1">
        <f ca="1">K160*'Total Distance Tables Sup #1'!K61*(1+'Other Assumptions'!O$49)*(1+'Active Mode Assumptions'!K18)</f>
        <v>24.912764030288159</v>
      </c>
    </row>
    <row r="62" spans="1:11" x14ac:dyDescent="0.2">
      <c r="A62" t="str">
        <f ca="1">OFFSET(Hawkes_Bay_Reference,14,2)</f>
        <v>Light Vehicle Driver</v>
      </c>
      <c r="B62" s="4">
        <f ca="1">B161*'Total Distance Tables Sup #1'!B62*(1+'Other Assumptions'!D$49)-(B60*'Active Mode Assumptions'!B9*'Active Mode Assumptions'!B14/(1+'Active Mode Assumptions'!B9))-(B61*'Active Mode Assumptions'!B18*'Active Mode Assumptions'!B23/(1+'Active Mode Assumptions'!B18))</f>
        <v>1001.7566771</v>
      </c>
      <c r="C62" s="4">
        <f ca="1">C161*'Total Distance Tables Sup #1'!C62*(1+'Other Assumptions'!G$49)-(C60*'Active Mode Assumptions'!C9*'Active Mode Assumptions'!C14/(1+'Active Mode Assumptions'!C9))-(C61*'Active Mode Assumptions'!C18*'Active Mode Assumptions'!C23/(1+'Active Mode Assumptions'!C18))</f>
        <v>1091.4357227696062</v>
      </c>
      <c r="D62" s="4">
        <f ca="1">D161*'Total Distance Tables Sup #1'!D62*(1+'Other Assumptions'!H$49)-(D60*'Active Mode Assumptions'!D9*'Active Mode Assumptions'!D14/(1+'Active Mode Assumptions'!D9))-(D61*'Active Mode Assumptions'!D18*'Active Mode Assumptions'!D23/(1+'Active Mode Assumptions'!D18))</f>
        <v>1141.1244858052846</v>
      </c>
      <c r="E62" s="4">
        <f ca="1">E161*'Total Distance Tables Sup #1'!E62*(1+'Other Assumptions'!I$49)-(E60*'Active Mode Assumptions'!E9*'Active Mode Assumptions'!E14/(1+'Active Mode Assumptions'!E9))-(E61*'Active Mode Assumptions'!E18*'Active Mode Assumptions'!E23/(1+'Active Mode Assumptions'!E18))</f>
        <v>1185.3825456679449</v>
      </c>
      <c r="F62" s="4">
        <f ca="1">F161*'Total Distance Tables Sup #1'!F62*(1+'Other Assumptions'!J$49)-(F60*'Active Mode Assumptions'!F9*'Active Mode Assumptions'!F14/(1+'Active Mode Assumptions'!F9))-(F61*'Active Mode Assumptions'!F18*'Active Mode Assumptions'!F23/(1+'Active Mode Assumptions'!F18))</f>
        <v>1222.5547054798401</v>
      </c>
      <c r="G62" s="4">
        <f ca="1">G161*'Total Distance Tables Sup #1'!G62*(1+'Other Assumptions'!K$49)-(G60*'Active Mode Assumptions'!G9*'Active Mode Assumptions'!G14/(1+'Active Mode Assumptions'!G9))-(G61*'Active Mode Assumptions'!G18*'Active Mode Assumptions'!G23/(1+'Active Mode Assumptions'!G18))</f>
        <v>1245.9181648056754</v>
      </c>
      <c r="H62" s="4">
        <f ca="1">H161*'Total Distance Tables Sup #1'!H62*(1+'Other Assumptions'!L$49)-(H60*'Active Mode Assumptions'!H9*'Active Mode Assumptions'!H14/(1+'Active Mode Assumptions'!H9))-(H61*'Active Mode Assumptions'!H18*'Active Mode Assumptions'!H23/(1+'Active Mode Assumptions'!H18))</f>
        <v>1264.4316380215703</v>
      </c>
      <c r="I62" s="1">
        <f ca="1">I161*'Total Distance Tables Sup #1'!I62*(1+'Other Assumptions'!M$49)-(I60*'Active Mode Assumptions'!I9*'Active Mode Assumptions'!I14/(1+'Active Mode Assumptions'!I9))-(I61*'Active Mode Assumptions'!I18*'Active Mode Assumptions'!I23/(1+'Active Mode Assumptions'!I18))</f>
        <v>1280.9556489923928</v>
      </c>
      <c r="J62" s="1">
        <f ca="1">J161*'Total Distance Tables Sup #1'!J62*(1+'Other Assumptions'!N$49)-(J60*'Active Mode Assumptions'!J9*'Active Mode Assumptions'!J14/(1+'Active Mode Assumptions'!J9))-(J61*'Active Mode Assumptions'!J18*'Active Mode Assumptions'!J23/(1+'Active Mode Assumptions'!J18))</f>
        <v>1294.371573818758</v>
      </c>
      <c r="K62" s="1">
        <f ca="1">K161*'Total Distance Tables Sup #1'!K62*(1+'Other Assumptions'!O$49)-(K60*'Active Mode Assumptions'!K9*'Active Mode Assumptions'!K14/(1+'Active Mode Assumptions'!K9))-(K61*'Active Mode Assumptions'!K18*'Active Mode Assumptions'!K23/(1+'Active Mode Assumptions'!K18))</f>
        <v>1305.9353080046778</v>
      </c>
    </row>
    <row r="63" spans="1:11" x14ac:dyDescent="0.2">
      <c r="A63" t="str">
        <f ca="1">OFFSET(Hawkes_Bay_Reference,21,2)</f>
        <v>Light Vehicle Passenger</v>
      </c>
      <c r="B63" s="4">
        <f ca="1">B162*'Total Distance Tables Sup #1'!B63*(1+'Other Assumptions'!D$49)-(B60*'Active Mode Assumptions'!B9*'Active Mode Assumptions'!B15/(1+'Active Mode Assumptions'!B9))-(B61*'Active Mode Assumptions'!B18*'Active Mode Assumptions'!B24/(1+'Active Mode Assumptions'!B18))</f>
        <v>607.82570181000006</v>
      </c>
      <c r="C63" s="4">
        <f ca="1">C162*'Total Distance Tables Sup #1'!C63*(1+'Other Assumptions'!G$49)-(C60*'Active Mode Assumptions'!C9*'Active Mode Assumptions'!C15/(1+'Active Mode Assumptions'!C9))-(C61*'Active Mode Assumptions'!C18*'Active Mode Assumptions'!C24/(1+'Active Mode Assumptions'!C18))</f>
        <v>637.80337962591511</v>
      </c>
      <c r="D63" s="4">
        <f ca="1">D162*'Total Distance Tables Sup #1'!D63*(1+'Other Assumptions'!H$49)-(D60*'Active Mode Assumptions'!D9*'Active Mode Assumptions'!D15/(1+'Active Mode Assumptions'!D9))-(D61*'Active Mode Assumptions'!D18*'Active Mode Assumptions'!D24/(1+'Active Mode Assumptions'!D18))</f>
        <v>652.94330591079756</v>
      </c>
      <c r="E63" s="4">
        <f ca="1">E162*'Total Distance Tables Sup #1'!E63*(1+'Other Assumptions'!I$49)-(E60*'Active Mode Assumptions'!E9*'Active Mode Assumptions'!E15/(1+'Active Mode Assumptions'!E9))-(E61*'Active Mode Assumptions'!E18*'Active Mode Assumptions'!E24/(1+'Active Mode Assumptions'!E18))</f>
        <v>664.57674445640112</v>
      </c>
      <c r="F63" s="4">
        <f ca="1">F162*'Total Distance Tables Sup #1'!F63*(1+'Other Assumptions'!J$49)-(F60*'Active Mode Assumptions'!F9*'Active Mode Assumptions'!F15/(1+'Active Mode Assumptions'!F9))-(F61*'Active Mode Assumptions'!F18*'Active Mode Assumptions'!F24/(1+'Active Mode Assumptions'!F18))</f>
        <v>670.63098729335434</v>
      </c>
      <c r="G63" s="4">
        <f ca="1">G162*'Total Distance Tables Sup #1'!G63*(1+'Other Assumptions'!K$49)-(G60*'Active Mode Assumptions'!G9*'Active Mode Assumptions'!G15/(1+'Active Mode Assumptions'!G9))-(G61*'Active Mode Assumptions'!G18*'Active Mode Assumptions'!G24/(1+'Active Mode Assumptions'!G18))</f>
        <v>671.71897439380245</v>
      </c>
      <c r="H63" s="4">
        <f ca="1">H162*'Total Distance Tables Sup #1'!H63*(1+'Other Assumptions'!L$49)-(H60*'Active Mode Assumptions'!H9*'Active Mode Assumptions'!H15/(1+'Active Mode Assumptions'!H9))-(H61*'Active Mode Assumptions'!H18*'Active Mode Assumptions'!H24/(1+'Active Mode Assumptions'!H18))</f>
        <v>669.88042492311399</v>
      </c>
      <c r="I63" s="1">
        <f ca="1">I162*'Total Distance Tables Sup #1'!I63*(1+'Other Assumptions'!M$49)-(I60*'Active Mode Assumptions'!I9*'Active Mode Assumptions'!I15/(1+'Active Mode Assumptions'!I9))-(I61*'Active Mode Assumptions'!I18*'Active Mode Assumptions'!I24/(1+'Active Mode Assumptions'!I18))</f>
        <v>678.97220619412099</v>
      </c>
      <c r="J63" s="1">
        <f ca="1">J162*'Total Distance Tables Sup #1'!J63*(1+'Other Assumptions'!N$49)-(J60*'Active Mode Assumptions'!J9*'Active Mode Assumptions'!J15/(1+'Active Mode Assumptions'!J9))-(J61*'Active Mode Assumptions'!J18*'Active Mode Assumptions'!J24/(1+'Active Mode Assumptions'!J18))</f>
        <v>686.42552618856371</v>
      </c>
      <c r="K63" s="1">
        <f ca="1">K162*'Total Distance Tables Sup #1'!K63*(1+'Other Assumptions'!O$49)-(K60*'Active Mode Assumptions'!K9*'Active Mode Assumptions'!K15/(1+'Active Mode Assumptions'!K9))-(K61*'Active Mode Assumptions'!K18*'Active Mode Assumptions'!K24/(1+'Active Mode Assumptions'!K18))</f>
        <v>692.90408754246562</v>
      </c>
    </row>
    <row r="64" spans="1:11" x14ac:dyDescent="0.2">
      <c r="A64" t="str">
        <f ca="1">OFFSET(Hawkes_Bay_Reference,28,2)</f>
        <v>Taxi/Vehicle Share</v>
      </c>
      <c r="B64" s="4">
        <f ca="1">B163*'Total Distance Tables Sup #1'!B64*(1+'Other Assumptions'!D$49)</f>
        <v>1.7589425135000001</v>
      </c>
      <c r="C64" s="4">
        <f ca="1">C163*'Total Distance Tables Sup #1'!C64*(1+'Other Assumptions'!G$49)</f>
        <v>1.997026976774259</v>
      </c>
      <c r="D64" s="4">
        <f ca="1">D163*'Total Distance Tables Sup #1'!D64*(1+'Other Assumptions'!H$49)</f>
        <v>2.1921375100873339</v>
      </c>
      <c r="E64" s="4">
        <f ca="1">E163*'Total Distance Tables Sup #1'!E64*(1+'Other Assumptions'!I$49)</f>
        <v>2.3659991707763983</v>
      </c>
      <c r="F64" s="4">
        <f ca="1">F163*'Total Distance Tables Sup #1'!F64*(1+'Other Assumptions'!J$49)</f>
        <v>2.5088001199938477</v>
      </c>
      <c r="G64" s="4">
        <f ca="1">G163*'Total Distance Tables Sup #1'!G64*(1+'Other Assumptions'!K$49)</f>
        <v>2.607295766765203</v>
      </c>
      <c r="H64" s="4">
        <f ca="1">H163*'Total Distance Tables Sup #1'!H64*(1+'Other Assumptions'!L$49)</f>
        <v>2.6960759572205006</v>
      </c>
      <c r="I64" s="1">
        <f ca="1">I163*'Total Distance Tables Sup #1'!I64*(1+'Other Assumptions'!M$49)</f>
        <v>2.7217733279292351</v>
      </c>
      <c r="J64" s="1">
        <f ca="1">J163*'Total Distance Tables Sup #1'!J64*(1+'Other Assumptions'!N$49)</f>
        <v>2.7406755360807775</v>
      </c>
      <c r="K64" s="1">
        <f ca="1">K163*'Total Distance Tables Sup #1'!K64*(1+'Other Assumptions'!O$49)</f>
        <v>2.755507224271593</v>
      </c>
    </row>
    <row r="65" spans="1:11" x14ac:dyDescent="0.2">
      <c r="A65" t="str">
        <f ca="1">OFFSET(Hawkes_Bay_Reference,35,2)</f>
        <v>Motorcyclist</v>
      </c>
      <c r="B65" s="4">
        <f ca="1">B164*'Total Distance Tables Sup #1'!B65*(1+'Other Assumptions'!D$49)</f>
        <v>3.0321841239</v>
      </c>
      <c r="C65" s="4">
        <f ca="1">C164*'Total Distance Tables Sup #1'!C65*(1+'Other Assumptions'!G$49)</f>
        <v>3.3073723493017808</v>
      </c>
      <c r="D65" s="4">
        <f ca="1">D164*'Total Distance Tables Sup #1'!D65*(1+'Other Assumptions'!H$49)</f>
        <v>3.4511563006434756</v>
      </c>
      <c r="E65" s="4">
        <f ca="1">E164*'Total Distance Tables Sup #1'!E65*(1+'Other Assumptions'!I$49)</f>
        <v>3.5224036643922352</v>
      </c>
      <c r="F65" s="4">
        <f ca="1">F164*'Total Distance Tables Sup #1'!F65*(1+'Other Assumptions'!J$49)</f>
        <v>3.5524304582604969</v>
      </c>
      <c r="G65" s="4">
        <f ca="1">G164*'Total Distance Tables Sup #1'!G65*(1+'Other Assumptions'!K$49)</f>
        <v>3.5155192286951116</v>
      </c>
      <c r="H65" s="4">
        <f ca="1">H164*'Total Distance Tables Sup #1'!H65*(1+'Other Assumptions'!L$49)</f>
        <v>3.4625360247278612</v>
      </c>
      <c r="I65" s="1">
        <f ca="1">I164*'Total Distance Tables Sup #1'!I65*(1+'Other Assumptions'!M$49)</f>
        <v>3.5280313951124795</v>
      </c>
      <c r="J65" s="1">
        <f ca="1">J164*'Total Distance Tables Sup #1'!J65*(1+'Other Assumptions'!N$49)</f>
        <v>3.5856893315822846</v>
      </c>
      <c r="K65" s="1">
        <f ca="1">K164*'Total Distance Tables Sup #1'!K65*(1+'Other Assumptions'!O$49)</f>
        <v>3.6388614145478111</v>
      </c>
    </row>
    <row r="66" spans="1:11" x14ac:dyDescent="0.2">
      <c r="A66" t="str">
        <f ca="1">OFFSET(Auckland_Reference,42,2)</f>
        <v>Local Train</v>
      </c>
      <c r="B66" s="4">
        <f ca="1">B165*'Total Distance Tables Sup #1'!B66*(1+'Other Assumptions'!D$49)</f>
        <v>0</v>
      </c>
      <c r="C66" s="4">
        <f ca="1">C165*'Total Distance Tables Sup #1'!C66*(1+'Other Assumptions'!G$49)</f>
        <v>0</v>
      </c>
      <c r="D66" s="4">
        <f ca="1">D165*'Total Distance Tables Sup #1'!D66*(1+'Other Assumptions'!H$49)</f>
        <v>0</v>
      </c>
      <c r="E66" s="4">
        <f ca="1">E165*'Total Distance Tables Sup #1'!E66*(1+'Other Assumptions'!I$49)</f>
        <v>0</v>
      </c>
      <c r="F66" s="4">
        <f ca="1">F165*'Total Distance Tables Sup #1'!F66*(1+'Other Assumptions'!J$49)</f>
        <v>0</v>
      </c>
      <c r="G66" s="4">
        <f ca="1">G165*'Total Distance Tables Sup #1'!G66*(1+'Other Assumptions'!K$49)</f>
        <v>0</v>
      </c>
      <c r="H66" s="4">
        <f ca="1">H165*'Total Distance Tables Sup #1'!H66*(1+'Other Assumptions'!L$49)</f>
        <v>0</v>
      </c>
      <c r="I66" s="1">
        <f ca="1">I165*'Total Distance Tables Sup #1'!I66*(1+'Other Assumptions'!M$49)</f>
        <v>0</v>
      </c>
      <c r="J66" s="1">
        <f ca="1">J165*'Total Distance Tables Sup #1'!J66*(1+'Other Assumptions'!N$49)</f>
        <v>0</v>
      </c>
      <c r="K66" s="1">
        <f ca="1">K165*'Total Distance Tables Sup #1'!K66*(1+'Other Assumptions'!O$49)</f>
        <v>0</v>
      </c>
    </row>
    <row r="67" spans="1:11" x14ac:dyDescent="0.2">
      <c r="A67" t="str">
        <f ca="1">OFFSET(Hawkes_Bay_Reference,42,2)</f>
        <v>Local Bus</v>
      </c>
      <c r="B67" s="4">
        <f ca="1">B166*'Total Distance Tables Sup #1'!B67*(1+'Other Assumptions'!D$49)</f>
        <v>39.591997026999998</v>
      </c>
      <c r="C67" s="4">
        <f ca="1">C166*'Total Distance Tables Sup #1'!C67*(1+'Other Assumptions'!G$49)</f>
        <v>38.691001695471009</v>
      </c>
      <c r="D67" s="4">
        <f ca="1">D166*'Total Distance Tables Sup #1'!D67*(1+'Other Assumptions'!H$49)</f>
        <v>38.019929482520482</v>
      </c>
      <c r="E67" s="4">
        <f ca="1">E166*'Total Distance Tables Sup #1'!E67*(1+'Other Assumptions'!I$49)</f>
        <v>37.557219613036864</v>
      </c>
      <c r="F67" s="4">
        <f ca="1">F166*'Total Distance Tables Sup #1'!F67*(1+'Other Assumptions'!J$49)</f>
        <v>36.417910592924471</v>
      </c>
      <c r="G67" s="4">
        <f ca="1">G166*'Total Distance Tables Sup #1'!G67*(1+'Other Assumptions'!K$49)</f>
        <v>35.642620078932922</v>
      </c>
      <c r="H67" s="4">
        <f ca="1">H166*'Total Distance Tables Sup #1'!H67*(1+'Other Assumptions'!L$49)</f>
        <v>34.773340580260204</v>
      </c>
      <c r="I67" s="1">
        <f ca="1">I166*'Total Distance Tables Sup #1'!I67*(1+'Other Assumptions'!M$49)</f>
        <v>35.256910076403663</v>
      </c>
      <c r="J67" s="1">
        <f ca="1">J166*'Total Distance Tables Sup #1'!J67*(1+'Other Assumptions'!N$49)</f>
        <v>35.654094643805649</v>
      </c>
      <c r="K67" s="1">
        <f ca="1">K166*'Total Distance Tables Sup #1'!K67*(1+'Other Assumptions'!O$49)</f>
        <v>35.99923154304301</v>
      </c>
    </row>
    <row r="68" spans="1:11" x14ac:dyDescent="0.2">
      <c r="A68" t="str">
        <f ca="1">OFFSET(Waikato_Reference,56,2)</f>
        <v>Local Ferry</v>
      </c>
      <c r="B68" s="4">
        <f>B167*'Total Distance Tables Sup #1'!B68*(1+'Other Assumptions'!D$49)</f>
        <v>0</v>
      </c>
      <c r="C68" s="4">
        <f ca="1">C167*'Total Distance Tables Sup #1'!C68*(1+'Other Assumptions'!G$49)</f>
        <v>0</v>
      </c>
      <c r="D68" s="4">
        <f ca="1">D167*'Total Distance Tables Sup #1'!D68*(1+'Other Assumptions'!H$49)</f>
        <v>0</v>
      </c>
      <c r="E68" s="4">
        <f ca="1">E167*'Total Distance Tables Sup #1'!E68*(1+'Other Assumptions'!I$49)</f>
        <v>0</v>
      </c>
      <c r="F68" s="4">
        <f ca="1">F167*'Total Distance Tables Sup #1'!F68*(1+'Other Assumptions'!J$49)</f>
        <v>0</v>
      </c>
      <c r="G68" s="4">
        <f ca="1">G167*'Total Distance Tables Sup #1'!G68*(1+'Other Assumptions'!K$49)</f>
        <v>0</v>
      </c>
      <c r="H68" s="4">
        <f ca="1">H167*'Total Distance Tables Sup #1'!H68*(1+'Other Assumptions'!L$49)</f>
        <v>0</v>
      </c>
      <c r="I68" s="1">
        <f ca="1">I167*'Total Distance Tables Sup #1'!I68*(1+'Other Assumptions'!M$49)</f>
        <v>0</v>
      </c>
      <c r="J68" s="1">
        <f ca="1">J167*'Total Distance Tables Sup #1'!J68*(1+'Other Assumptions'!N$49)</f>
        <v>0</v>
      </c>
      <c r="K68" s="1">
        <f ca="1">K167*'Total Distance Tables Sup #1'!K68*(1+'Other Assumptions'!O$49)</f>
        <v>0</v>
      </c>
    </row>
    <row r="69" spans="1:11" x14ac:dyDescent="0.2">
      <c r="A69" t="str">
        <f ca="1">OFFSET(Hawkes_Bay_Reference,49,2)</f>
        <v>Other Household Travel</v>
      </c>
      <c r="B69" s="4">
        <f ca="1">B168*'Total Distance Tables Sup #1'!B69*(1+'Other Assumptions'!D$49)</f>
        <v>0</v>
      </c>
      <c r="C69" s="4">
        <f ca="1">C168*'Total Distance Tables Sup #1'!C69*(1+'Other Assumptions'!G$49)</f>
        <v>0</v>
      </c>
      <c r="D69" s="4">
        <f ca="1">D168*'Total Distance Tables Sup #1'!D69*(1+'Other Assumptions'!H$49)</f>
        <v>0</v>
      </c>
      <c r="E69" s="4">
        <f ca="1">E168*'Total Distance Tables Sup #1'!E69*(1+'Other Assumptions'!I$49)</f>
        <v>0</v>
      </c>
      <c r="F69" s="4">
        <f ca="1">F168*'Total Distance Tables Sup #1'!F69*(1+'Other Assumptions'!J$49)</f>
        <v>0</v>
      </c>
      <c r="G69" s="4">
        <f ca="1">G168*'Total Distance Tables Sup #1'!G69*(1+'Other Assumptions'!K$49)</f>
        <v>0</v>
      </c>
      <c r="H69" s="4">
        <f ca="1">H168*'Total Distance Tables Sup #1'!H69*(1+'Other Assumptions'!L$49)</f>
        <v>0</v>
      </c>
      <c r="I69" s="1">
        <f ca="1">I168*'Total Distance Tables Sup #1'!I69*(1+'Other Assumptions'!M$49)</f>
        <v>0</v>
      </c>
      <c r="J69" s="1">
        <f ca="1">J168*'Total Distance Tables Sup #1'!J69*(1+'Other Assumptions'!N$49)</f>
        <v>0</v>
      </c>
      <c r="K69" s="1">
        <f ca="1">K168*'Total Distance Tables Sup #1'!K69*(1+'Other Assumptions'!O$49)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B159*'Total Distance Tables Sup #1'!B71*(1+'Other Assumptions'!D$50)*(1+'Active Mode Assumptions'!B9)</f>
        <v>16.820589198</v>
      </c>
      <c r="C71" s="4">
        <f ca="1">C159*'Total Distance Tables Sup #1'!C71*(1+'Other Assumptions'!G$50)*(1+'Active Mode Assumptions'!C9)</f>
        <v>17.857753125621045</v>
      </c>
      <c r="D71" s="4">
        <f ca="1">D159*'Total Distance Tables Sup #1'!D71*(1+'Other Assumptions'!H$50)*(1+'Active Mode Assumptions'!D9)</f>
        <v>19.142794910886156</v>
      </c>
      <c r="E71" s="4">
        <f ca="1">E159*'Total Distance Tables Sup #1'!E71*(1+'Other Assumptions'!I$50)*(1+'Active Mode Assumptions'!E9)</f>
        <v>20.129473794735198</v>
      </c>
      <c r="F71" s="4">
        <f ca="1">F159*'Total Distance Tables Sup #1'!F71*(1+'Other Assumptions'!J$50)*(1+'Active Mode Assumptions'!F9)</f>
        <v>20.936590277150216</v>
      </c>
      <c r="G71" s="4">
        <f ca="1">G159*'Total Distance Tables Sup #1'!G71*(1+'Other Assumptions'!K$50)*(1+'Active Mode Assumptions'!G9)</f>
        <v>21.699555653820852</v>
      </c>
      <c r="H71" s="4">
        <f ca="1">H159*'Total Distance Tables Sup #1'!H71*(1+'Other Assumptions'!L$50)*(1+'Active Mode Assumptions'!H9)</f>
        <v>22.401068496566111</v>
      </c>
      <c r="I71" s="1">
        <f ca="1">I159*'Total Distance Tables Sup #1'!I71*(1+'Other Assumptions'!M$50)*(1+'Active Mode Assumptions'!I9)</f>
        <v>22.83525188302432</v>
      </c>
      <c r="J71" s="1">
        <f ca="1">J159*'Total Distance Tables Sup #1'!J71*(1+'Other Assumptions'!N$50)*(1+'Active Mode Assumptions'!J9)</f>
        <v>23.214174985637388</v>
      </c>
      <c r="K71" s="1">
        <f ca="1">K159*'Total Distance Tables Sup #1'!K71*(1+'Other Assumptions'!O$50)*(1+'Active Mode Assumptions'!K9)</f>
        <v>23.559266629390454</v>
      </c>
    </row>
    <row r="72" spans="1:11" x14ac:dyDescent="0.2">
      <c r="A72" t="str">
        <f ca="1">OFFSET(Taranaki_Reference,7,2)</f>
        <v>Cyclist</v>
      </c>
      <c r="B72" s="4">
        <f ca="1">B160*'Total Distance Tables Sup #1'!B72*(1+'Other Assumptions'!D$50)*(1+'Active Mode Assumptions'!B18)</f>
        <v>5.5737915155</v>
      </c>
      <c r="C72" s="4">
        <f ca="1">C160*'Total Distance Tables Sup #1'!C72*(1+'Other Assumptions'!G$50)*(1+'Active Mode Assumptions'!C18)</f>
        <v>6.132960357285028</v>
      </c>
      <c r="D72" s="4">
        <f ca="1">D160*'Total Distance Tables Sup #1'!D72*(1+'Other Assumptions'!H$50)*(1+'Active Mode Assumptions'!D18)</f>
        <v>7.7039004539866571</v>
      </c>
      <c r="E72" s="4">
        <f ca="1">E160*'Total Distance Tables Sup #1'!E72*(1+'Other Assumptions'!I$50)*(1+'Active Mode Assumptions'!E18)</f>
        <v>9.1812231310315529</v>
      </c>
      <c r="F72" s="4">
        <f ca="1">F160*'Total Distance Tables Sup #1'!F72*(1+'Other Assumptions'!J$50)*(1+'Active Mode Assumptions'!F18)</f>
        <v>10.848586716690464</v>
      </c>
      <c r="G72" s="4">
        <f ca="1">G160*'Total Distance Tables Sup #1'!G72*(1+'Other Assumptions'!K$50)*(1+'Active Mode Assumptions'!G18)</f>
        <v>12.785534514444423</v>
      </c>
      <c r="H72" s="4">
        <f ca="1">H160*'Total Distance Tables Sup #1'!H72*(1+'Other Assumptions'!L$50)*(1+'Active Mode Assumptions'!H18)</f>
        <v>14.875489680187778</v>
      </c>
      <c r="I72" s="1">
        <f ca="1">I160*'Total Distance Tables Sup #1'!I72*(1+'Other Assumptions'!M$50)*(1+'Active Mode Assumptions'!I18)</f>
        <v>15.173142718699379</v>
      </c>
      <c r="J72" s="1">
        <f ca="1">J160*'Total Distance Tables Sup #1'!J72*(1+'Other Assumptions'!N$50)*(1+'Active Mode Assumptions'!J18)</f>
        <v>15.434314753034696</v>
      </c>
      <c r="K72" s="1">
        <f ca="1">K160*'Total Distance Tables Sup #1'!K72*(1+'Other Assumptions'!O$50)*(1+'Active Mode Assumptions'!K18)</f>
        <v>15.673201494969813</v>
      </c>
    </row>
    <row r="73" spans="1:11" x14ac:dyDescent="0.2">
      <c r="A73" t="str">
        <f ca="1">OFFSET(Taranaki_Reference,14,2)</f>
        <v>Light Vehicle Driver</v>
      </c>
      <c r="B73" s="4">
        <f ca="1">B161*'Total Distance Tables Sup #1'!B73*(1+'Other Assumptions'!D$50)-(B71*'Active Mode Assumptions'!B9*'Active Mode Assumptions'!B14/(1+'Active Mode Assumptions'!B9))-(B72*'Active Mode Assumptions'!B18*'Active Mode Assumptions'!B23/(1+'Active Mode Assumptions'!B18))</f>
        <v>933.36875414999997</v>
      </c>
      <c r="C73" s="4">
        <f ca="1">C161*'Total Distance Tables Sup #1'!C73*(1+'Other Assumptions'!G$50)-(C71*'Active Mode Assumptions'!C9*'Active Mode Assumptions'!C14/(1+'Active Mode Assumptions'!C9))-(C72*'Active Mode Assumptions'!C18*'Active Mode Assumptions'!C23/(1+'Active Mode Assumptions'!C18))</f>
        <v>1026.1244662437778</v>
      </c>
      <c r="D73" s="4">
        <f ca="1">D161*'Total Distance Tables Sup #1'!D73*(1+'Other Assumptions'!H$50)-(D71*'Active Mode Assumptions'!D9*'Active Mode Assumptions'!D14/(1+'Active Mode Assumptions'!D9))-(D72*'Active Mode Assumptions'!D18*'Active Mode Assumptions'!D23/(1+'Active Mode Assumptions'!D18))</f>
        <v>1082.1165563157529</v>
      </c>
      <c r="E73" s="4">
        <f ca="1">E161*'Total Distance Tables Sup #1'!E73*(1+'Other Assumptions'!I$50)-(E71*'Active Mode Assumptions'!E9*'Active Mode Assumptions'!E14/(1+'Active Mode Assumptions'!E9))-(E72*'Active Mode Assumptions'!E18*'Active Mode Assumptions'!E23/(1+'Active Mode Assumptions'!E18))</f>
        <v>1132.4762382541899</v>
      </c>
      <c r="F73" s="4">
        <f ca="1">F161*'Total Distance Tables Sup #1'!F73*(1+'Other Assumptions'!J$50)-(F71*'Active Mode Assumptions'!F9*'Active Mode Assumptions'!F14/(1+'Active Mode Assumptions'!F9))-(F72*'Active Mode Assumptions'!F18*'Active Mode Assumptions'!F23/(1+'Active Mode Assumptions'!F18))</f>
        <v>1177.969373809098</v>
      </c>
      <c r="G73" s="4">
        <f ca="1">G161*'Total Distance Tables Sup #1'!G73*(1+'Other Assumptions'!K$50)-(G71*'Active Mode Assumptions'!G9*'Active Mode Assumptions'!G14/(1+'Active Mode Assumptions'!G9))-(G72*'Active Mode Assumptions'!G18*'Active Mode Assumptions'!G23/(1+'Active Mode Assumptions'!G18))</f>
        <v>1211.2269600509426</v>
      </c>
      <c r="H73" s="4">
        <f ca="1">H161*'Total Distance Tables Sup #1'!H73*(1+'Other Assumptions'!L$50)-(H71*'Active Mode Assumptions'!H9*'Active Mode Assumptions'!H14/(1+'Active Mode Assumptions'!H9))-(H72*'Active Mode Assumptions'!H18*'Active Mode Assumptions'!H23/(1+'Active Mode Assumptions'!H18))</f>
        <v>1240.1165009660353</v>
      </c>
      <c r="I73" s="1">
        <f ca="1">I161*'Total Distance Tables Sup #1'!I73*(1+'Other Assumptions'!M$50)-(I71*'Active Mode Assumptions'!I9*'Active Mode Assumptions'!I14/(1+'Active Mode Assumptions'!I9))-(I72*'Active Mode Assumptions'!I18*'Active Mode Assumptions'!I23/(1+'Active Mode Assumptions'!I18))</f>
        <v>1266.9254700481481</v>
      </c>
      <c r="J73" s="1">
        <f ca="1">J161*'Total Distance Tables Sup #1'!J73*(1+'Other Assumptions'!N$50)-(J71*'Active Mode Assumptions'!J9*'Active Mode Assumptions'!J14/(1+'Active Mode Assumptions'!J9))-(J72*'Active Mode Assumptions'!J18*'Active Mode Assumptions'!J23/(1+'Active Mode Assumptions'!J18))</f>
        <v>1290.7546793048057</v>
      </c>
      <c r="K73" s="1">
        <f ca="1">K161*'Total Distance Tables Sup #1'!K73*(1+'Other Assumptions'!O$50)-(K71*'Active Mode Assumptions'!K9*'Active Mode Assumptions'!K14/(1+'Active Mode Assumptions'!K9))-(K72*'Active Mode Assumptions'!K18*'Active Mode Assumptions'!K23/(1+'Active Mode Assumptions'!K18))</f>
        <v>1312.7770380757422</v>
      </c>
    </row>
    <row r="74" spans="1:11" x14ac:dyDescent="0.2">
      <c r="A74" t="str">
        <f ca="1">OFFSET(Taranaki_Reference,21,2)</f>
        <v>Light Vehicle Passenger</v>
      </c>
      <c r="B74" s="4">
        <f ca="1">B162*'Total Distance Tables Sup #1'!B74*(1+'Other Assumptions'!D$50)-(B71*'Active Mode Assumptions'!B9*'Active Mode Assumptions'!B15/(1+'Active Mode Assumptions'!B9))-(B72*'Active Mode Assumptions'!B18*'Active Mode Assumptions'!B24/(1+'Active Mode Assumptions'!B18))</f>
        <v>656.25872372000003</v>
      </c>
      <c r="C74" s="4">
        <f ca="1">C162*'Total Distance Tables Sup #1'!C74*(1+'Other Assumptions'!G$50)-(C71*'Active Mode Assumptions'!C9*'Active Mode Assumptions'!C15/(1+'Active Mode Assumptions'!C9))-(C72*'Active Mode Assumptions'!C18*'Active Mode Assumptions'!C24/(1+'Active Mode Assumptions'!C18))</f>
        <v>694.8542398650477</v>
      </c>
      <c r="D74" s="4">
        <f ca="1">D162*'Total Distance Tables Sup #1'!D74*(1+'Other Assumptions'!H$50)-(D71*'Active Mode Assumptions'!D9*'Active Mode Assumptions'!D15/(1+'Active Mode Assumptions'!D9))-(D72*'Active Mode Assumptions'!D18*'Active Mode Assumptions'!D24/(1+'Active Mode Assumptions'!D18))</f>
        <v>717.69784779714576</v>
      </c>
      <c r="E74" s="4">
        <f ca="1">E162*'Total Distance Tables Sup #1'!E74*(1+'Other Assumptions'!I$50)-(E71*'Active Mode Assumptions'!E9*'Active Mode Assumptions'!E15/(1+'Active Mode Assumptions'!E9))-(E72*'Active Mode Assumptions'!E18*'Active Mode Assumptions'!E24/(1+'Active Mode Assumptions'!E18))</f>
        <v>736.14495518218519</v>
      </c>
      <c r="F74" s="4">
        <f ca="1">F162*'Total Distance Tables Sup #1'!F74*(1+'Other Assumptions'!J$50)-(F71*'Active Mode Assumptions'!F9*'Active Mode Assumptions'!F15/(1+'Active Mode Assumptions'!F9))-(F72*'Active Mode Assumptions'!F18*'Active Mode Assumptions'!F24/(1+'Active Mode Assumptions'!F18))</f>
        <v>749.42326179614065</v>
      </c>
      <c r="G74" s="4">
        <f ca="1">G162*'Total Distance Tables Sup #1'!G74*(1+'Other Assumptions'!K$50)-(G71*'Active Mode Assumptions'!G9*'Active Mode Assumptions'!G15/(1+'Active Mode Assumptions'!G9))-(G72*'Active Mode Assumptions'!G18*'Active Mode Assumptions'!G24/(1+'Active Mode Assumptions'!G18))</f>
        <v>757.60788294127804</v>
      </c>
      <c r="H74" s="4">
        <f ca="1">H162*'Total Distance Tables Sup #1'!H74*(1+'Other Assumptions'!L$50)-(H71*'Active Mode Assumptions'!H9*'Active Mode Assumptions'!H15/(1+'Active Mode Assumptions'!H9))-(H72*'Active Mode Assumptions'!H18*'Active Mode Assumptions'!H24/(1+'Active Mode Assumptions'!H18))</f>
        <v>762.50196007973125</v>
      </c>
      <c r="I74" s="1">
        <f ca="1">I162*'Total Distance Tables Sup #1'!I74*(1+'Other Assumptions'!M$50)-(I71*'Active Mode Assumptions'!I9*'Active Mode Assumptions'!I15/(1+'Active Mode Assumptions'!I9))-(I72*'Active Mode Assumptions'!I18*'Active Mode Assumptions'!I24/(1+'Active Mode Assumptions'!I18))</f>
        <v>779.37019753724678</v>
      </c>
      <c r="J74" s="1">
        <f ca="1">J162*'Total Distance Tables Sup #1'!J74*(1+'Other Assumptions'!N$50)-(J71*'Active Mode Assumptions'!J9*'Active Mode Assumptions'!J15/(1+'Active Mode Assumptions'!J9))-(J72*'Active Mode Assumptions'!J18*'Active Mode Assumptions'!J24/(1+'Active Mode Assumptions'!J18))</f>
        <v>794.42202971830636</v>
      </c>
      <c r="K74" s="1">
        <f ca="1">K162*'Total Distance Tables Sup #1'!K74*(1+'Other Assumptions'!O$50)-(K71*'Active Mode Assumptions'!K9*'Active Mode Assumptions'!K15/(1+'Active Mode Assumptions'!K9))-(K72*'Active Mode Assumptions'!K18*'Active Mode Assumptions'!K24/(1+'Active Mode Assumptions'!K18))</f>
        <v>808.37680069916235</v>
      </c>
    </row>
    <row r="75" spans="1:11" x14ac:dyDescent="0.2">
      <c r="A75" t="str">
        <f ca="1">OFFSET(Taranaki_Reference,28,2)</f>
        <v>Taxi/Vehicle Share</v>
      </c>
      <c r="B75" s="4">
        <f ca="1">B163*'Total Distance Tables Sup #1'!B75*(1+'Other Assumptions'!D$50)</f>
        <v>1.1335038904000001</v>
      </c>
      <c r="C75" s="4">
        <f ca="1">C163*'Total Distance Tables Sup #1'!C75*(1+'Other Assumptions'!G$50)</f>
        <v>1.298572396750449</v>
      </c>
      <c r="D75" s="4">
        <f ca="1">D163*'Total Distance Tables Sup #1'!D75*(1+'Other Assumptions'!H$50)</f>
        <v>1.4374520954917469</v>
      </c>
      <c r="E75" s="4">
        <f ca="1">E163*'Total Distance Tables Sup #1'!E75*(1+'Other Assumptions'!I$50)</f>
        <v>1.5627115631428843</v>
      </c>
      <c r="F75" s="4">
        <f ca="1">F163*'Total Distance Tables Sup #1'!F75*(1+'Other Assumptions'!J$50)</f>
        <v>1.6708419879741492</v>
      </c>
      <c r="G75" s="4">
        <f ca="1">G163*'Total Distance Tables Sup #1'!G75*(1+'Other Assumptions'!K$50)</f>
        <v>1.7515959354151083</v>
      </c>
      <c r="H75" s="4">
        <f ca="1">H163*'Total Distance Tables Sup #1'!H75*(1+'Other Assumptions'!L$50)</f>
        <v>1.8268680902569978</v>
      </c>
      <c r="I75" s="1">
        <f ca="1">I163*'Total Distance Tables Sup #1'!I75*(1+'Other Assumptions'!M$50)</f>
        <v>1.8598488819964174</v>
      </c>
      <c r="J75" s="1">
        <f ca="1">J163*'Total Distance Tables Sup #1'!J75*(1+'Other Assumptions'!N$50)</f>
        <v>1.8882169201263304</v>
      </c>
      <c r="K75" s="1">
        <f ca="1">K163*'Total Distance Tables Sup #1'!K75*(1+'Other Assumptions'!O$50)</f>
        <v>1.9137322089545301</v>
      </c>
    </row>
    <row r="76" spans="1:11" x14ac:dyDescent="0.2">
      <c r="A76" t="str">
        <f ca="1">OFFSET(Taranaki_Reference,35,2)</f>
        <v>Motorcyclist</v>
      </c>
      <c r="B76" s="4">
        <f ca="1">B164*'Total Distance Tables Sup #1'!B76*(1+'Other Assumptions'!D$50)</f>
        <v>7.0100687938000004</v>
      </c>
      <c r="C76" s="4">
        <f ca="1">C164*'Total Distance Tables Sup #1'!C76*(1+'Other Assumptions'!G$50)</f>
        <v>7.7154394620111999</v>
      </c>
      <c r="D76" s="4">
        <f ca="1">D164*'Total Distance Tables Sup #1'!D76*(1+'Other Assumptions'!H$50)</f>
        <v>8.1186824851803827</v>
      </c>
      <c r="E76" s="4">
        <f ca="1">E164*'Total Distance Tables Sup #1'!E76*(1+'Other Assumptions'!I$50)</f>
        <v>8.3463905597860428</v>
      </c>
      <c r="F76" s="4">
        <f ca="1">F164*'Total Distance Tables Sup #1'!F76*(1+'Other Assumptions'!J$50)</f>
        <v>8.4877043798875942</v>
      </c>
      <c r="G76" s="4">
        <f ca="1">G164*'Total Distance Tables Sup #1'!G76*(1+'Other Assumptions'!K$50)</f>
        <v>8.4728291317844064</v>
      </c>
      <c r="H76" s="4">
        <f ca="1">H164*'Total Distance Tables Sup #1'!H76*(1+'Other Assumptions'!L$50)</f>
        <v>8.4171430560805458</v>
      </c>
      <c r="I76" s="1">
        <f ca="1">I164*'Total Distance Tables Sup #1'!I76*(1+'Other Assumptions'!M$50)</f>
        <v>8.6487528470368922</v>
      </c>
      <c r="J76" s="1">
        <f ca="1">J164*'Total Distance Tables Sup #1'!J76*(1+'Other Assumptions'!N$50)</f>
        <v>8.8626227257983548</v>
      </c>
      <c r="K76" s="1">
        <f ca="1">K164*'Total Distance Tables Sup #1'!K76*(1+'Other Assumptions'!O$50)</f>
        <v>9.066516776422846</v>
      </c>
    </row>
    <row r="77" spans="1:11" x14ac:dyDescent="0.2">
      <c r="A77" t="str">
        <f ca="1">OFFSET(Taranaki_Reference,42,2)</f>
        <v>Local Train</v>
      </c>
      <c r="B77" s="4">
        <f ca="1">B165*'Total Distance Tables Sup #1'!B77*(1+'Other Assumptions'!D$50)</f>
        <v>0</v>
      </c>
      <c r="C77" s="4">
        <f ca="1">C165*'Total Distance Tables Sup #1'!C77*(1+'Other Assumptions'!G$50)</f>
        <v>0</v>
      </c>
      <c r="D77" s="4">
        <f ca="1">D165*'Total Distance Tables Sup #1'!D77*(1+'Other Assumptions'!H$50)</f>
        <v>0</v>
      </c>
      <c r="E77" s="4">
        <f ca="1">E165*'Total Distance Tables Sup #1'!E77*(1+'Other Assumptions'!I$50)</f>
        <v>0</v>
      </c>
      <c r="F77" s="4">
        <f ca="1">F165*'Total Distance Tables Sup #1'!F77*(1+'Other Assumptions'!J$50)</f>
        <v>0</v>
      </c>
      <c r="G77" s="4">
        <f ca="1">G165*'Total Distance Tables Sup #1'!G77*(1+'Other Assumptions'!K$50)</f>
        <v>0</v>
      </c>
      <c r="H77" s="4">
        <f ca="1">H165*'Total Distance Tables Sup #1'!H77*(1+'Other Assumptions'!L$50)</f>
        <v>0</v>
      </c>
      <c r="I77" s="1">
        <f ca="1">I165*'Total Distance Tables Sup #1'!I77*(1+'Other Assumptions'!M$50)</f>
        <v>0</v>
      </c>
      <c r="J77" s="1">
        <f ca="1">J165*'Total Distance Tables Sup #1'!J77*(1+'Other Assumptions'!N$50)</f>
        <v>0</v>
      </c>
      <c r="K77" s="1">
        <f ca="1">K165*'Total Distance Tables Sup #1'!K77*(1+'Other Assumptions'!O$50)</f>
        <v>0</v>
      </c>
    </row>
    <row r="78" spans="1:11" x14ac:dyDescent="0.2">
      <c r="A78" t="str">
        <f ca="1">OFFSET(Taranaki_Reference,49,2)</f>
        <v>Local Bus</v>
      </c>
      <c r="B78" s="4">
        <f ca="1">B166*'Total Distance Tables Sup #1'!B78*(1+'Other Assumptions'!D$50)</f>
        <v>14.084735078</v>
      </c>
      <c r="C78" s="4">
        <f ca="1">C166*'Total Distance Tables Sup #1'!C78*(1+'Other Assumptions'!G$50)</f>
        <v>13.888716541562124</v>
      </c>
      <c r="D78" s="4">
        <f ca="1">D166*'Total Distance Tables Sup #1'!D78*(1+'Other Assumptions'!H$50)</f>
        <v>13.762800014706048</v>
      </c>
      <c r="E78" s="4">
        <f ca="1">E166*'Total Distance Tables Sup #1'!E78*(1+'Other Assumptions'!I$50)</f>
        <v>13.693913385432619</v>
      </c>
      <c r="F78" s="4">
        <f ca="1">F166*'Total Distance Tables Sup #1'!F78*(1+'Other Assumptions'!J$50)</f>
        <v>13.389188302168179</v>
      </c>
      <c r="G78" s="4">
        <f ca="1">G166*'Total Distance Tables Sup #1'!G78*(1+'Other Assumptions'!K$50)</f>
        <v>13.218529846154834</v>
      </c>
      <c r="H78" s="4">
        <f ca="1">H166*'Total Distance Tables Sup #1'!H78*(1+'Other Assumptions'!L$50)</f>
        <v>13.007426665671497</v>
      </c>
      <c r="I78" s="1">
        <f ca="1">I166*'Total Distance Tables Sup #1'!I78*(1+'Other Assumptions'!M$50)</f>
        <v>13.299639140856179</v>
      </c>
      <c r="J78" s="1">
        <f ca="1">J166*'Total Distance Tables Sup #1'!J78*(1+'Other Assumptions'!N$50)</f>
        <v>13.560433713349683</v>
      </c>
      <c r="K78" s="1">
        <f ca="1">K166*'Total Distance Tables Sup #1'!K78*(1+'Other Assumptions'!O$50)</f>
        <v>13.802023034359021</v>
      </c>
    </row>
    <row r="79" spans="1:11" x14ac:dyDescent="0.2">
      <c r="A79" t="str">
        <f ca="1">OFFSET(Waikato_Reference,56,2)</f>
        <v>Local Ferry</v>
      </c>
      <c r="B79" s="4">
        <f>B167*'Total Distance Tables Sup #1'!B79*(1+'Other Assumptions'!D$50)</f>
        <v>0</v>
      </c>
      <c r="C79" s="4">
        <f ca="1">C167*'Total Distance Tables Sup #1'!C79*(1+'Other Assumptions'!G$50)</f>
        <v>0</v>
      </c>
      <c r="D79" s="4">
        <f ca="1">D167*'Total Distance Tables Sup #1'!D79*(1+'Other Assumptions'!H$50)</f>
        <v>0</v>
      </c>
      <c r="E79" s="4">
        <f ca="1">E167*'Total Distance Tables Sup #1'!E79*(1+'Other Assumptions'!I$50)</f>
        <v>0</v>
      </c>
      <c r="F79" s="4">
        <f ca="1">F167*'Total Distance Tables Sup #1'!F79*(1+'Other Assumptions'!J$50)</f>
        <v>0</v>
      </c>
      <c r="G79" s="4">
        <f ca="1">G167*'Total Distance Tables Sup #1'!G79*(1+'Other Assumptions'!K$50)</f>
        <v>0</v>
      </c>
      <c r="H79" s="4">
        <f ca="1">H167*'Total Distance Tables Sup #1'!H79*(1+'Other Assumptions'!L$50)</f>
        <v>0</v>
      </c>
      <c r="I79" s="1">
        <f ca="1">I167*'Total Distance Tables Sup #1'!I79*(1+'Other Assumptions'!M$50)</f>
        <v>0</v>
      </c>
      <c r="J79" s="1">
        <f ca="1">J167*'Total Distance Tables Sup #1'!J79*(1+'Other Assumptions'!N$50)</f>
        <v>0</v>
      </c>
      <c r="K79" s="1">
        <f ca="1">K167*'Total Distance Tables Sup #1'!K79*(1+'Other Assumptions'!O$50)</f>
        <v>0</v>
      </c>
    </row>
    <row r="80" spans="1:11" x14ac:dyDescent="0.2">
      <c r="A80" t="str">
        <f ca="1">OFFSET(Taranaki_Reference,56,2)</f>
        <v>Other Household Travel</v>
      </c>
      <c r="B80" s="4">
        <f ca="1">B168*'Total Distance Tables Sup #1'!B80*(1+'Other Assumptions'!D$50)</f>
        <v>0</v>
      </c>
      <c r="C80" s="4">
        <f ca="1">C168*'Total Distance Tables Sup #1'!C80*(1+'Other Assumptions'!G$50)</f>
        <v>0</v>
      </c>
      <c r="D80" s="4">
        <f ca="1">D168*'Total Distance Tables Sup #1'!D80*(1+'Other Assumptions'!H$50)</f>
        <v>0</v>
      </c>
      <c r="E80" s="4">
        <f ca="1">E168*'Total Distance Tables Sup #1'!E80*(1+'Other Assumptions'!I$50)</f>
        <v>0</v>
      </c>
      <c r="F80" s="4">
        <f ca="1">F168*'Total Distance Tables Sup #1'!F80*(1+'Other Assumptions'!J$50)</f>
        <v>0</v>
      </c>
      <c r="G80" s="4">
        <f ca="1">G168*'Total Distance Tables Sup #1'!G80*(1+'Other Assumptions'!K$50)</f>
        <v>0</v>
      </c>
      <c r="H80" s="4">
        <f ca="1">H168*'Total Distance Tables Sup #1'!H80*(1+'Other Assumptions'!L$50)</f>
        <v>0</v>
      </c>
      <c r="I80" s="1">
        <f ca="1">I168*'Total Distance Tables Sup #1'!I80*(1+'Other Assumptions'!M$50)</f>
        <v>0</v>
      </c>
      <c r="J80" s="1">
        <f ca="1">J168*'Total Distance Tables Sup #1'!J80*(1+'Other Assumptions'!N$50)</f>
        <v>0</v>
      </c>
      <c r="K80" s="1">
        <f ca="1">K168*'Total Distance Tables Sup #1'!K80*(1+'Other Assumptions'!O$50)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B159*'Total Distance Tables Sup #1'!B82*(1+'Other Assumptions'!D$51)*(1+'Active Mode Assumptions'!B9)</f>
        <v>32.265609755</v>
      </c>
      <c r="C82" s="4">
        <f ca="1">C159*'Total Distance Tables Sup #1'!C82*(1+'Other Assumptions'!G$51)*(1+'Active Mode Assumptions'!C9)</f>
        <v>33.583848147850816</v>
      </c>
      <c r="D82" s="4">
        <f ca="1">D159*'Total Distance Tables Sup #1'!D82*(1+'Other Assumptions'!H$51)*(1+'Active Mode Assumptions'!D9)</f>
        <v>35.26943775344342</v>
      </c>
      <c r="E82" s="4">
        <f ca="1">E159*'Total Distance Tables Sup #1'!E82*(1+'Other Assumptions'!I$51)*(1+'Active Mode Assumptions'!E9)</f>
        <v>36.45000614959789</v>
      </c>
      <c r="F82" s="4">
        <f ca="1">F159*'Total Distance Tables Sup #1'!F82*(1+'Other Assumptions'!J$51)*(1+'Active Mode Assumptions'!F9)</f>
        <v>37.225792855268438</v>
      </c>
      <c r="G82" s="4">
        <f ca="1">G159*'Total Distance Tables Sup #1'!G82*(1+'Other Assumptions'!K$51)*(1+'Active Mode Assumptions'!G9)</f>
        <v>37.867592874236905</v>
      </c>
      <c r="H82" s="4">
        <f ca="1">H159*'Total Distance Tables Sup #1'!H82*(1+'Other Assumptions'!L$51)*(1+'Active Mode Assumptions'!H9)</f>
        <v>38.325333237939979</v>
      </c>
      <c r="I82" s="1">
        <f ca="1">I159*'Total Distance Tables Sup #1'!I82*(1+'Other Assumptions'!M$51)*(1+'Active Mode Assumptions'!I9)</f>
        <v>38.306457797336812</v>
      </c>
      <c r="J82" s="1">
        <f ca="1">J159*'Total Distance Tables Sup #1'!J82*(1+'Other Assumptions'!N$51)*(1+'Active Mode Assumptions'!J9)</f>
        <v>38.187832337503906</v>
      </c>
      <c r="K82" s="1">
        <f ca="1">K159*'Total Distance Tables Sup #1'!K82*(1+'Other Assumptions'!O$51)*(1+'Active Mode Assumptions'!K9)</f>
        <v>38.010514246970452</v>
      </c>
    </row>
    <row r="83" spans="1:11" x14ac:dyDescent="0.2">
      <c r="A83" t="str">
        <f ca="1">OFFSET(Manawatu_Reference,7,2)</f>
        <v>Cyclist</v>
      </c>
      <c r="B83" s="4">
        <f ca="1">B160*'Total Distance Tables Sup #1'!B83*(1+'Other Assumptions'!D$51)*(1+'Active Mode Assumptions'!B18)</f>
        <v>20.722330986999999</v>
      </c>
      <c r="C83" s="4">
        <f ca="1">C160*'Total Distance Tables Sup #1'!C83*(1+'Other Assumptions'!G$51)*(1+'Active Mode Assumptions'!C18)</f>
        <v>22.354399798735624</v>
      </c>
      <c r="D83" s="4">
        <f ca="1">D160*'Total Distance Tables Sup #1'!D83*(1+'Other Assumptions'!H$51)*(1+'Active Mode Assumptions'!D18)</f>
        <v>27.510156812192957</v>
      </c>
      <c r="E83" s="4">
        <f ca="1">E160*'Total Distance Tables Sup #1'!E83*(1+'Other Assumptions'!I$51)*(1+'Active Mode Assumptions'!E18)</f>
        <v>32.222181496313198</v>
      </c>
      <c r="F83" s="4">
        <f ca="1">F160*'Total Distance Tables Sup #1'!F83*(1+'Other Assumptions'!J$51)*(1+'Active Mode Assumptions'!F18)</f>
        <v>37.385257874069936</v>
      </c>
      <c r="G83" s="4">
        <f ca="1">G160*'Total Distance Tables Sup #1'!G83*(1+'Other Assumptions'!K$51)*(1+'Active Mode Assumptions'!G18)</f>
        <v>43.24391061221791</v>
      </c>
      <c r="H83" s="4">
        <f ca="1">H160*'Total Distance Tables Sup #1'!H83*(1+'Other Assumptions'!L$51)*(1+'Active Mode Assumptions'!H18)</f>
        <v>49.32620349853805</v>
      </c>
      <c r="I83" s="1">
        <f ca="1">I160*'Total Distance Tables Sup #1'!I83*(1+'Other Assumptions'!M$51)*(1+'Active Mode Assumptions'!I18)</f>
        <v>49.332252368990325</v>
      </c>
      <c r="J83" s="1">
        <f ca="1">J160*'Total Distance Tables Sup #1'!J83*(1+'Other Assumptions'!N$51)*(1+'Active Mode Assumptions'!J18)</f>
        <v>49.209428298875871</v>
      </c>
      <c r="K83" s="1">
        <f ca="1">K160*'Total Distance Tables Sup #1'!K83*(1+'Other Assumptions'!O$51)*(1+'Active Mode Assumptions'!K18)</f>
        <v>49.010474644430857</v>
      </c>
    </row>
    <row r="84" spans="1:11" x14ac:dyDescent="0.2">
      <c r="A84" t="str">
        <f ca="1">OFFSET(Manawatu_Reference,14,2)</f>
        <v>Light Vehicle Driver</v>
      </c>
      <c r="B84" s="4">
        <f ca="1">B161*'Total Distance Tables Sup #1'!B84*(1+'Other Assumptions'!D$51)-(B82*'Active Mode Assumptions'!B9*'Active Mode Assumptions'!B14/(1+'Active Mode Assumptions'!B9))-(B83*'Active Mode Assumptions'!B18*'Active Mode Assumptions'!B23/(1+'Active Mode Assumptions'!B18))</f>
        <v>1782.4745101999999</v>
      </c>
      <c r="C84" s="4">
        <f ca="1">C161*'Total Distance Tables Sup #1'!C84*(1+'Other Assumptions'!G$51)-(C82*'Active Mode Assumptions'!C9*'Active Mode Assumptions'!C14/(1+'Active Mode Assumptions'!C9))-(C83*'Active Mode Assumptions'!C18*'Active Mode Assumptions'!C23/(1+'Active Mode Assumptions'!C18))</f>
        <v>1921.2110815415385</v>
      </c>
      <c r="D84" s="4">
        <f ca="1">D161*'Total Distance Tables Sup #1'!D84*(1+'Other Assumptions'!H$51)-(D82*'Active Mode Assumptions'!D9*'Active Mode Assumptions'!D14/(1+'Active Mode Assumptions'!D9))-(D83*'Active Mode Assumptions'!D18*'Active Mode Assumptions'!D23/(1+'Active Mode Assumptions'!D18))</f>
        <v>1984.3410238603742</v>
      </c>
      <c r="E84" s="4">
        <f ca="1">E161*'Total Distance Tables Sup #1'!E84*(1+'Other Assumptions'!I$51)-(E82*'Active Mode Assumptions'!E9*'Active Mode Assumptions'!E14/(1+'Active Mode Assumptions'!E9))-(E83*'Active Mode Assumptions'!E18*'Active Mode Assumptions'!E23/(1+'Active Mode Assumptions'!E18))</f>
        <v>2040.4542754841436</v>
      </c>
      <c r="F84" s="4">
        <f ca="1">F161*'Total Distance Tables Sup #1'!F84*(1+'Other Assumptions'!J$51)-(F82*'Active Mode Assumptions'!F9*'Active Mode Assumptions'!F14/(1+'Active Mode Assumptions'!F9))-(F83*'Active Mode Assumptions'!F18*'Active Mode Assumptions'!F23/(1+'Active Mode Assumptions'!F18))</f>
        <v>2083.4703225209032</v>
      </c>
      <c r="G84" s="4">
        <f ca="1">G161*'Total Distance Tables Sup #1'!G84*(1+'Other Assumptions'!K$51)-(G82*'Active Mode Assumptions'!G9*'Active Mode Assumptions'!G14/(1+'Active Mode Assumptions'!G9))-(G83*'Active Mode Assumptions'!G18*'Active Mode Assumptions'!G23/(1+'Active Mode Assumptions'!G18))</f>
        <v>2101.9871464842167</v>
      </c>
      <c r="H84" s="4">
        <f ca="1">H161*'Total Distance Tables Sup #1'!H84*(1+'Other Assumptions'!L$51)-(H82*'Active Mode Assumptions'!H9*'Active Mode Assumptions'!H14/(1+'Active Mode Assumptions'!H9))-(H83*'Active Mode Assumptions'!H18*'Active Mode Assumptions'!H23/(1+'Active Mode Assumptions'!H18))</f>
        <v>2109.2723744110349</v>
      </c>
      <c r="I84" s="1">
        <f ca="1">I161*'Total Distance Tables Sup #1'!I84*(1+'Other Assumptions'!M$51)-(I82*'Active Mode Assumptions'!I9*'Active Mode Assumptions'!I14/(1+'Active Mode Assumptions'!I9))-(I83*'Active Mode Assumptions'!I18*'Active Mode Assumptions'!I23/(1+'Active Mode Assumptions'!I18))</f>
        <v>2112.8623451117937</v>
      </c>
      <c r="J84" s="1">
        <f ca="1">J161*'Total Distance Tables Sup #1'!J84*(1+'Other Assumptions'!N$51)-(J82*'Active Mode Assumptions'!J9*'Active Mode Assumptions'!J14/(1+'Active Mode Assumptions'!J9))-(J83*'Active Mode Assumptions'!J18*'Active Mode Assumptions'!J23/(1+'Active Mode Assumptions'!J18))</f>
        <v>2110.9132125322649</v>
      </c>
      <c r="K84" s="1">
        <f ca="1">K161*'Total Distance Tables Sup #1'!K84*(1+'Other Assumptions'!O$51)-(K82*'Active Mode Assumptions'!K9*'Active Mode Assumptions'!K14/(1+'Active Mode Assumptions'!K9))-(K83*'Active Mode Assumptions'!K18*'Active Mode Assumptions'!K23/(1+'Active Mode Assumptions'!K18))</f>
        <v>2105.662816885681</v>
      </c>
    </row>
    <row r="85" spans="1:11" x14ac:dyDescent="0.2">
      <c r="A85" t="str">
        <f ca="1">OFFSET(Manawatu_Reference,21,2)</f>
        <v>Light Vehicle Passenger</v>
      </c>
      <c r="B85" s="4">
        <f ca="1">B162*'Total Distance Tables Sup #1'!B85*(1+'Other Assumptions'!D$51)-(B82*'Active Mode Assumptions'!B9*'Active Mode Assumptions'!B15/(1+'Active Mode Assumptions'!B9))-(B83*'Active Mode Assumptions'!B18*'Active Mode Assumptions'!B24/(1+'Active Mode Assumptions'!B18))</f>
        <v>885.65568203999999</v>
      </c>
      <c r="C85" s="4">
        <f ca="1">C162*'Total Distance Tables Sup #1'!C85*(1+'Other Assumptions'!G$51)-(C82*'Active Mode Assumptions'!C9*'Active Mode Assumptions'!C15/(1+'Active Mode Assumptions'!C9))-(C83*'Active Mode Assumptions'!C18*'Active Mode Assumptions'!C24/(1+'Active Mode Assumptions'!C18))</f>
        <v>919.36614227018731</v>
      </c>
      <c r="D85" s="4">
        <f ca="1">D162*'Total Distance Tables Sup #1'!D85*(1+'Other Assumptions'!H$51)-(D82*'Active Mode Assumptions'!D9*'Active Mode Assumptions'!D15/(1+'Active Mode Assumptions'!D9))-(D83*'Active Mode Assumptions'!D18*'Active Mode Assumptions'!D24/(1+'Active Mode Assumptions'!D18))</f>
        <v>929.47564254195913</v>
      </c>
      <c r="E85" s="4">
        <f ca="1">E162*'Total Distance Tables Sup #1'!E85*(1+'Other Assumptions'!I$51)-(E82*'Active Mode Assumptions'!E9*'Active Mode Assumptions'!E15/(1+'Active Mode Assumptions'!E9))-(E83*'Active Mode Assumptions'!E18*'Active Mode Assumptions'!E24/(1+'Active Mode Assumptions'!E18))</f>
        <v>936.15417310796215</v>
      </c>
      <c r="F85" s="4">
        <f ca="1">F162*'Total Distance Tables Sup #1'!F85*(1+'Other Assumptions'!J$51)-(F82*'Active Mode Assumptions'!F9*'Active Mode Assumptions'!F15/(1+'Active Mode Assumptions'!F9))-(F83*'Active Mode Assumptions'!F18*'Active Mode Assumptions'!F24/(1+'Active Mode Assumptions'!F18))</f>
        <v>934.93950370911023</v>
      </c>
      <c r="G85" s="4">
        <f ca="1">G162*'Total Distance Tables Sup #1'!G85*(1+'Other Assumptions'!K$51)-(G82*'Active Mode Assumptions'!G9*'Active Mode Assumptions'!G15/(1+'Active Mode Assumptions'!G9))-(G83*'Active Mode Assumptions'!G18*'Active Mode Assumptions'!G24/(1+'Active Mode Assumptions'!G18))</f>
        <v>926.70110496660539</v>
      </c>
      <c r="H85" s="4">
        <f ca="1">H162*'Total Distance Tables Sup #1'!H85*(1+'Other Assumptions'!L$51)-(H82*'Active Mode Assumptions'!H9*'Active Mode Assumptions'!H15/(1+'Active Mode Assumptions'!H9))-(H83*'Active Mode Assumptions'!H18*'Active Mode Assumptions'!H24/(1+'Active Mode Assumptions'!H18))</f>
        <v>913.40164897338968</v>
      </c>
      <c r="I85" s="1">
        <f ca="1">I162*'Total Distance Tables Sup #1'!I85*(1+'Other Assumptions'!M$51)-(I82*'Active Mode Assumptions'!I9*'Active Mode Assumptions'!I15/(1+'Active Mode Assumptions'!I9))-(I83*'Active Mode Assumptions'!I18*'Active Mode Assumptions'!I24/(1+'Active Mode Assumptions'!I18))</f>
        <v>915.41509002635109</v>
      </c>
      <c r="J85" s="1">
        <f ca="1">J162*'Total Distance Tables Sup #1'!J85*(1+'Other Assumptions'!N$51)-(J82*'Active Mode Assumptions'!J9*'Active Mode Assumptions'!J15/(1+'Active Mode Assumptions'!J9))-(J83*'Active Mode Assumptions'!J18*'Active Mode Assumptions'!J24/(1+'Active Mode Assumptions'!J18))</f>
        <v>915.03046733053873</v>
      </c>
      <c r="K85" s="1">
        <f ca="1">K162*'Total Distance Tables Sup #1'!K85*(1+'Other Assumptions'!O$51)-(K82*'Active Mode Assumptions'!K9*'Active Mode Assumptions'!K15/(1+'Active Mode Assumptions'!K9))-(K83*'Active Mode Assumptions'!K18*'Active Mode Assumptions'!K24/(1+'Active Mode Assumptions'!K18))</f>
        <v>913.21440341736422</v>
      </c>
    </row>
    <row r="86" spans="1:11" x14ac:dyDescent="0.2">
      <c r="A86" t="str">
        <f ca="1">OFFSET(Manawatu_Reference,28,2)</f>
        <v>Taxi/Vehicle Share</v>
      </c>
      <c r="B86" s="4">
        <f ca="1">B163*'Total Distance Tables Sup #1'!B86*(1+'Other Assumptions'!D$51)</f>
        <v>5.6344181790999999</v>
      </c>
      <c r="C86" s="4">
        <f ca="1">C163*'Total Distance Tables Sup #1'!C86*(1+'Other Assumptions'!G$51)</f>
        <v>6.328447752011785</v>
      </c>
      <c r="D86" s="4">
        <f ca="1">D163*'Total Distance Tables Sup #1'!D86*(1+'Other Assumptions'!H$51)</f>
        <v>6.862999375423505</v>
      </c>
      <c r="E86" s="4">
        <f ca="1">E163*'Total Distance Tables Sup #1'!E86*(1+'Other Assumptions'!I$51)</f>
        <v>7.3328263176817332</v>
      </c>
      <c r="F86" s="4">
        <f ca="1">F163*'Total Distance Tables Sup #1'!F86*(1+'Other Assumptions'!J$51)</f>
        <v>7.6984053010931275</v>
      </c>
      <c r="G86" s="4">
        <f ca="1">G163*'Total Distance Tables Sup #1'!G86*(1+'Other Assumptions'!K$51)</f>
        <v>7.9209664954574448</v>
      </c>
      <c r="H86" s="4">
        <f ca="1">H163*'Total Distance Tables Sup #1'!H86*(1+'Other Assumptions'!L$51)</f>
        <v>8.0993801789386772</v>
      </c>
      <c r="I86" s="1">
        <f ca="1">I163*'Total Distance Tables Sup #1'!I86*(1+'Other Assumptions'!M$51)</f>
        <v>8.0848363822903728</v>
      </c>
      <c r="J86" s="1">
        <f ca="1">J163*'Total Distance Tables Sup #1'!J86*(1+'Other Assumptions'!N$51)</f>
        <v>8.0491686580059998</v>
      </c>
      <c r="K86" s="1">
        <f ca="1">K163*'Total Distance Tables Sup #1'!K86*(1+'Other Assumptions'!O$51)</f>
        <v>8.0011153833859705</v>
      </c>
    </row>
    <row r="87" spans="1:11" x14ac:dyDescent="0.2">
      <c r="A87" t="str">
        <f ca="1">OFFSET(Manawatu_Reference,35,2)</f>
        <v>Motorcyclist</v>
      </c>
      <c r="B87" s="4">
        <f ca="1">B164*'Total Distance Tables Sup #1'!B87*(1+'Other Assumptions'!D$51)</f>
        <v>3.8744282972000001</v>
      </c>
      <c r="C87" s="4">
        <f ca="1">C164*'Total Distance Tables Sup #1'!C87*(1+'Other Assumptions'!G$51)</f>
        <v>4.180719078379056</v>
      </c>
      <c r="D87" s="4">
        <f ca="1">D164*'Total Distance Tables Sup #1'!D87*(1+'Other Assumptions'!H$51)</f>
        <v>4.3098824220160425</v>
      </c>
      <c r="E87" s="4">
        <f ca="1">E164*'Total Distance Tables Sup #1'!E87*(1+'Other Assumptions'!I$51)</f>
        <v>4.3546230042330247</v>
      </c>
      <c r="F87" s="4">
        <f ca="1">F164*'Total Distance Tables Sup #1'!F87*(1+'Other Assumptions'!J$51)</f>
        <v>4.3482541768536391</v>
      </c>
      <c r="G87" s="4">
        <f ca="1">G164*'Total Distance Tables Sup #1'!G87*(1+'Other Assumptions'!K$51)</f>
        <v>4.2602195619743091</v>
      </c>
      <c r="H87" s="4">
        <f ca="1">H164*'Total Distance Tables Sup #1'!H87*(1+'Other Assumptions'!L$51)</f>
        <v>4.1492403219017788</v>
      </c>
      <c r="I87" s="1">
        <f ca="1">I164*'Total Distance Tables Sup #1'!I87*(1+'Other Assumptions'!M$51)</f>
        <v>4.1802894133308097</v>
      </c>
      <c r="J87" s="1">
        <f ca="1">J164*'Total Distance Tables Sup #1'!J87*(1+'Other Assumptions'!N$51)</f>
        <v>4.2006905623689281</v>
      </c>
      <c r="K87" s="1">
        <f ca="1">K164*'Total Distance Tables Sup #1'!K87*(1+'Other Assumptions'!O$51)</f>
        <v>4.2147238326331067</v>
      </c>
    </row>
    <row r="88" spans="1:11" x14ac:dyDescent="0.2">
      <c r="A88" t="str">
        <f ca="1">OFFSET(Taranaki_Reference,42,2)</f>
        <v>Local Train</v>
      </c>
      <c r="B88" s="4">
        <f ca="1">B165*'Total Distance Tables Sup #1'!B88*(1+'Other Assumptions'!D$51)</f>
        <v>0</v>
      </c>
      <c r="C88" s="4">
        <f ca="1">C165*'Total Distance Tables Sup #1'!C88*(1+'Other Assumptions'!G$51)</f>
        <v>0</v>
      </c>
      <c r="D88" s="4">
        <f ca="1">D165*'Total Distance Tables Sup #1'!D88*(1+'Other Assumptions'!H$51)</f>
        <v>0</v>
      </c>
      <c r="E88" s="4">
        <f ca="1">E165*'Total Distance Tables Sup #1'!E88*(1+'Other Assumptions'!I$51)</f>
        <v>0</v>
      </c>
      <c r="F88" s="4">
        <f ca="1">F165*'Total Distance Tables Sup #1'!F88*(1+'Other Assumptions'!J$51)</f>
        <v>0</v>
      </c>
      <c r="G88" s="4">
        <f ca="1">G165*'Total Distance Tables Sup #1'!G88*(1+'Other Assumptions'!K$51)</f>
        <v>0</v>
      </c>
      <c r="H88" s="4">
        <f ca="1">H165*'Total Distance Tables Sup #1'!H88*(1+'Other Assumptions'!L$51)</f>
        <v>0</v>
      </c>
      <c r="I88" s="1">
        <f ca="1">I165*'Total Distance Tables Sup #1'!I88*(1+'Other Assumptions'!M$51)</f>
        <v>0</v>
      </c>
      <c r="J88" s="1">
        <f ca="1">J165*'Total Distance Tables Sup #1'!J88*(1+'Other Assumptions'!N$51)</f>
        <v>0</v>
      </c>
      <c r="K88" s="1">
        <f ca="1">K165*'Total Distance Tables Sup #1'!K88*(1+'Other Assumptions'!O$51)</f>
        <v>0</v>
      </c>
    </row>
    <row r="89" spans="1:11" x14ac:dyDescent="0.2">
      <c r="A89" t="str">
        <f ca="1">OFFSET(Manawatu_Reference,42,2)</f>
        <v>Local Bus</v>
      </c>
      <c r="B89" s="4">
        <f ca="1">B166*'Total Distance Tables Sup #1'!B89*(1+'Other Assumptions'!D$51)</f>
        <v>39.768452936000003</v>
      </c>
      <c r="C89" s="4">
        <f ca="1">C166*'Total Distance Tables Sup #1'!C89*(1+'Other Assumptions'!G$51)</f>
        <v>38.446525567533541</v>
      </c>
      <c r="D89" s="4">
        <f ca="1">D166*'Total Distance Tables Sup #1'!D89*(1+'Other Assumptions'!H$51)</f>
        <v>37.324270698580307</v>
      </c>
      <c r="E89" s="4">
        <f ca="1">E166*'Total Distance Tables Sup #1'!E89*(1+'Other Assumptions'!I$51)</f>
        <v>36.499263551470108</v>
      </c>
      <c r="F89" s="4">
        <f ca="1">F166*'Total Distance Tables Sup #1'!F89*(1+'Other Assumptions'!J$51)</f>
        <v>35.041572983410838</v>
      </c>
      <c r="G89" s="4">
        <f ca="1">G166*'Total Distance Tables Sup #1'!G89*(1+'Other Assumptions'!K$51)</f>
        <v>33.954032166468998</v>
      </c>
      <c r="H89" s="4">
        <f ca="1">H166*'Total Distance Tables Sup #1'!H89*(1+'Other Assumptions'!L$51)</f>
        <v>32.756684150479373</v>
      </c>
      <c r="I89" s="1">
        <f ca="1">I166*'Total Distance Tables Sup #1'!I89*(1+'Other Assumptions'!M$51)</f>
        <v>32.839564333031817</v>
      </c>
      <c r="J89" s="1">
        <f ca="1">J166*'Total Distance Tables Sup #1'!J89*(1+'Other Assumptions'!N$51)</f>
        <v>32.834973855708611</v>
      </c>
      <c r="K89" s="1">
        <f ca="1">K166*'Total Distance Tables Sup #1'!K89*(1+'Other Assumptions'!O$51)</f>
        <v>32.777518197967972</v>
      </c>
    </row>
    <row r="90" spans="1:11" x14ac:dyDescent="0.2">
      <c r="A90" t="str">
        <f ca="1">OFFSET(Manawatu_Reference,49,2)</f>
        <v>Local Ferry</v>
      </c>
      <c r="B90" s="4">
        <f ca="1">B167*'Total Distance Tables Sup #1'!B90*(1+'Other Assumptions'!D$51)</f>
        <v>0</v>
      </c>
      <c r="C90" s="4">
        <f ca="1">C167*'Total Distance Tables Sup #1'!C90*(1+'Other Assumptions'!G$51)</f>
        <v>0</v>
      </c>
      <c r="D90" s="4">
        <f ca="1">D167*'Total Distance Tables Sup #1'!D90*(1+'Other Assumptions'!H$51)</f>
        <v>0</v>
      </c>
      <c r="E90" s="4">
        <f ca="1">E167*'Total Distance Tables Sup #1'!E90*(1+'Other Assumptions'!I$51)</f>
        <v>0</v>
      </c>
      <c r="F90" s="4">
        <f ca="1">F167*'Total Distance Tables Sup #1'!F90*(1+'Other Assumptions'!J$51)</f>
        <v>0</v>
      </c>
      <c r="G90" s="4">
        <f ca="1">G167*'Total Distance Tables Sup #1'!G90*(1+'Other Assumptions'!K$51)</f>
        <v>0</v>
      </c>
      <c r="H90" s="4">
        <f ca="1">H167*'Total Distance Tables Sup #1'!H90*(1+'Other Assumptions'!L$51)</f>
        <v>0</v>
      </c>
      <c r="I90" s="1">
        <f ca="1">I167*'Total Distance Tables Sup #1'!I90*(1+'Other Assumptions'!M$51)</f>
        <v>0</v>
      </c>
      <c r="J90" s="1">
        <f ca="1">J167*'Total Distance Tables Sup #1'!J90*(1+'Other Assumptions'!N$51)</f>
        <v>0</v>
      </c>
      <c r="K90" s="1">
        <f ca="1">K167*'Total Distance Tables Sup #1'!K90*(1+'Other Assumptions'!O$51)</f>
        <v>0</v>
      </c>
    </row>
    <row r="91" spans="1:11" x14ac:dyDescent="0.2">
      <c r="A91" t="str">
        <f ca="1">OFFSET(Manawatu_Reference,56,2)</f>
        <v>Other Household Travel</v>
      </c>
      <c r="B91" s="4">
        <f ca="1">B168*'Total Distance Tables Sup #1'!B91*(1+'Other Assumptions'!D$51)</f>
        <v>0</v>
      </c>
      <c r="C91" s="4">
        <f ca="1">C168*'Total Distance Tables Sup #1'!C91*(1+'Other Assumptions'!G$51)</f>
        <v>0</v>
      </c>
      <c r="D91" s="4">
        <f ca="1">D168*'Total Distance Tables Sup #1'!D91*(1+'Other Assumptions'!H$51)</f>
        <v>0</v>
      </c>
      <c r="E91" s="4">
        <f ca="1">E168*'Total Distance Tables Sup #1'!E91*(1+'Other Assumptions'!I$51)</f>
        <v>0</v>
      </c>
      <c r="F91" s="4">
        <f ca="1">F168*'Total Distance Tables Sup #1'!F91*(1+'Other Assumptions'!J$51)</f>
        <v>0</v>
      </c>
      <c r="G91" s="4">
        <f ca="1">G168*'Total Distance Tables Sup #1'!G91*(1+'Other Assumptions'!K$51)</f>
        <v>0</v>
      </c>
      <c r="H91" s="4">
        <f ca="1">H168*'Total Distance Tables Sup #1'!H91*(1+'Other Assumptions'!L$51)</f>
        <v>0</v>
      </c>
      <c r="I91" s="1">
        <f ca="1">I168*'Total Distance Tables Sup #1'!I91*(1+'Other Assumptions'!M$51)</f>
        <v>0</v>
      </c>
      <c r="J91" s="1">
        <f ca="1">J168*'Total Distance Tables Sup #1'!J91*(1+'Other Assumptions'!N$51)</f>
        <v>0</v>
      </c>
      <c r="K91" s="1">
        <f ca="1">K168*'Total Distance Tables Sup #1'!K91*(1+'Other Assumptions'!O$51)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B159*'Total Distance Tables Sup #1'!B93*(1+'Other Assumptions'!D$52)*(1+'Active Mode Assumptions'!B9)-('PT Assumptions'!B44*'Total Distance Tables Sup #2'!B171+'PT Assumptions'!B56*'Total Distance Tables Sup #2'!B174)*(1+'Other Assumptions'!D$52)</f>
        <v>126.13499251</v>
      </c>
      <c r="C93" s="4">
        <f ca="1">C159*'Total Distance Tables Sup #1'!C93*(1+'Other Assumptions'!G$52)*(1+'Active Mode Assumptions'!C9)-('PT Assumptions'!C44*'Total Distance Tables Sup #2'!C171+'PT Assumptions'!C56*'Total Distance Tables Sup #2'!C174)*(1+'Other Assumptions'!G$52)</f>
        <v>134.67967247173925</v>
      </c>
      <c r="D93" s="4">
        <f ca="1">D159*'Total Distance Tables Sup #1'!D93*(1+'Other Assumptions'!H$52)*(1+'Active Mode Assumptions'!D9)-('PT Assumptions'!D44*'Total Distance Tables Sup #2'!D171+'PT Assumptions'!D56*'Total Distance Tables Sup #2'!D174)*(1+'Other Assumptions'!H$52)</f>
        <v>144.03337701648977</v>
      </c>
      <c r="E93" s="4">
        <f ca="1">E159*'Total Distance Tables Sup #1'!E93*(1+'Other Assumptions'!I$52)*(1+'Active Mode Assumptions'!E9)-('PT Assumptions'!E44*'Total Distance Tables Sup #2'!E171+'PT Assumptions'!E56*'Total Distance Tables Sup #2'!E174)*(1+'Other Assumptions'!I$52)</f>
        <v>151.43482797522552</v>
      </c>
      <c r="F93" s="4">
        <f ca="1">F159*'Total Distance Tables Sup #1'!F93*(1+'Other Assumptions'!J$52)*(1+'Active Mode Assumptions'!F9)-('PT Assumptions'!F44*'Total Distance Tables Sup #2'!F171+'PT Assumptions'!F56*'Total Distance Tables Sup #2'!F174)*(1+'Other Assumptions'!J$52)</f>
        <v>157.76360294079717</v>
      </c>
      <c r="G93" s="4">
        <f ca="1">G159*'Total Distance Tables Sup #1'!G93*(1+'Other Assumptions'!K$52)*(1+'Active Mode Assumptions'!G9)-('PT Assumptions'!G44*'Total Distance Tables Sup #2'!G171+'PT Assumptions'!G56*'Total Distance Tables Sup #2'!G174)*(1+'Other Assumptions'!K$52)</f>
        <v>163.645254982691</v>
      </c>
      <c r="H93" s="4">
        <f ca="1">H159*'Total Distance Tables Sup #1'!H93*(1+'Other Assumptions'!L$52)*(1+'Active Mode Assumptions'!H9)-('PT Assumptions'!H44*'Total Distance Tables Sup #2'!H171+'PT Assumptions'!H56*'Total Distance Tables Sup #2'!H174)*(1+'Other Assumptions'!L$52)</f>
        <v>168.88207008094287</v>
      </c>
      <c r="I93" s="1">
        <f ca="1">I159*'Total Distance Tables Sup #1'!I93*(1+'Other Assumptions'!M$52)*(1+'Active Mode Assumptions'!I9)-('PT Assumptions'!I44*'Total Distance Tables Sup #2'!I171+'PT Assumptions'!I56*'Total Distance Tables Sup #2'!I174)*(1+'Other Assumptions'!M$52)</f>
        <v>172.15046054937162</v>
      </c>
      <c r="J93" s="1">
        <f ca="1">J159*'Total Distance Tables Sup #1'!J93*(1+'Other Assumptions'!N$52)*(1+'Active Mode Assumptions'!J9)-('PT Assumptions'!J44*'Total Distance Tables Sup #2'!J171+'PT Assumptions'!J56*'Total Distance Tables Sup #2'!J174)*(1+'Other Assumptions'!N$52)</f>
        <v>174.93365598541951</v>
      </c>
      <c r="K93" s="1">
        <f ca="1">K159*'Total Distance Tables Sup #1'!K93*(1+'Other Assumptions'!O$52)*(1+'Active Mode Assumptions'!K9)-('PT Assumptions'!K44*'Total Distance Tables Sup #2'!K171+'PT Assumptions'!K56*'Total Distance Tables Sup #2'!K174)*(1+'Other Assumptions'!O$52)</f>
        <v>177.4019721807301</v>
      </c>
    </row>
    <row r="94" spans="1:11" x14ac:dyDescent="0.2">
      <c r="A94" t="str">
        <f ca="1">OFFSET(Wellington_Reference,7,2)</f>
        <v>Cyclist</v>
      </c>
      <c r="B94" s="4">
        <f ca="1">B160*'Total Distance Tables Sup #1'!B94*(1+'Other Assumptions'!D$52)*(1+'Active Mode Assumptions'!B18)-('PT Assumptions'!B45*'Total Distance Tables Sup #2'!B171+'PT Assumptions'!B57*'Total Distance Tables Sup #2'!B174)*(1+'Other Assumptions'!D$52)</f>
        <v>52.092312808000003</v>
      </c>
      <c r="C94" s="4">
        <f ca="1">C160*'Total Distance Tables Sup #1'!C94*(1+'Other Assumptions'!G$52)*(1+'Active Mode Assumptions'!C18)-('PT Assumptions'!C45*'Total Distance Tables Sup #2'!C171+'PT Assumptions'!C57*'Total Distance Tables Sup #2'!C174)*(1+'Other Assumptions'!G$52)</f>
        <v>57.636900452614107</v>
      </c>
      <c r="D94" s="4">
        <f ca="1">D160*'Total Distance Tables Sup #1'!D94*(1+'Other Assumptions'!H$52)*(1+'Active Mode Assumptions'!D18)-('PT Assumptions'!D45*'Total Distance Tables Sup #2'!D171+'PT Assumptions'!D57*'Total Distance Tables Sup #2'!D174)*(1+'Other Assumptions'!H$52)</f>
        <v>72.674544788600855</v>
      </c>
      <c r="E94" s="4">
        <f ca="1">E160*'Total Distance Tables Sup #1'!E94*(1+'Other Assumptions'!I$52)*(1+'Active Mode Assumptions'!E18)-('PT Assumptions'!E45*'Total Distance Tables Sup #2'!E171+'PT Assumptions'!E57*'Total Distance Tables Sup #2'!E174)*(1+'Other Assumptions'!I$52)</f>
        <v>86.921351669488701</v>
      </c>
      <c r="F94" s="4">
        <f ca="1">F160*'Total Distance Tables Sup #1'!F94*(1+'Other Assumptions'!J$52)*(1+'Active Mode Assumptions'!F18)-('PT Assumptions'!F45*'Total Distance Tables Sup #2'!F171+'PT Assumptions'!F57*'Total Distance Tables Sup #2'!F174)*(1+'Other Assumptions'!J$52)</f>
        <v>102.98834942774147</v>
      </c>
      <c r="G94" s="4">
        <f ca="1">G160*'Total Distance Tables Sup #1'!G94*(1+'Other Assumptions'!K$52)*(1+'Active Mode Assumptions'!G18)-('PT Assumptions'!G45*'Total Distance Tables Sup #2'!G171+'PT Assumptions'!G57*'Total Distance Tables Sup #2'!G174)*(1+'Other Assumptions'!K$52)</f>
        <v>121.63155123577761</v>
      </c>
      <c r="H94" s="4">
        <f ca="1">H160*'Total Distance Tables Sup #1'!H94*(1+'Other Assumptions'!L$52)*(1+'Active Mode Assumptions'!H18)-('PT Assumptions'!H45*'Total Distance Tables Sup #2'!H171+'PT Assumptions'!H57*'Total Distance Tables Sup #2'!H174)*(1+'Other Assumptions'!L$52)</f>
        <v>141.68529552548011</v>
      </c>
      <c r="I94" s="1">
        <f ca="1">I160*'Total Distance Tables Sup #1'!I94*(1+'Other Assumptions'!M$52)*(1+'Active Mode Assumptions'!I18)-('PT Assumptions'!I45*'Total Distance Tables Sup #2'!I171+'PT Assumptions'!I57*'Total Distance Tables Sup #2'!I174)*(1+'Other Assumptions'!M$52)</f>
        <v>144.66702193323439</v>
      </c>
      <c r="J94" s="1">
        <f ca="1">J160*'Total Distance Tables Sup #1'!J94*(1+'Other Assumptions'!N$52)*(1+'Active Mode Assumptions'!J18)-('PT Assumptions'!J45*'Total Distance Tables Sup #2'!J171+'PT Assumptions'!J57*'Total Distance Tables Sup #2'!J174)*(1+'Other Assumptions'!N$52)</f>
        <v>147.2781526044254</v>
      </c>
      <c r="K94" s="1">
        <f ca="1">K160*'Total Distance Tables Sup #1'!K94*(1+'Other Assumptions'!O$52)*(1+'Active Mode Assumptions'!K18)-('PT Assumptions'!K45*'Total Distance Tables Sup #2'!K171+'PT Assumptions'!K57*'Total Distance Tables Sup #2'!K174)*(1+'Other Assumptions'!O$52)</f>
        <v>149.65263460664372</v>
      </c>
    </row>
    <row r="95" spans="1:11" x14ac:dyDescent="0.2">
      <c r="A95" t="str">
        <f ca="1">OFFSET(Wellington_Reference,14,2)</f>
        <v>Light Vehicle Driver</v>
      </c>
      <c r="B95" s="4">
        <f ca="1">(B161*'Total Distance Tables Sup #1'!B95-'PT Assumptions'!B46*'Total Distance Tables Sup #2'!B171-'PT Assumptions'!B58*'Total Distance Tables Sup #2'!B174)*(1+'Other Assumptions'!D$52)-(B159*'Total Distance Tables Sup #1'!B93)*(1+'Other Assumptions'!D$52)*'Active Mode Assumptions'!B9*'Active Mode Assumptions'!B14-(B160*'Total Distance Tables Sup #1'!B94)*(1+'Other Assumptions'!D$52)*'Active Mode Assumptions'!B18*'Active Mode Assumptions'!B23</f>
        <v>3481.4296611999998</v>
      </c>
      <c r="C95" s="4">
        <f ca="1">(C161*'Total Distance Tables Sup #1'!C95-'PT Assumptions'!C46*'Total Distance Tables Sup #2'!C171-'PT Assumptions'!C58*'Total Distance Tables Sup #2'!C174)*(1+'Other Assumptions'!G$52)-(C159*'Total Distance Tables Sup #1'!C93)*(1+'Other Assumptions'!G$52)*'Active Mode Assumptions'!C9*'Active Mode Assumptions'!C14-(C160*'Total Distance Tables Sup #1'!C94)*(1+'Other Assumptions'!G$52)*'Active Mode Assumptions'!C18*'Active Mode Assumptions'!C23</f>
        <v>3848.4100397187758</v>
      </c>
      <c r="D95" s="4">
        <f ca="1">(D161*'Total Distance Tables Sup #1'!D95-'PT Assumptions'!D46*'Total Distance Tables Sup #2'!D171-'PT Assumptions'!D58*'Total Distance Tables Sup #2'!D174)*(1+'Other Assumptions'!H$52)-(D159*'Total Distance Tables Sup #1'!D93)*(1+'Other Assumptions'!H$52)*'Active Mode Assumptions'!D9*'Active Mode Assumptions'!D14-(D160*'Total Distance Tables Sup #1'!D94)*(1+'Other Assumptions'!H$52)*'Active Mode Assumptions'!D18*'Active Mode Assumptions'!D23</f>
        <v>4058.5119383973488</v>
      </c>
      <c r="E95" s="4">
        <f ca="1">(E161*'Total Distance Tables Sup #1'!E95-'PT Assumptions'!E46*'Total Distance Tables Sup #2'!E171-'PT Assumptions'!E58*'Total Distance Tables Sup #2'!E174)*(1+'Other Assumptions'!I$52)-(E159*'Total Distance Tables Sup #1'!E93)*(1+'Other Assumptions'!I$52)*'Active Mode Assumptions'!E9*'Active Mode Assumptions'!E14-(E160*'Total Distance Tables Sup #1'!E94)*(1+'Other Assumptions'!I$52)*'Active Mode Assumptions'!E18*'Active Mode Assumptions'!E23</f>
        <v>4250.9095056801261</v>
      </c>
      <c r="F95" s="4">
        <f ca="1">(F161*'Total Distance Tables Sup #1'!F95-'PT Assumptions'!F46*'Total Distance Tables Sup #2'!F171-'PT Assumptions'!F58*'Total Distance Tables Sup #2'!F174)*(1+'Other Assumptions'!J$52)-(F159*'Total Distance Tables Sup #1'!F93)*(1+'Other Assumptions'!J$52)*'Active Mode Assumptions'!F9*'Active Mode Assumptions'!F14-(F160*'Total Distance Tables Sup #1'!F94)*(1+'Other Assumptions'!J$52)*'Active Mode Assumptions'!F18*'Active Mode Assumptions'!F23</f>
        <v>4425.3366147880561</v>
      </c>
      <c r="G95" s="4">
        <f ca="1">(G161*'Total Distance Tables Sup #1'!G95-'PT Assumptions'!G46*'Total Distance Tables Sup #2'!G171-'PT Assumptions'!G58*'Total Distance Tables Sup #2'!G174)*(1+'Other Assumptions'!K$52)-(G159*'Total Distance Tables Sup #1'!G93)*(1+'Other Assumptions'!K$52)*'Active Mode Assumptions'!G9*'Active Mode Assumptions'!G14-(G160*'Total Distance Tables Sup #1'!G94)*(1+'Other Assumptions'!K$52)*'Active Mode Assumptions'!G18*'Active Mode Assumptions'!G23</f>
        <v>4550.9324207022928</v>
      </c>
      <c r="H95" s="4">
        <f ca="1">(H161*'Total Distance Tables Sup #1'!H95-'PT Assumptions'!H46*'Total Distance Tables Sup #2'!H171-'PT Assumptions'!H58*'Total Distance Tables Sup #2'!H174)*(1+'Other Assumptions'!L$52)-(H159*'Total Distance Tables Sup #1'!H93)*(1+'Other Assumptions'!L$52)*'Active Mode Assumptions'!H9*'Active Mode Assumptions'!H14-(H160*'Total Distance Tables Sup #1'!H94)*(1+'Other Assumptions'!L$52)*'Active Mode Assumptions'!H18*'Active Mode Assumptions'!H23</f>
        <v>4655.2464959554718</v>
      </c>
      <c r="I95" s="1">
        <f ca="1">(I161*'Total Distance Tables Sup #1'!I95-'PT Assumptions'!I46*'Total Distance Tables Sup #2'!I171-'PT Assumptions'!I58*'Total Distance Tables Sup #2'!I174)*(1+'Other Assumptions'!M$52)-(I159*'Total Distance Tables Sup #1'!I93)*(1+'Other Assumptions'!M$52)*'Active Mode Assumptions'!I9*'Active Mode Assumptions'!I14-(I160*'Total Distance Tables Sup #1'!I94)*(1+'Other Assumptions'!M$52)*'Active Mode Assumptions'!I18*'Active Mode Assumptions'!I23</f>
        <v>4753.7338684189481</v>
      </c>
      <c r="J95" s="1">
        <f ca="1">(J161*'Total Distance Tables Sup #1'!J95-'PT Assumptions'!J46*'Total Distance Tables Sup #2'!J171-'PT Assumptions'!J58*'Total Distance Tables Sup #2'!J174)*(1+'Other Assumptions'!N$52)-(J159*'Total Distance Tables Sup #1'!J93)*(1+'Other Assumptions'!N$52)*'Active Mode Assumptions'!J9*'Active Mode Assumptions'!J14-(J160*'Total Distance Tables Sup #1'!J94)*(1+'Other Assumptions'!N$52)*'Active Mode Assumptions'!J18*'Active Mode Assumptions'!J23</f>
        <v>4839.2617509472602</v>
      </c>
      <c r="K95" s="1">
        <f ca="1">(K161*'Total Distance Tables Sup #1'!K95-'PT Assumptions'!K46*'Total Distance Tables Sup #2'!K171-'PT Assumptions'!K58*'Total Distance Tables Sup #2'!K174)*(1+'Other Assumptions'!O$52)-(K159*'Total Distance Tables Sup #1'!K93)*(1+'Other Assumptions'!O$52)*'Active Mode Assumptions'!K9*'Active Mode Assumptions'!K14-(K160*'Total Distance Tables Sup #1'!K94)*(1+'Other Assumptions'!O$52)*'Active Mode Assumptions'!K18*'Active Mode Assumptions'!K23</f>
        <v>4916.3205964107692</v>
      </c>
    </row>
    <row r="96" spans="1:11" x14ac:dyDescent="0.2">
      <c r="A96" t="str">
        <f ca="1">OFFSET(Wellington_Reference,21,2)</f>
        <v>Light Vehicle Passenger</v>
      </c>
      <c r="B96" s="4">
        <f ca="1">(B162*'Total Distance Tables Sup #1'!B96-'PT Assumptions'!B47*'Total Distance Tables Sup #2'!B171-'PT Assumptions'!B59*'Total Distance Tables Sup #2'!B174)*(1+'Other Assumptions'!D$52)-(B159*'Total Distance Tables Sup #1'!B93)*(1+'Other Assumptions'!D$52)*'Active Mode Assumptions'!B9*'Active Mode Assumptions'!B15-(B160*'Total Distance Tables Sup #1'!B94)*(1+'Other Assumptions'!D$52)*'Active Mode Assumptions'!B18*'Active Mode Assumptions'!B24</f>
        <v>2005.8850408000001</v>
      </c>
      <c r="C96" s="4">
        <f ca="1">(C162*'Total Distance Tables Sup #1'!C96-'PT Assumptions'!C47*'Total Distance Tables Sup #2'!C171-'PT Assumptions'!C59*'Total Distance Tables Sup #2'!C174)*(1+'Other Assumptions'!G$52)-(C159*'Total Distance Tables Sup #1'!C93)*(1+'Other Assumptions'!G$52)*'Active Mode Assumptions'!C9*'Active Mode Assumptions'!C15-(C160*'Total Distance Tables Sup #1'!C94)*(1+'Other Assumptions'!G$52)*'Active Mode Assumptions'!C18*'Active Mode Assumptions'!C24</f>
        <v>2135.3891713868552</v>
      </c>
      <c r="D96" s="4">
        <f ca="1">(D162*'Total Distance Tables Sup #1'!D96-'PT Assumptions'!D47*'Total Distance Tables Sup #2'!D171-'PT Assumptions'!D59*'Total Distance Tables Sup #2'!D174)*(1+'Other Assumptions'!H$52)-(D159*'Total Distance Tables Sup #1'!D93)*(1+'Other Assumptions'!H$52)*'Active Mode Assumptions'!D9*'Active Mode Assumptions'!D15-(D160*'Total Distance Tables Sup #1'!D94)*(1+'Other Assumptions'!H$52)*'Active Mode Assumptions'!D18*'Active Mode Assumptions'!D24</f>
        <v>2198.3340751746678</v>
      </c>
      <c r="E96" s="4">
        <f ca="1">(E162*'Total Distance Tables Sup #1'!E96-'PT Assumptions'!E47*'Total Distance Tables Sup #2'!E171-'PT Assumptions'!E59*'Total Distance Tables Sup #2'!E174)*(1+'Other Assumptions'!I$52)-(E159*'Total Distance Tables Sup #1'!E93)*(1+'Other Assumptions'!I$52)*'Active Mode Assumptions'!E9*'Active Mode Assumptions'!E15-(E160*'Total Distance Tables Sup #1'!E94)*(1+'Other Assumptions'!I$52)*'Active Mode Assumptions'!E18*'Active Mode Assumptions'!E24</f>
        <v>2250.5431234073299</v>
      </c>
      <c r="F96" s="4">
        <f ca="1">(F162*'Total Distance Tables Sup #1'!F96-'PT Assumptions'!F47*'Total Distance Tables Sup #2'!F171-'PT Assumptions'!F59*'Total Distance Tables Sup #2'!F174)*(1+'Other Assumptions'!J$52)-(F159*'Total Distance Tables Sup #1'!F93)*(1+'Other Assumptions'!J$52)*'Active Mode Assumptions'!F9*'Active Mode Assumptions'!F15-(F160*'Total Distance Tables Sup #1'!F94)*(1+'Other Assumptions'!J$52)*'Active Mode Assumptions'!F18*'Active Mode Assumptions'!F24</f>
        <v>2287.9736166797302</v>
      </c>
      <c r="G96" s="4">
        <f ca="1">(G162*'Total Distance Tables Sup #1'!G96-'PT Assumptions'!G47*'Total Distance Tables Sup #2'!G171-'PT Assumptions'!G59*'Total Distance Tables Sup #2'!G174)*(1+'Other Assumptions'!K$52)-(G159*'Total Distance Tables Sup #1'!G93)*(1+'Other Assumptions'!K$52)*'Active Mode Assumptions'!G9*'Active Mode Assumptions'!G15-(G160*'Total Distance Tables Sup #1'!G94)*(1+'Other Assumptions'!K$52)*'Active Mode Assumptions'!G18*'Active Mode Assumptions'!G24</f>
        <v>2307.8637405552195</v>
      </c>
      <c r="H96" s="4">
        <f ca="1">(H162*'Total Distance Tables Sup #1'!H96-'PT Assumptions'!H47*'Total Distance Tables Sup #2'!H171-'PT Assumptions'!H59*'Total Distance Tables Sup #2'!H174)*(1+'Other Assumptions'!L$52)-(H159*'Total Distance Tables Sup #1'!H93)*(1+'Other Assumptions'!L$52)*'Active Mode Assumptions'!H9*'Active Mode Assumptions'!H15-(H160*'Total Distance Tables Sup #1'!H94)*(1+'Other Assumptions'!L$52)*'Active Mode Assumptions'!H18*'Active Mode Assumptions'!H24</f>
        <v>2314.457106994857</v>
      </c>
      <c r="I96" s="1">
        <f ca="1">(I162*'Total Distance Tables Sup #1'!I96-'PT Assumptions'!I47*'Total Distance Tables Sup #2'!I171-'PT Assumptions'!I59*'Total Distance Tables Sup #2'!I174)*(1+'Other Assumptions'!M$52)-(I159*'Total Distance Tables Sup #1'!I93)*(1+'Other Assumptions'!M$52)*'Active Mode Assumptions'!I9*'Active Mode Assumptions'!I15-(I160*'Total Distance Tables Sup #1'!I94)*(1+'Other Assumptions'!M$52)*'Active Mode Assumptions'!I18*'Active Mode Assumptions'!I24</f>
        <v>2361.1164018834843</v>
      </c>
      <c r="J96" s="1">
        <f ca="1">(J162*'Total Distance Tables Sup #1'!J96-'PT Assumptions'!J47*'Total Distance Tables Sup #2'!J171-'PT Assumptions'!J59*'Total Distance Tables Sup #2'!J174)*(1+'Other Assumptions'!N$52)-(J159*'Total Distance Tables Sup #1'!J93)*(1+'Other Assumptions'!N$52)*'Active Mode Assumptions'!J9*'Active Mode Assumptions'!J15-(J160*'Total Distance Tables Sup #1'!J94)*(1+'Other Assumptions'!N$52)*'Active Mode Assumptions'!J18*'Active Mode Assumptions'!J24</f>
        <v>2400.8674804891825</v>
      </c>
      <c r="K96" s="1">
        <f ca="1">(K162*'Total Distance Tables Sup #1'!K96-'PT Assumptions'!K47*'Total Distance Tables Sup #2'!K171-'PT Assumptions'!K59*'Total Distance Tables Sup #2'!K174)*(1+'Other Assumptions'!O$52)-(K159*'Total Distance Tables Sup #1'!K93)*(1+'Other Assumptions'!O$52)*'Active Mode Assumptions'!K9*'Active Mode Assumptions'!K15-(K160*'Total Distance Tables Sup #1'!K94)*(1+'Other Assumptions'!O$52)*'Active Mode Assumptions'!K18*'Active Mode Assumptions'!K24</f>
        <v>2436.0033510826738</v>
      </c>
    </row>
    <row r="97" spans="1:11" x14ac:dyDescent="0.2">
      <c r="A97" t="str">
        <f ca="1">OFFSET(Wellington_Reference,28,2)</f>
        <v>Taxi/Vehicle Share</v>
      </c>
      <c r="B97" s="4">
        <f ca="1">B163*'Total Distance Tables Sup #1'!B97*(1+'Other Assumptions'!D$52)</f>
        <v>19.359252680000001</v>
      </c>
      <c r="C97" s="4">
        <f ca="1">C163*'Total Distance Tables Sup #1'!C97*(1+'Other Assumptions'!G$52)</f>
        <v>22.301767343384562</v>
      </c>
      <c r="D97" s="4">
        <f ca="1">D163*'Total Distance Tables Sup #1'!D97*(1+'Other Assumptions'!H$52)</f>
        <v>24.780364585440434</v>
      </c>
      <c r="E97" s="4">
        <f ca="1">E163*'Total Distance Tables Sup #1'!E97*(1+'Other Assumptions'!I$52)</f>
        <v>27.036309435058534</v>
      </c>
      <c r="F97" s="4">
        <f ca="1">F163*'Total Distance Tables Sup #1'!F97*(1+'Other Assumptions'!J$52)</f>
        <v>28.986312311891794</v>
      </c>
      <c r="G97" s="4">
        <f ca="1">G163*'Total Distance Tables Sup #1'!G97*(1+'Other Assumptions'!K$52)</f>
        <v>30.451166859947765</v>
      </c>
      <c r="H97" s="4">
        <f ca="1">H163*'Total Distance Tables Sup #1'!H97*(1+'Other Assumptions'!L$52)</f>
        <v>31.798259783610128</v>
      </c>
      <c r="I97" s="1">
        <f ca="1">I163*'Total Distance Tables Sup #1'!I97*(1+'Other Assumptions'!M$52)</f>
        <v>32.405170448466528</v>
      </c>
      <c r="J97" s="1">
        <f ca="1">J163*'Total Distance Tables Sup #1'!J97*(1+'Other Assumptions'!N$52)</f>
        <v>32.92649584202394</v>
      </c>
      <c r="K97" s="1">
        <f ca="1">K163*'Total Distance Tables Sup #1'!K97*(1+'Other Assumptions'!O$52)</f>
        <v>33.392618048342378</v>
      </c>
    </row>
    <row r="98" spans="1:11" x14ac:dyDescent="0.2">
      <c r="A98" t="str">
        <f ca="1">OFFSET(Wellington_Reference,35,2)</f>
        <v>Motorcyclist</v>
      </c>
      <c r="B98" s="4">
        <f ca="1">B164*'Total Distance Tables Sup #1'!B98*(1+'Other Assumptions'!D$52)</f>
        <v>24.444631151999999</v>
      </c>
      <c r="C98" s="4">
        <f ca="1">C164*'Total Distance Tables Sup #1'!C98*(1+'Other Assumptions'!G$52)</f>
        <v>27.053871139161714</v>
      </c>
      <c r="D98" s="4">
        <f ca="1">D164*'Total Distance Tables Sup #1'!D98*(1+'Other Assumptions'!H$52)</f>
        <v>28.575609573803526</v>
      </c>
      <c r="E98" s="4">
        <f ca="1">E164*'Total Distance Tables Sup #1'!E98*(1+'Other Assumptions'!I$52)</f>
        <v>29.482405903463505</v>
      </c>
      <c r="F98" s="4">
        <f ca="1">F164*'Total Distance Tables Sup #1'!F98*(1+'Other Assumptions'!J$52)</f>
        <v>30.063771851707489</v>
      </c>
      <c r="G98" s="4">
        <f ca="1">G164*'Total Distance Tables Sup #1'!G98*(1+'Other Assumptions'!K$52)</f>
        <v>30.074200710625583</v>
      </c>
      <c r="H98" s="4">
        <f ca="1">H164*'Total Distance Tables Sup #1'!H98*(1+'Other Assumptions'!L$52)</f>
        <v>29.912761391420201</v>
      </c>
      <c r="I98" s="1">
        <f ca="1">I164*'Total Distance Tables Sup #1'!I98*(1+'Other Assumptions'!M$52)</f>
        <v>30.767044097649809</v>
      </c>
      <c r="J98" s="1">
        <f ca="1">J164*'Total Distance Tables Sup #1'!J98*(1+'Other Assumptions'!N$52)</f>
        <v>31.553789677046499</v>
      </c>
      <c r="K98" s="1">
        <f ca="1">K164*'Total Distance Tables Sup #1'!K98*(1+'Other Assumptions'!O$52)</f>
        <v>32.300214648269552</v>
      </c>
    </row>
    <row r="99" spans="1:11" x14ac:dyDescent="0.2">
      <c r="A99" t="str">
        <f ca="1">OFFSET(Wellington_Reference,42,2)</f>
        <v>Local Train</v>
      </c>
      <c r="B99" s="4">
        <f ca="1">'Total Distance Tables Sup #1'!B99*(1+'PT Assumptions'!B39)*(1+'Other Assumptions'!D$52)</f>
        <v>297.83</v>
      </c>
      <c r="C99" s="4">
        <f ca="1">'Total Distance Tables Sup #1'!C99*(1+'PT Assumptions'!C39)*(1+'Other Assumptions'!G$52)</f>
        <v>324.78049150726702</v>
      </c>
      <c r="D99" s="4">
        <f ca="1">'Total Distance Tables Sup #1'!D99*(1+'PT Assumptions'!D39)*(1+'Other Assumptions'!H$52)</f>
        <v>366.15528051041457</v>
      </c>
      <c r="E99" s="4">
        <f ca="1">'Total Distance Tables Sup #1'!E99*(1+'PT Assumptions'!E39)*(1+'Other Assumptions'!I$52)</f>
        <v>400.27584528851054</v>
      </c>
      <c r="F99" s="4">
        <f ca="1">'Total Distance Tables Sup #1'!F99*(1+'PT Assumptions'!F39)*(1+'Other Assumptions'!J$52)</f>
        <v>426.50039659791315</v>
      </c>
      <c r="G99" s="4">
        <f ca="1">'Total Distance Tables Sup #1'!G99*(1+'PT Assumptions'!G39)*(1+'Other Assumptions'!K$52)</f>
        <v>453.8487535348242</v>
      </c>
      <c r="H99" s="4">
        <f ca="1">'Total Distance Tables Sup #1'!H99*(1+'PT Assumptions'!H39)*(1+'Other Assumptions'!L$52)</f>
        <v>480.60422540597466</v>
      </c>
      <c r="I99" s="1">
        <f ca="1">'Total Distance Tables Sup #1'!I99*(1+'PT Assumptions'!I39)*(1+'Other Assumptions'!M$52)</f>
        <v>516.02382460040496</v>
      </c>
      <c r="J99" s="1">
        <f ca="1">'Total Distance Tables Sup #1'!J99*(1+'PT Assumptions'!J39)*(1+'Other Assumptions'!N$52)</f>
        <v>553.97624661640032</v>
      </c>
      <c r="K99" s="1">
        <f ca="1">'Total Distance Tables Sup #1'!K99*(1+'PT Assumptions'!K39)*(1+'Other Assumptions'!O$52)</f>
        <v>594.86441755539499</v>
      </c>
    </row>
    <row r="100" spans="1:11" x14ac:dyDescent="0.2">
      <c r="A100" t="str">
        <f ca="1">OFFSET(Wellington_Reference,49,2)</f>
        <v>Local Bus</v>
      </c>
      <c r="B100" s="4">
        <f ca="1">'Total Distance Tables Sup #1'!B100*(1+'PT Assumptions'!B51)*(1+'Other Assumptions'!D$52)</f>
        <v>164.37</v>
      </c>
      <c r="C100" s="4">
        <f ca="1">'Total Distance Tables Sup #1'!C100*(1+'PT Assumptions'!C51)*(1+'Other Assumptions'!G$52)</f>
        <v>174.39558784017379</v>
      </c>
      <c r="D100" s="4">
        <f ca="1">'Total Distance Tables Sup #1'!D100*(1+'PT Assumptions'!D51)*(1+'Other Assumptions'!H$52)</f>
        <v>197.20907957759067</v>
      </c>
      <c r="E100" s="4">
        <f ca="1">'Total Distance Tables Sup #1'!E100*(1+'PT Assumptions'!E51)*(1+'Other Assumptions'!I$52)</f>
        <v>213.21414160503357</v>
      </c>
      <c r="F100" s="4">
        <f ca="1">'Total Distance Tables Sup #1'!F100*(1+'PT Assumptions'!F51)*(1+'Other Assumptions'!J$52)</f>
        <v>219.84479072405438</v>
      </c>
      <c r="G100" s="4">
        <f ca="1">'Total Distance Tables Sup #1'!G100*(1+'PT Assumptions'!G51)*(1+'Other Assumptions'!K$52)</f>
        <v>226.62148035142309</v>
      </c>
      <c r="H100" s="4">
        <f ca="1">'Total Distance Tables Sup #1'!H100*(1+'PT Assumptions'!H51)*(1+'Other Assumptions'!L$52)</f>
        <v>233.37796432273598</v>
      </c>
      <c r="I100" s="1">
        <f ca="1">'Total Distance Tables Sup #1'!I100*(1+'PT Assumptions'!I51)*(1+'Other Assumptions'!M$52)</f>
        <v>242.98699116711211</v>
      </c>
      <c r="J100" s="1">
        <f ca="1">'Total Distance Tables Sup #1'!J100*(1+'PT Assumptions'!J51)*(1+'Other Assumptions'!N$52)</f>
        <v>253.03235921202543</v>
      </c>
      <c r="K100" s="1">
        <f ca="1">'Total Distance Tables Sup #1'!K100*(1+'PT Assumptions'!K51)*(1+'Other Assumptions'!O$52)</f>
        <v>263.5570054908315</v>
      </c>
    </row>
    <row r="101" spans="1:11" x14ac:dyDescent="0.2">
      <c r="A101" t="str">
        <f ca="1">OFFSET(Wellington_Reference,56,2)</f>
        <v>Local Ferry</v>
      </c>
      <c r="B101" s="4">
        <f ca="1">B167*'Total Distance Tables Sup #1'!B101*(1+'Other Assumptions'!D$52)</f>
        <v>0</v>
      </c>
      <c r="C101" s="4">
        <f ca="1">C167*'Total Distance Tables Sup #1'!C101*(1+'Other Assumptions'!G$52)</f>
        <v>0</v>
      </c>
      <c r="D101" s="4">
        <f ca="1">D167*'Total Distance Tables Sup #1'!D101*(1+'Other Assumptions'!H$52)</f>
        <v>0</v>
      </c>
      <c r="E101" s="4">
        <f ca="1">E167*'Total Distance Tables Sup #1'!E101*(1+'Other Assumptions'!I$52)</f>
        <v>0</v>
      </c>
      <c r="F101" s="4">
        <f ca="1">F167*'Total Distance Tables Sup #1'!F101*(1+'Other Assumptions'!J$52)</f>
        <v>0</v>
      </c>
      <c r="G101" s="4">
        <f ca="1">G167*'Total Distance Tables Sup #1'!G101*(1+'Other Assumptions'!K$52)</f>
        <v>0</v>
      </c>
      <c r="H101" s="4">
        <f ca="1">H167*'Total Distance Tables Sup #1'!H101*(1+'Other Assumptions'!L$52)</f>
        <v>0</v>
      </c>
      <c r="I101" s="1">
        <f ca="1">I167*'Total Distance Tables Sup #1'!I101*(1+'Other Assumptions'!M$52)</f>
        <v>0</v>
      </c>
      <c r="J101" s="1">
        <f ca="1">J167*'Total Distance Tables Sup #1'!J101*(1+'Other Assumptions'!N$52)</f>
        <v>0</v>
      </c>
      <c r="K101" s="1">
        <f ca="1">K167*'Total Distance Tables Sup #1'!K101*(1+'Other Assumptions'!O$52)</f>
        <v>0</v>
      </c>
    </row>
    <row r="102" spans="1:11" x14ac:dyDescent="0.2">
      <c r="A102" t="str">
        <f ca="1">OFFSET(Wellington_Reference,63,2)</f>
        <v>Other Household Travel</v>
      </c>
      <c r="B102" s="4">
        <f ca="1">B168*'Total Distance Tables Sup #1'!B102*(1+'Other Assumptions'!D$52)</f>
        <v>0</v>
      </c>
      <c r="C102" s="4">
        <f ca="1">C168*'Total Distance Tables Sup #1'!C102*(1+'Other Assumptions'!G$52)</f>
        <v>0</v>
      </c>
      <c r="D102" s="4">
        <f ca="1">D168*'Total Distance Tables Sup #1'!D102*(1+'Other Assumptions'!H$52)</f>
        <v>0</v>
      </c>
      <c r="E102" s="4">
        <f ca="1">E168*'Total Distance Tables Sup #1'!E102*(1+'Other Assumptions'!I$52)</f>
        <v>0</v>
      </c>
      <c r="F102" s="4">
        <f ca="1">F168*'Total Distance Tables Sup #1'!F102*(1+'Other Assumptions'!J$52)</f>
        <v>0</v>
      </c>
      <c r="G102" s="4">
        <f ca="1">G168*'Total Distance Tables Sup #1'!G102*(1+'Other Assumptions'!K$52)</f>
        <v>0</v>
      </c>
      <c r="H102" s="4">
        <f ca="1">H168*'Total Distance Tables Sup #1'!H102*(1+'Other Assumptions'!L$52)</f>
        <v>0</v>
      </c>
      <c r="I102" s="1">
        <f ca="1">I168*'Total Distance Tables Sup #1'!I102*(1+'Other Assumptions'!M$52)</f>
        <v>0</v>
      </c>
      <c r="J102" s="1">
        <f ca="1">J168*'Total Distance Tables Sup #1'!J102*(1+'Other Assumptions'!N$52)</f>
        <v>0</v>
      </c>
      <c r="K102" s="1">
        <f ca="1">K168*'Total Distance Tables Sup #1'!K102*(1+'Other Assumptions'!O$52)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B159*'Total Distance Tables Sup #1'!B104*(1+'Other Assumptions'!D$53)*(1+'Active Mode Assumptions'!B9)</f>
        <v>28.582749250999999</v>
      </c>
      <c r="C104" s="4">
        <f ca="1">C159*'Total Distance Tables Sup #1'!C104*(1+'Other Assumptions'!G$53)*(1+'Active Mode Assumptions'!C9)</f>
        <v>29.439352426450672</v>
      </c>
      <c r="D104" s="4">
        <f ca="1">D159*'Total Distance Tables Sup #1'!D104*(1+'Other Assumptions'!H$53)*(1+'Active Mode Assumptions'!D9)</f>
        <v>30.877902466184135</v>
      </c>
      <c r="E104" s="4">
        <f ca="1">E159*'Total Distance Tables Sup #1'!E104*(1+'Other Assumptions'!I$53)*(1+'Active Mode Assumptions'!E9)</f>
        <v>31.911703689378129</v>
      </c>
      <c r="F104" s="4">
        <f ca="1">F159*'Total Distance Tables Sup #1'!F104*(1+'Other Assumptions'!J$53)*(1+'Active Mode Assumptions'!F9)</f>
        <v>32.588360555768013</v>
      </c>
      <c r="G104" s="4">
        <f ca="1">G159*'Total Distance Tables Sup #1'!G104*(1+'Other Assumptions'!K$53)*(1+'Active Mode Assumptions'!G9)</f>
        <v>33.126356617011815</v>
      </c>
      <c r="H104" s="4">
        <f ca="1">H159*'Total Distance Tables Sup #1'!H104*(1+'Other Assumptions'!L$53)*(1+'Active Mode Assumptions'!H9)</f>
        <v>33.455124108028564</v>
      </c>
      <c r="I104" s="1">
        <f ca="1">I159*'Total Distance Tables Sup #1'!I104*(1+'Other Assumptions'!M$53)*(1+'Active Mode Assumptions'!I9)</f>
        <v>33.350740524237324</v>
      </c>
      <c r="J104" s="1">
        <f ca="1">J159*'Total Distance Tables Sup #1'!J104*(1+'Other Assumptions'!N$53)*(1+'Active Mode Assumptions'!J9)</f>
        <v>33.143077750838572</v>
      </c>
      <c r="K104" s="1">
        <f ca="1">K159*'Total Distance Tables Sup #1'!K104*(1+'Other Assumptions'!O$53)*(1+'Active Mode Assumptions'!K9)</f>
        <v>32.868131909889577</v>
      </c>
    </row>
    <row r="105" spans="1:11" x14ac:dyDescent="0.2">
      <c r="A105" t="str">
        <f ca="1">OFFSET(Nelson_Reference,7,2)</f>
        <v>Cyclist</v>
      </c>
      <c r="B105" s="4">
        <f ca="1">B160*'Total Distance Tables Sup #1'!B105*(1+'Other Assumptions'!D$53)*(1+'Active Mode Assumptions'!B18)</f>
        <v>10.809874027999999</v>
      </c>
      <c r="C105" s="4">
        <f ca="1">C160*'Total Distance Tables Sup #1'!C105*(1+'Other Assumptions'!G$53)*(1+'Active Mode Assumptions'!C18)</f>
        <v>11.53928004128641</v>
      </c>
      <c r="D105" s="4">
        <f ca="1">D160*'Total Distance Tables Sup #1'!D105*(1+'Other Assumptions'!H$53)*(1+'Active Mode Assumptions'!D18)</f>
        <v>14.182742723164322</v>
      </c>
      <c r="E105" s="4">
        <f ca="1">E160*'Total Distance Tables Sup #1'!E105*(1+'Other Assumptions'!I$53)*(1+'Active Mode Assumptions'!E18)</f>
        <v>16.612126463159328</v>
      </c>
      <c r="F105" s="4">
        <f ca="1">F160*'Total Distance Tables Sup #1'!F105*(1+'Other Assumptions'!J$53)*(1+'Active Mode Assumptions'!F18)</f>
        <v>19.27244616415387</v>
      </c>
      <c r="G105" s="4">
        <f ca="1">G160*'Total Distance Tables Sup #1'!G105*(1+'Other Assumptions'!K$53)*(1+'Active Mode Assumptions'!G18)</f>
        <v>22.276596518584704</v>
      </c>
      <c r="H105" s="4">
        <f ca="1">H160*'Total Distance Tables Sup #1'!H105*(1+'Other Assumptions'!L$53)*(1+'Active Mode Assumptions'!H18)</f>
        <v>25.355507066854987</v>
      </c>
      <c r="I105" s="1">
        <f ca="1">I160*'Total Distance Tables Sup #1'!I105*(1+'Other Assumptions'!M$53)*(1+'Active Mode Assumptions'!I18)</f>
        <v>25.291951229544711</v>
      </c>
      <c r="J105" s="1">
        <f ca="1">J160*'Total Distance Tables Sup #1'!J105*(1+'Other Assumptions'!N$53)*(1+'Active Mode Assumptions'!J18)</f>
        <v>25.149772003315846</v>
      </c>
      <c r="K105" s="1">
        <f ca="1">K160*'Total Distance Tables Sup #1'!K105*(1+'Other Assumptions'!O$53)*(1+'Active Mode Assumptions'!K18)</f>
        <v>24.956178812927405</v>
      </c>
    </row>
    <row r="106" spans="1:11" x14ac:dyDescent="0.2">
      <c r="A106" t="str">
        <f ca="1">OFFSET(Nelson_Reference,14,2)</f>
        <v>Light Vehicle Driver</v>
      </c>
      <c r="B106" s="4">
        <f ca="1">B161*'Total Distance Tables Sup #1'!B106*(1+'Other Assumptions'!D$53)-(B104*'Active Mode Assumptions'!B9*'Active Mode Assumptions'!B14/(1+'Active Mode Assumptions'!B9))-(B105*'Active Mode Assumptions'!B18*'Active Mode Assumptions'!B23/(1+'Active Mode Assumptions'!B18))</f>
        <v>1012.1329009999999</v>
      </c>
      <c r="C106" s="4">
        <f ca="1">C161*'Total Distance Tables Sup #1'!C106*(1+'Other Assumptions'!G$53)-(C104*'Active Mode Assumptions'!C9*'Active Mode Assumptions'!C14/(1+'Active Mode Assumptions'!C9))-(C105*'Active Mode Assumptions'!C18*'Active Mode Assumptions'!C23/(1+'Active Mode Assumptions'!C18))</f>
        <v>1079.5008036817999</v>
      </c>
      <c r="D106" s="4">
        <f ca="1">D161*'Total Distance Tables Sup #1'!D106*(1+'Other Assumptions'!H$53)-(D104*'Active Mode Assumptions'!D9*'Active Mode Assumptions'!D14/(1+'Active Mode Assumptions'!D9))-(D105*'Active Mode Assumptions'!D18*'Active Mode Assumptions'!D23/(1+'Active Mode Assumptions'!D18))</f>
        <v>1113.5109312275663</v>
      </c>
      <c r="E106" s="4">
        <f ca="1">E161*'Total Distance Tables Sup #1'!E106*(1+'Other Assumptions'!I$53)-(E104*'Active Mode Assumptions'!E9*'Active Mode Assumptions'!E14/(1+'Active Mode Assumptions'!E9))-(E105*'Active Mode Assumptions'!E18*'Active Mode Assumptions'!E23/(1+'Active Mode Assumptions'!E18))</f>
        <v>1144.955763104789</v>
      </c>
      <c r="F106" s="4">
        <f ca="1">F161*'Total Distance Tables Sup #1'!F106*(1+'Other Assumptions'!J$53)-(F104*'Active Mode Assumptions'!F9*'Active Mode Assumptions'!F14/(1+'Active Mode Assumptions'!F9))-(F105*'Active Mode Assumptions'!F18*'Active Mode Assumptions'!F23/(1+'Active Mode Assumptions'!F18))</f>
        <v>1168.9581283774453</v>
      </c>
      <c r="G106" s="4">
        <f ca="1">G161*'Total Distance Tables Sup #1'!G106*(1+'Other Assumptions'!K$53)-(G104*'Active Mode Assumptions'!G9*'Active Mode Assumptions'!G14/(1+'Active Mode Assumptions'!G9))-(G105*'Active Mode Assumptions'!G18*'Active Mode Assumptions'!G23/(1+'Active Mode Assumptions'!G18))</f>
        <v>1178.4624040313104</v>
      </c>
      <c r="H106" s="4">
        <f ca="1">H161*'Total Distance Tables Sup #1'!H106*(1+'Other Assumptions'!L$53)-(H104*'Active Mode Assumptions'!H9*'Active Mode Assumptions'!H14/(1+'Active Mode Assumptions'!H9))-(H105*'Active Mode Assumptions'!H18*'Active Mode Assumptions'!H23/(1+'Active Mode Assumptions'!H18))</f>
        <v>1179.9905433588267</v>
      </c>
      <c r="I106" s="1">
        <f ca="1">I161*'Total Distance Tables Sup #1'!I106*(1+'Other Assumptions'!M$53)-(I104*'Active Mode Assumptions'!I9*'Active Mode Assumptions'!I14/(1+'Active Mode Assumptions'!I9))-(I105*'Active Mode Assumptions'!I18*'Active Mode Assumptions'!I23/(1+'Active Mode Assumptions'!I18))</f>
        <v>1178.8921817192909</v>
      </c>
      <c r="J106" s="1">
        <f ca="1">J161*'Total Distance Tables Sup #1'!J106*(1+'Other Assumptions'!N$53)-(J104*'Active Mode Assumptions'!J9*'Active Mode Assumptions'!J14/(1+'Active Mode Assumptions'!J9))-(J105*'Active Mode Assumptions'!J18*'Active Mode Assumptions'!J23/(1+'Active Mode Assumptions'!J18))</f>
        <v>1174.107446020734</v>
      </c>
      <c r="K106" s="1">
        <f ca="1">K161*'Total Distance Tables Sup #1'!K106*(1+'Other Assumptions'!O$53)-(K104*'Active Mode Assumptions'!K9*'Active Mode Assumptions'!K14/(1+'Active Mode Assumptions'!K9))-(K105*'Active Mode Assumptions'!K18*'Active Mode Assumptions'!K23/(1+'Active Mode Assumptions'!K18))</f>
        <v>1166.890154624801</v>
      </c>
    </row>
    <row r="107" spans="1:11" x14ac:dyDescent="0.2">
      <c r="A107" t="str">
        <f ca="1">OFFSET(Nelson_Reference,21,2)</f>
        <v>Light Vehicle Passenger</v>
      </c>
      <c r="B107" s="4">
        <f ca="1">B162*'Total Distance Tables Sup #1'!B107*(1+'Other Assumptions'!D$53)-(B104*'Active Mode Assumptions'!B9*'Active Mode Assumptions'!B15/(1+'Active Mode Assumptions'!B9))-(B105*'Active Mode Assumptions'!B18*'Active Mode Assumptions'!B24/(1+'Active Mode Assumptions'!B18))</f>
        <v>528.66856442999995</v>
      </c>
      <c r="C107" s="4">
        <f ca="1">C162*'Total Distance Tables Sup #1'!C107*(1+'Other Assumptions'!G$53)-(C104*'Active Mode Assumptions'!C9*'Active Mode Assumptions'!C15/(1+'Active Mode Assumptions'!C9))-(C105*'Active Mode Assumptions'!C18*'Active Mode Assumptions'!C24/(1+'Active Mode Assumptions'!C18))</f>
        <v>543.05116833825309</v>
      </c>
      <c r="D107" s="4">
        <f ca="1">D162*'Total Distance Tables Sup #1'!D107*(1+'Other Assumptions'!H$53)-(D104*'Active Mode Assumptions'!D9*'Active Mode Assumptions'!D15/(1+'Active Mode Assumptions'!D9))-(D105*'Active Mode Assumptions'!D18*'Active Mode Assumptions'!D24/(1+'Active Mode Assumptions'!D18))</f>
        <v>548.31806588058407</v>
      </c>
      <c r="E107" s="4">
        <f ca="1">E162*'Total Distance Tables Sup #1'!E107*(1+'Other Assumptions'!I$53)-(E104*'Active Mode Assumptions'!E9*'Active Mode Assumptions'!E15/(1+'Active Mode Assumptions'!E9))-(E105*'Active Mode Assumptions'!E18*'Active Mode Assumptions'!E24/(1+'Active Mode Assumptions'!E18))</f>
        <v>552.25197583495594</v>
      </c>
      <c r="F107" s="4">
        <f ca="1">F162*'Total Distance Tables Sup #1'!F107*(1+'Other Assumptions'!J$53)-(F104*'Active Mode Assumptions'!F9*'Active Mode Assumptions'!F15/(1+'Active Mode Assumptions'!F9))-(F105*'Active Mode Assumptions'!F18*'Active Mode Assumptions'!F24/(1+'Active Mode Assumptions'!F18))</f>
        <v>551.48996546735816</v>
      </c>
      <c r="G107" s="4">
        <f ca="1">G162*'Total Distance Tables Sup #1'!G107*(1+'Other Assumptions'!K$53)-(G104*'Active Mode Assumptions'!G9*'Active Mode Assumptions'!G15/(1+'Active Mode Assumptions'!G9))-(G105*'Active Mode Assumptions'!G18*'Active Mode Assumptions'!G24/(1+'Active Mode Assumptions'!G18))</f>
        <v>546.24546087136173</v>
      </c>
      <c r="H107" s="4">
        <f ca="1">H162*'Total Distance Tables Sup #1'!H107*(1+'Other Assumptions'!L$53)-(H104*'Active Mode Assumptions'!H9*'Active Mode Assumptions'!H15/(1+'Active Mode Assumptions'!H9))-(H105*'Active Mode Assumptions'!H18*'Active Mode Assumptions'!H24/(1+'Active Mode Assumptions'!H18))</f>
        <v>537.27310364178959</v>
      </c>
      <c r="I107" s="1">
        <f ca="1">I162*'Total Distance Tables Sup #1'!I107*(1+'Other Assumptions'!M$53)-(I104*'Active Mode Assumptions'!I9*'Active Mode Assumptions'!I15/(1+'Active Mode Assumptions'!I9))-(I105*'Active Mode Assumptions'!I18*'Active Mode Assumptions'!I24/(1+'Active Mode Assumptions'!I18))</f>
        <v>537.04215673843419</v>
      </c>
      <c r="J107" s="1">
        <f ca="1">J162*'Total Distance Tables Sup #1'!J107*(1+'Other Assumptions'!N$53)-(J104*'Active Mode Assumptions'!J9*'Active Mode Assumptions'!J15/(1+'Active Mode Assumptions'!J9))-(J105*'Active Mode Assumptions'!J18*'Active Mode Assumptions'!J24/(1+'Active Mode Assumptions'!J18))</f>
        <v>535.13138798061755</v>
      </c>
      <c r="K107" s="1">
        <f ca="1">K162*'Total Distance Tables Sup #1'!K107*(1+'Other Assumptions'!O$53)-(K104*'Active Mode Assumptions'!K9*'Active Mode Assumptions'!K15/(1+'Active Mode Assumptions'!K9))-(K105*'Active Mode Assumptions'!K18*'Active Mode Assumptions'!K24/(1+'Active Mode Assumptions'!K18))</f>
        <v>532.10983373582997</v>
      </c>
    </row>
    <row r="108" spans="1:11" x14ac:dyDescent="0.2">
      <c r="A108" t="str">
        <f ca="1">OFFSET(Nelson_Reference,28,2)</f>
        <v>Taxi/Vehicle Share</v>
      </c>
      <c r="B108" s="4">
        <f ca="1">B163*'Total Distance Tables Sup #1'!B108*(1+'Other Assumptions'!D$53)</f>
        <v>2.5483198348</v>
      </c>
      <c r="C108" s="4">
        <f ca="1">C163*'Total Distance Tables Sup #1'!C108*(1+'Other Assumptions'!G$53)</f>
        <v>2.8322770247283184</v>
      </c>
      <c r="D108" s="4">
        <f ca="1">D163*'Total Distance Tables Sup #1'!D108*(1+'Other Assumptions'!H$53)</f>
        <v>3.0676368733445356</v>
      </c>
      <c r="E108" s="4">
        <f ca="1">E163*'Total Distance Tables Sup #1'!E108*(1+'Other Assumptions'!I$53)</f>
        <v>3.277664661962465</v>
      </c>
      <c r="F108" s="4">
        <f ca="1">F163*'Total Distance Tables Sup #1'!F108*(1+'Other Assumptions'!J$53)</f>
        <v>3.4408050229877905</v>
      </c>
      <c r="G108" s="4">
        <f ca="1">G163*'Total Distance Tables Sup #1'!G108*(1+'Other Assumptions'!K$53)</f>
        <v>3.5377316364849629</v>
      </c>
      <c r="H108" s="4">
        <f ca="1">H163*'Total Distance Tables Sup #1'!H108*(1+'Other Assumptions'!L$53)</f>
        <v>3.6096843445455291</v>
      </c>
      <c r="I108" s="1">
        <f ca="1">I163*'Total Distance Tables Sup #1'!I108*(1+'Other Assumptions'!M$53)</f>
        <v>3.5937301032177791</v>
      </c>
      <c r="J108" s="1">
        <f ca="1">J163*'Total Distance Tables Sup #1'!J108*(1+'Other Assumptions'!N$53)</f>
        <v>3.5666425908192969</v>
      </c>
      <c r="K108" s="1">
        <f ca="1">K163*'Total Distance Tables Sup #1'!K108*(1+'Other Assumptions'!O$53)</f>
        <v>3.5323403702101746</v>
      </c>
    </row>
    <row r="109" spans="1:11" x14ac:dyDescent="0.2">
      <c r="A109" t="str">
        <f ca="1">OFFSET(Nelson_Reference,35,2)</f>
        <v>Motorcyclist</v>
      </c>
      <c r="B109" s="4">
        <f ca="1">B164*'Total Distance Tables Sup #1'!B109*(1+'Other Assumptions'!D$53)</f>
        <v>34.127286998000002</v>
      </c>
      <c r="C109" s="4">
        <f ca="1">C164*'Total Distance Tables Sup #1'!C109*(1+'Other Assumptions'!G$53)</f>
        <v>36.440035855149262</v>
      </c>
      <c r="D109" s="4">
        <f ca="1">D164*'Total Distance Tables Sup #1'!D109*(1+'Other Assumptions'!H$53)</f>
        <v>37.518432991341129</v>
      </c>
      <c r="E109" s="4">
        <f ca="1">E164*'Total Distance Tables Sup #1'!E109*(1+'Other Assumptions'!I$53)</f>
        <v>37.908182393221999</v>
      </c>
      <c r="F109" s="4">
        <f ca="1">F164*'Total Distance Tables Sup #1'!F109*(1+'Other Assumptions'!J$53)</f>
        <v>37.849791661509343</v>
      </c>
      <c r="G109" s="4">
        <f ca="1">G164*'Total Distance Tables Sup #1'!G109*(1+'Other Assumptions'!K$53)</f>
        <v>37.056804822069346</v>
      </c>
      <c r="H109" s="4">
        <f ca="1">H164*'Total Distance Tables Sup #1'!H109*(1+'Other Assumptions'!L$53)</f>
        <v>36.014327494096598</v>
      </c>
      <c r="I109" s="1">
        <f ca="1">I164*'Total Distance Tables Sup #1'!I109*(1+'Other Assumptions'!M$53)</f>
        <v>36.188439109165799</v>
      </c>
      <c r="J109" s="1">
        <f ca="1">J164*'Total Distance Tables Sup #1'!J109*(1+'Other Assumptions'!N$53)</f>
        <v>36.250878341743189</v>
      </c>
      <c r="K109" s="1">
        <f ca="1">K164*'Total Distance Tables Sup #1'!K109*(1+'Other Assumptions'!O$53)</f>
        <v>36.238516718752308</v>
      </c>
    </row>
    <row r="110" spans="1:11" x14ac:dyDescent="0.2">
      <c r="A110" t="str">
        <f ca="1">OFFSET(Nelson_Reference,42,2)</f>
        <v>Local Train</v>
      </c>
      <c r="B110" s="4">
        <f ca="1">B165*'Total Distance Tables Sup #1'!B110*(1+'Other Assumptions'!D$53)</f>
        <v>0</v>
      </c>
      <c r="C110" s="4">
        <f ca="1">C165*'Total Distance Tables Sup #1'!C110*(1+'Other Assumptions'!G$53)</f>
        <v>0</v>
      </c>
      <c r="D110" s="4">
        <f ca="1">D165*'Total Distance Tables Sup #1'!D110*(1+'Other Assumptions'!H$53)</f>
        <v>0</v>
      </c>
      <c r="E110" s="4">
        <f ca="1">E165*'Total Distance Tables Sup #1'!E110*(1+'Other Assumptions'!I$53)</f>
        <v>0</v>
      </c>
      <c r="F110" s="4">
        <f ca="1">F165*'Total Distance Tables Sup #1'!F110*(1+'Other Assumptions'!J$53)</f>
        <v>0</v>
      </c>
      <c r="G110" s="4">
        <f ca="1">G165*'Total Distance Tables Sup #1'!G110*(1+'Other Assumptions'!K$53)</f>
        <v>0</v>
      </c>
      <c r="H110" s="4">
        <f ca="1">H165*'Total Distance Tables Sup #1'!H110*(1+'Other Assumptions'!L$53)</f>
        <v>0</v>
      </c>
      <c r="I110" s="1">
        <f ca="1">I165*'Total Distance Tables Sup #1'!I110*(1+'Other Assumptions'!M$53)</f>
        <v>0</v>
      </c>
      <c r="J110" s="1">
        <f ca="1">J165*'Total Distance Tables Sup #1'!J110*(1+'Other Assumptions'!N$53)</f>
        <v>0</v>
      </c>
      <c r="K110" s="1">
        <f ca="1">K165*'Total Distance Tables Sup #1'!K110*(1+'Other Assumptions'!O$53)</f>
        <v>0</v>
      </c>
    </row>
    <row r="111" spans="1:11" x14ac:dyDescent="0.2">
      <c r="A111" t="str">
        <f ca="1">OFFSET(Nelson_Reference,49,2)</f>
        <v>Local Bus</v>
      </c>
      <c r="B111" s="4">
        <f ca="1">B166*'Total Distance Tables Sup #1'!B111*(1+'Other Assumptions'!D$53)</f>
        <v>19.807462209000001</v>
      </c>
      <c r="C111" s="4">
        <f ca="1">C166*'Total Distance Tables Sup #1'!C111*(1+'Other Assumptions'!G$53)</f>
        <v>18.948765035031066</v>
      </c>
      <c r="D111" s="4">
        <f ca="1">D166*'Total Distance Tables Sup #1'!D111*(1+'Other Assumptions'!H$53)</f>
        <v>18.372430032514472</v>
      </c>
      <c r="E111" s="4">
        <f ca="1">E166*'Total Distance Tables Sup #1'!E111*(1+'Other Assumptions'!I$53)</f>
        <v>17.966459532342324</v>
      </c>
      <c r="F111" s="4">
        <f ca="1">F166*'Total Distance Tables Sup #1'!F111*(1+'Other Assumptions'!J$53)</f>
        <v>17.247579930548739</v>
      </c>
      <c r="G111" s="4">
        <f ca="1">G166*'Total Distance Tables Sup #1'!G111*(1+'Other Assumptions'!K$53)</f>
        <v>16.700264375469462</v>
      </c>
      <c r="H111" s="4">
        <f ca="1">H166*'Total Distance Tables Sup #1'!H111*(1+'Other Assumptions'!L$53)</f>
        <v>16.076912781427286</v>
      </c>
      <c r="I111" s="1">
        <f ca="1">I166*'Total Distance Tables Sup #1'!I111*(1+'Other Assumptions'!M$53)</f>
        <v>16.075218724306936</v>
      </c>
      <c r="J111" s="1">
        <f ca="1">J166*'Total Distance Tables Sup #1'!J111*(1+'Other Assumptions'!N$53)</f>
        <v>16.022508855740892</v>
      </c>
      <c r="K111" s="1">
        <f ca="1">K166*'Total Distance Tables Sup #1'!K111*(1+'Other Assumptions'!O$53)</f>
        <v>15.935781271453241</v>
      </c>
    </row>
    <row r="112" spans="1:11" x14ac:dyDescent="0.2">
      <c r="A112" t="str">
        <f ca="1">OFFSET(Wellington_Reference,56,2)</f>
        <v>Local Ferry</v>
      </c>
      <c r="B112" s="4">
        <f>B167*'Total Distance Tables Sup #1'!B112*(1+'Other Assumptions'!D$53)</f>
        <v>0</v>
      </c>
      <c r="C112" s="4">
        <f ca="1">C167*'Total Distance Tables Sup #1'!C112*(1+'Other Assumptions'!G$53)</f>
        <v>0</v>
      </c>
      <c r="D112" s="4">
        <f ca="1">D167*'Total Distance Tables Sup #1'!D112*(1+'Other Assumptions'!H$53)</f>
        <v>0</v>
      </c>
      <c r="E112" s="4">
        <f ca="1">E167*'Total Distance Tables Sup #1'!E112*(1+'Other Assumptions'!I$53)</f>
        <v>0</v>
      </c>
      <c r="F112" s="4">
        <f ca="1">F167*'Total Distance Tables Sup #1'!F112*(1+'Other Assumptions'!J$53)</f>
        <v>0</v>
      </c>
      <c r="G112" s="4">
        <f ca="1">G167*'Total Distance Tables Sup #1'!G112*(1+'Other Assumptions'!K$53)</f>
        <v>0</v>
      </c>
      <c r="H112" s="4">
        <f ca="1">H167*'Total Distance Tables Sup #1'!H112*(1+'Other Assumptions'!L$53)</f>
        <v>0</v>
      </c>
      <c r="I112" s="1">
        <f ca="1">I167*'Total Distance Tables Sup #1'!I112*(1+'Other Assumptions'!M$53)</f>
        <v>0</v>
      </c>
      <c r="J112" s="1">
        <f ca="1">J167*'Total Distance Tables Sup #1'!J112*(1+'Other Assumptions'!N$53)</f>
        <v>0</v>
      </c>
      <c r="K112" s="1">
        <f ca="1">K167*'Total Distance Tables Sup #1'!K112*(1+'Other Assumptions'!O$53)</f>
        <v>0</v>
      </c>
    </row>
    <row r="113" spans="1:11" x14ac:dyDescent="0.2">
      <c r="A113" t="str">
        <f ca="1">OFFSET(Nelson_Reference,56,2)</f>
        <v>Other Household Travel</v>
      </c>
      <c r="B113" s="4">
        <f ca="1">B168*'Total Distance Tables Sup #1'!B113*(1+'Other Assumptions'!D$53)</f>
        <v>0</v>
      </c>
      <c r="C113" s="4">
        <f ca="1">C168*'Total Distance Tables Sup #1'!C113*(1+'Other Assumptions'!G$53)</f>
        <v>0</v>
      </c>
      <c r="D113" s="4">
        <f ca="1">D168*'Total Distance Tables Sup #1'!D113*(1+'Other Assumptions'!H$53)</f>
        <v>0</v>
      </c>
      <c r="E113" s="4">
        <f ca="1">E168*'Total Distance Tables Sup #1'!E113*(1+'Other Assumptions'!I$53)</f>
        <v>0</v>
      </c>
      <c r="F113" s="4">
        <f ca="1">F168*'Total Distance Tables Sup #1'!F113*(1+'Other Assumptions'!J$53)</f>
        <v>0</v>
      </c>
      <c r="G113" s="4">
        <f ca="1">G168*'Total Distance Tables Sup #1'!G113*(1+'Other Assumptions'!K$53)</f>
        <v>0</v>
      </c>
      <c r="H113" s="4">
        <f ca="1">H168*'Total Distance Tables Sup #1'!H113*(1+'Other Assumptions'!L$53)</f>
        <v>0</v>
      </c>
      <c r="I113" s="1">
        <f ca="1">I168*'Total Distance Tables Sup #1'!I113*(1+'Other Assumptions'!M$53)</f>
        <v>0</v>
      </c>
      <c r="J113" s="1">
        <f ca="1">J168*'Total Distance Tables Sup #1'!J113*(1+'Other Assumptions'!N$53)</f>
        <v>0</v>
      </c>
      <c r="K113" s="1">
        <f ca="1">K168*'Total Distance Tables Sup #1'!K113*(1+'Other Assumptions'!O$53)</f>
        <v>0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B159*'Total Distance Tables Sup #1'!B115*(1+'Other Assumptions'!D$54)*(1+'Active Mode Assumptions'!B9)</f>
        <v>4.6474841125999999</v>
      </c>
      <c r="C115" s="4">
        <f ca="1">C159*'Total Distance Tables Sup #1'!C115*(1+'Other Assumptions'!G$54)*(1+'Active Mode Assumptions'!C9)</f>
        <v>4.4960749374060969</v>
      </c>
      <c r="D115" s="4">
        <f ca="1">D159*'Total Distance Tables Sup #1'!D115*(1+'Other Assumptions'!H$54)*(1+'Active Mode Assumptions'!D9)</f>
        <v>4.5776175691623591</v>
      </c>
      <c r="E115" s="4">
        <f ca="1">E159*'Total Distance Tables Sup #1'!E115*(1+'Other Assumptions'!I$54)*(1+'Active Mode Assumptions'!E9)</f>
        <v>4.5999428036304613</v>
      </c>
      <c r="F115" s="4">
        <f ca="1">F159*'Total Distance Tables Sup #1'!F115*(1+'Other Assumptions'!J$54)*(1+'Active Mode Assumptions'!F9)</f>
        <v>4.569455472188273</v>
      </c>
      <c r="G115" s="4">
        <f ca="1">G159*'Total Distance Tables Sup #1'!G115*(1+'Other Assumptions'!K$54)*(1+'Active Mode Assumptions'!G9)</f>
        <v>4.5206585402246526</v>
      </c>
      <c r="H115" s="4">
        <f ca="1">H159*'Total Distance Tables Sup #1'!H115*(1+'Other Assumptions'!L$54)*(1+'Active Mode Assumptions'!H9)</f>
        <v>4.4551031799075016</v>
      </c>
      <c r="I115" s="1">
        <f ca="1">I159*'Total Distance Tables Sup #1'!I115*(1+'Other Assumptions'!M$54)*(1+'Active Mode Assumptions'!I9)</f>
        <v>4.3335839387405759</v>
      </c>
      <c r="J115" s="1">
        <f ca="1">J159*'Total Distance Tables Sup #1'!J115*(1+'Other Assumptions'!N$54)*(1+'Active Mode Assumptions'!J9)</f>
        <v>4.2020447565685286</v>
      </c>
      <c r="K115" s="1">
        <f ca="1">K159*'Total Distance Tables Sup #1'!K115*(1+'Other Assumptions'!O$54)*(1+'Active Mode Assumptions'!K9)</f>
        <v>4.0658227386094525</v>
      </c>
    </row>
    <row r="116" spans="1:11" x14ac:dyDescent="0.2">
      <c r="A116" t="str">
        <f ca="1">OFFSET(West_Coast_Reference,7,2)</f>
        <v>Cyclist</v>
      </c>
      <c r="B116" s="4">
        <f ca="1">B160*'Total Distance Tables Sup #1'!B116*(1+'Other Assumptions'!D$54)*(1+'Active Mode Assumptions'!B18)</f>
        <v>1.9571055828999999</v>
      </c>
      <c r="C116" s="4">
        <f ca="1">C160*'Total Distance Tables Sup #1'!C116*(1+'Other Assumptions'!G$54)*(1+'Active Mode Assumptions'!C18)</f>
        <v>1.962292346867198</v>
      </c>
      <c r="D116" s="4">
        <f ca="1">D160*'Total Distance Tables Sup #1'!D116*(1+'Other Assumptions'!H$54)*(1+'Active Mode Assumptions'!D18)</f>
        <v>2.3411629870881678</v>
      </c>
      <c r="E116" s="4">
        <f ca="1">E160*'Total Distance Tables Sup #1'!E116*(1+'Other Assumptions'!I$54)*(1+'Active Mode Assumptions'!E18)</f>
        <v>2.6662899635025008</v>
      </c>
      <c r="F116" s="4">
        <f ca="1">F160*'Total Distance Tables Sup #1'!F116*(1+'Other Assumptions'!J$54)*(1+'Active Mode Assumptions'!F18)</f>
        <v>3.0089743565058784</v>
      </c>
      <c r="G116" s="4">
        <f ca="1">G160*'Total Distance Tables Sup #1'!G116*(1+'Other Assumptions'!K$54)*(1+'Active Mode Assumptions'!G18)</f>
        <v>3.384983678607921</v>
      </c>
      <c r="H116" s="4">
        <f ca="1">H160*'Total Distance Tables Sup #1'!H116*(1+'Other Assumptions'!L$54)*(1+'Active Mode Assumptions'!H18)</f>
        <v>3.7596475175722706</v>
      </c>
      <c r="I116" s="1">
        <f ca="1">I160*'Total Distance Tables Sup #1'!I116*(1+'Other Assumptions'!M$54)*(1+'Active Mode Assumptions'!I18)</f>
        <v>3.6593485326964812</v>
      </c>
      <c r="J116" s="1">
        <f ca="1">J160*'Total Distance Tables Sup #1'!J116*(1+'Other Assumptions'!N$54)*(1+'Active Mode Assumptions'!J18)</f>
        <v>3.5504352674754931</v>
      </c>
      <c r="K116" s="1">
        <f ca="1">K160*'Total Distance Tables Sup #1'!K116*(1+'Other Assumptions'!O$54)*(1+'Active Mode Assumptions'!K18)</f>
        <v>3.4374090516858429</v>
      </c>
    </row>
    <row r="117" spans="1:11" x14ac:dyDescent="0.2">
      <c r="A117" t="str">
        <f ca="1">OFFSET(West_Coast_Reference,14,2)</f>
        <v>Light Vehicle Driver</v>
      </c>
      <c r="B117" s="4">
        <f ca="1">B161*'Total Distance Tables Sup #1'!B117*(1+'Other Assumptions'!D$54)-(B115*'Active Mode Assumptions'!B9*'Active Mode Assumptions'!B14/(1+'Active Mode Assumptions'!B9))-(B116*'Active Mode Assumptions'!B18*'Active Mode Assumptions'!B23/(1+'Active Mode Assumptions'!B18))</f>
        <v>226.22434741999999</v>
      </c>
      <c r="C117" s="4">
        <f ca="1">C161*'Total Distance Tables Sup #1'!C117*(1+'Other Assumptions'!G$54)-(C115*'Active Mode Assumptions'!C9*'Active Mode Assumptions'!C14/(1+'Active Mode Assumptions'!C9))-(C116*'Active Mode Assumptions'!C18*'Active Mode Assumptions'!C23/(1+'Active Mode Assumptions'!C18))</f>
        <v>226.62934605211308</v>
      </c>
      <c r="D117" s="4">
        <f ca="1">D161*'Total Distance Tables Sup #1'!D117*(1+'Other Assumptions'!H$54)-(D115*'Active Mode Assumptions'!D9*'Active Mode Assumptions'!D14/(1+'Active Mode Assumptions'!D9))-(D116*'Active Mode Assumptions'!D18*'Active Mode Assumptions'!D23/(1+'Active Mode Assumptions'!D18))</f>
        <v>226.96005588680765</v>
      </c>
      <c r="E117" s="4">
        <f ca="1">E161*'Total Distance Tables Sup #1'!E117*(1+'Other Assumptions'!I$54)-(E115*'Active Mode Assumptions'!E9*'Active Mode Assumptions'!E14/(1+'Active Mode Assumptions'!E9))-(E116*'Active Mode Assumptions'!E18*'Active Mode Assumptions'!E23/(1+'Active Mode Assumptions'!E18))</f>
        <v>226.94760888098924</v>
      </c>
      <c r="F117" s="4">
        <f ca="1">F161*'Total Distance Tables Sup #1'!F117*(1+'Other Assumptions'!J$54)-(F115*'Active Mode Assumptions'!F9*'Active Mode Assumptions'!F14/(1+'Active Mode Assumptions'!F9))-(F116*'Active Mode Assumptions'!F18*'Active Mode Assumptions'!F23/(1+'Active Mode Assumptions'!F18))</f>
        <v>225.42633029413423</v>
      </c>
      <c r="G117" s="4">
        <f ca="1">G161*'Total Distance Tables Sup #1'!G117*(1+'Other Assumptions'!K$54)-(G115*'Active Mode Assumptions'!G9*'Active Mode Assumptions'!G14/(1+'Active Mode Assumptions'!G9))-(G116*'Active Mode Assumptions'!G18*'Active Mode Assumptions'!G23/(1+'Active Mode Assumptions'!G18))</f>
        <v>221.21755245032043</v>
      </c>
      <c r="H117" s="4">
        <f ca="1">H161*'Total Distance Tables Sup #1'!H117*(1+'Other Assumptions'!L$54)-(H115*'Active Mode Assumptions'!H9*'Active Mode Assumptions'!H14/(1+'Active Mode Assumptions'!H9))-(H116*'Active Mode Assumptions'!H18*'Active Mode Assumptions'!H23/(1+'Active Mode Assumptions'!H18))</f>
        <v>216.18364258148111</v>
      </c>
      <c r="I117" s="1">
        <f ca="1">I161*'Total Distance Tables Sup #1'!I117*(1+'Other Assumptions'!M$54)-(I115*'Active Mode Assumptions'!I9*'Active Mode Assumptions'!I14/(1+'Active Mode Assumptions'!I9))-(I116*'Active Mode Assumptions'!I18*'Active Mode Assumptions'!I23/(1+'Active Mode Assumptions'!I18))</f>
        <v>210.74842884584999</v>
      </c>
      <c r="J117" s="1">
        <f ca="1">J161*'Total Distance Tables Sup #1'!J117*(1+'Other Assumptions'!N$54)-(J115*'Active Mode Assumptions'!J9*'Active Mode Assumptions'!J14/(1+'Active Mode Assumptions'!J9))-(J116*'Active Mode Assumptions'!J18*'Active Mode Assumptions'!J23/(1+'Active Mode Assumptions'!J18))</f>
        <v>204.79698403494078</v>
      </c>
      <c r="K117" s="1">
        <f ca="1">K161*'Total Distance Tables Sup #1'!K117*(1+'Other Assumptions'!O$54)-(K115*'Active Mode Assumptions'!K9*'Active Mode Assumptions'!K14/(1+'Active Mode Assumptions'!K9))-(K116*'Active Mode Assumptions'!K18*'Active Mode Assumptions'!K23/(1+'Active Mode Assumptions'!K18))</f>
        <v>198.58691344110528</v>
      </c>
    </row>
    <row r="118" spans="1:11" x14ac:dyDescent="0.2">
      <c r="A118" t="str">
        <f ca="1">OFFSET(West_Coast_Reference,21,2)</f>
        <v>Light Vehicle Passenger</v>
      </c>
      <c r="B118" s="4">
        <f ca="1">B162*'Total Distance Tables Sup #1'!B118*(1+'Other Assumptions'!D$54)-(B115*'Active Mode Assumptions'!B9*'Active Mode Assumptions'!B15/(1+'Active Mode Assumptions'!B9))-(B116*'Active Mode Assumptions'!B18*'Active Mode Assumptions'!B24/(1+'Active Mode Assumptions'!B18))</f>
        <v>160.37072223999999</v>
      </c>
      <c r="C118" s="4">
        <f ca="1">C162*'Total Distance Tables Sup #1'!C118*(1+'Other Assumptions'!G$54)-(C115*'Active Mode Assumptions'!C9*'Active Mode Assumptions'!C15/(1+'Active Mode Assumptions'!C9))-(C116*'Active Mode Assumptions'!C18*'Active Mode Assumptions'!C24/(1+'Active Mode Assumptions'!C18))</f>
        <v>154.72971452141027</v>
      </c>
      <c r="D118" s="4">
        <f ca="1">D162*'Total Distance Tables Sup #1'!D118*(1+'Other Assumptions'!H$54)-(D115*'Active Mode Assumptions'!D9*'Active Mode Assumptions'!D15/(1+'Active Mode Assumptions'!D9))-(D116*'Active Mode Assumptions'!D18*'Active Mode Assumptions'!D24/(1+'Active Mode Assumptions'!D18))</f>
        <v>151.7573282441839</v>
      </c>
      <c r="E118" s="4">
        <f ca="1">E162*'Total Distance Tables Sup #1'!E118*(1+'Other Assumptions'!I$54)-(E115*'Active Mode Assumptions'!E9*'Active Mode Assumptions'!E15/(1+'Active Mode Assumptions'!E9))-(E116*'Active Mode Assumptions'!E18*'Active Mode Assumptions'!E24/(1+'Active Mode Assumptions'!E18))</f>
        <v>148.71639232170023</v>
      </c>
      <c r="F118" s="4">
        <f ca="1">F162*'Total Distance Tables Sup #1'!F118*(1+'Other Assumptions'!J$54)-(F115*'Active Mode Assumptions'!F9*'Active Mode Assumptions'!F15/(1+'Active Mode Assumptions'!F9))-(F116*'Active Mode Assumptions'!F18*'Active Mode Assumptions'!F24/(1+'Active Mode Assumptions'!F18))</f>
        <v>144.56358526966258</v>
      </c>
      <c r="G118" s="4">
        <f ca="1">G162*'Total Distance Tables Sup #1'!G118*(1+'Other Assumptions'!K$54)-(G115*'Active Mode Assumptions'!G9*'Active Mode Assumptions'!G15/(1+'Active Mode Assumptions'!G9))-(G116*'Active Mode Assumptions'!G18*'Active Mode Assumptions'!G24/(1+'Active Mode Assumptions'!G18))</f>
        <v>139.46224174431185</v>
      </c>
      <c r="H118" s="4">
        <f ca="1">H162*'Total Distance Tables Sup #1'!H118*(1+'Other Assumptions'!L$54)-(H115*'Active Mode Assumptions'!H9*'Active Mode Assumptions'!H15/(1+'Active Mode Assumptions'!H9))-(H116*'Active Mode Assumptions'!H18*'Active Mode Assumptions'!H24/(1+'Active Mode Assumptions'!H18))</f>
        <v>133.95867425235036</v>
      </c>
      <c r="I118" s="1">
        <f ca="1">I162*'Total Distance Tables Sup #1'!I118*(1+'Other Assumptions'!M$54)-(I115*'Active Mode Assumptions'!I9*'Active Mode Assumptions'!I15/(1+'Active Mode Assumptions'!I9))-(I116*'Active Mode Assumptions'!I18*'Active Mode Assumptions'!I24/(1+'Active Mode Assumptions'!I18))</f>
        <v>130.65534733229416</v>
      </c>
      <c r="J118" s="1">
        <f ca="1">J162*'Total Distance Tables Sup #1'!J118*(1+'Other Assumptions'!N$54)-(J115*'Active Mode Assumptions'!J9*'Active Mode Assumptions'!J15/(1+'Active Mode Assumptions'!J9))-(J116*'Active Mode Assumptions'!J18*'Active Mode Assumptions'!J24/(1+'Active Mode Assumptions'!J18))</f>
        <v>127.02869129527632</v>
      </c>
      <c r="K118" s="1">
        <f ca="1">K162*'Total Distance Tables Sup #1'!K118*(1+'Other Assumptions'!O$54)-(K115*'Active Mode Assumptions'!K9*'Active Mode Assumptions'!K15/(1+'Active Mode Assumptions'!K9))-(K116*'Active Mode Assumptions'!K18*'Active Mode Assumptions'!K24/(1+'Active Mode Assumptions'!K18))</f>
        <v>123.2380363328367</v>
      </c>
    </row>
    <row r="119" spans="1:11" x14ac:dyDescent="0.2">
      <c r="A119" t="str">
        <f ca="1">OFFSET(West_Coast_Reference,28,2)</f>
        <v>Taxi/Vehicle Share</v>
      </c>
      <c r="B119" s="4">
        <f ca="1">B163*'Total Distance Tables Sup #1'!B119*(1+'Other Assumptions'!D$54)</f>
        <v>1.6916956777000001</v>
      </c>
      <c r="C119" s="4">
        <f ca="1">C163*'Total Distance Tables Sup #1'!C119*(1+'Other Assumptions'!G$54)</f>
        <v>1.7660191498965896</v>
      </c>
      <c r="D119" s="4">
        <f ca="1">D163*'Total Distance Tables Sup #1'!D119*(1+'Other Assumptions'!H$54)</f>
        <v>1.8567355654028863</v>
      </c>
      <c r="E119" s="4">
        <f ca="1">E163*'Total Distance Tables Sup #1'!E119*(1+'Other Assumptions'!I$54)</f>
        <v>1.9289516871823273</v>
      </c>
      <c r="F119" s="4">
        <f ca="1">F163*'Total Distance Tables Sup #1'!F119*(1+'Other Assumptions'!J$54)</f>
        <v>1.9697739568539874</v>
      </c>
      <c r="G119" s="4">
        <f ca="1">G163*'Total Distance Tables Sup #1'!G119*(1+'Other Assumptions'!K$54)</f>
        <v>1.9710938719705977</v>
      </c>
      <c r="H119" s="4">
        <f ca="1">H163*'Total Distance Tables Sup #1'!H119*(1+'Other Assumptions'!L$54)</f>
        <v>1.962540997715565</v>
      </c>
      <c r="I119" s="1">
        <f ca="1">I163*'Total Distance Tables Sup #1'!I119*(1+'Other Assumptions'!M$54)</f>
        <v>1.9065209403676324</v>
      </c>
      <c r="J119" s="1">
        <f ca="1">J163*'Total Distance Tables Sup #1'!J119*(1+'Other Assumptions'!N$54)</f>
        <v>1.8462130659657963</v>
      </c>
      <c r="K119" s="1">
        <f ca="1">K163*'Total Distance Tables Sup #1'!K119*(1+'Other Assumptions'!O$54)</f>
        <v>1.783981533610614</v>
      </c>
    </row>
    <row r="120" spans="1:11" x14ac:dyDescent="0.2">
      <c r="A120" t="str">
        <f ca="1">OFFSET(West_Coast_Reference,35,2)</f>
        <v>Motorcyclist</v>
      </c>
      <c r="B120" s="4">
        <f ca="1">B164*'Total Distance Tables Sup #1'!B120*(1+'Other Assumptions'!D$54)</f>
        <v>0.29466348679999999</v>
      </c>
      <c r="C120" s="4">
        <f ca="1">C164*'Total Distance Tables Sup #1'!C120*(1+'Other Assumptions'!G$54)</f>
        <v>0.2955253419715268</v>
      </c>
      <c r="D120" s="4">
        <f ca="1">D164*'Total Distance Tables Sup #1'!D120*(1+'Other Assumptions'!H$54)</f>
        <v>0.29535685291040026</v>
      </c>
      <c r="E120" s="4">
        <f ca="1">E164*'Total Distance Tables Sup #1'!E120*(1+'Other Assumptions'!I$54)</f>
        <v>0.2901656819303991</v>
      </c>
      <c r="F120" s="4">
        <f ca="1">F164*'Total Distance Tables Sup #1'!F120*(1+'Other Assumptions'!J$54)</f>
        <v>0.28182276709480097</v>
      </c>
      <c r="G120" s="4">
        <f ca="1">G164*'Total Distance Tables Sup #1'!G120*(1+'Other Assumptions'!K$54)</f>
        <v>0.26853855414258615</v>
      </c>
      <c r="H120" s="4">
        <f ca="1">H164*'Total Distance Tables Sup #1'!H120*(1+'Other Assumptions'!L$54)</f>
        <v>0.25467192752279144</v>
      </c>
      <c r="I120" s="1">
        <f ca="1">I164*'Total Distance Tables Sup #1'!I120*(1+'Other Assumptions'!M$54)</f>
        <v>0.24970211870905387</v>
      </c>
      <c r="J120" s="1">
        <f ca="1">J164*'Total Distance Tables Sup #1'!J120*(1+'Other Assumptions'!N$54)</f>
        <v>0.2440602301111465</v>
      </c>
      <c r="K120" s="1">
        <f ca="1">K164*'Total Distance Tables Sup #1'!K120*(1+'Other Assumptions'!O$54)</f>
        <v>0.23804248579210049</v>
      </c>
    </row>
    <row r="121" spans="1:11" x14ac:dyDescent="0.2">
      <c r="A121" t="str">
        <f ca="1">OFFSET(Nelson_Reference,42,2)</f>
        <v>Local Train</v>
      </c>
      <c r="B121" s="4">
        <f ca="1">B165*'Total Distance Tables Sup #1'!B121*(1+'Other Assumptions'!D$54)</f>
        <v>0</v>
      </c>
      <c r="C121" s="4">
        <f ca="1">C165*'Total Distance Tables Sup #1'!C121*(1+'Other Assumptions'!G$54)</f>
        <v>0</v>
      </c>
      <c r="D121" s="4">
        <f ca="1">D165*'Total Distance Tables Sup #1'!D121*(1+'Other Assumptions'!H$54)</f>
        <v>0</v>
      </c>
      <c r="E121" s="4">
        <f ca="1">E165*'Total Distance Tables Sup #1'!E121*(1+'Other Assumptions'!I$54)</f>
        <v>0</v>
      </c>
      <c r="F121" s="4">
        <f ca="1">F165*'Total Distance Tables Sup #1'!F121*(1+'Other Assumptions'!J$54)</f>
        <v>0</v>
      </c>
      <c r="G121" s="4">
        <f ca="1">G165*'Total Distance Tables Sup #1'!G121*(1+'Other Assumptions'!K$54)</f>
        <v>0</v>
      </c>
      <c r="H121" s="4">
        <f ca="1">H165*'Total Distance Tables Sup #1'!H121*(1+'Other Assumptions'!L$54)</f>
        <v>0</v>
      </c>
      <c r="I121" s="1">
        <f ca="1">I165*'Total Distance Tables Sup #1'!I121*(1+'Other Assumptions'!M$54)</f>
        <v>0</v>
      </c>
      <c r="J121" s="1">
        <f ca="1">J165*'Total Distance Tables Sup #1'!J121*(1+'Other Assumptions'!N$54)</f>
        <v>0</v>
      </c>
      <c r="K121" s="1">
        <f ca="1">K165*'Total Distance Tables Sup #1'!K121*(1+'Other Assumptions'!O$54)</f>
        <v>0</v>
      </c>
    </row>
    <row r="122" spans="1:11" x14ac:dyDescent="0.2">
      <c r="A122" t="str">
        <f ca="1">OFFSET(West_Coast_Reference,42,2)</f>
        <v>Local Bus</v>
      </c>
      <c r="B122" s="4">
        <f ca="1">B166*'Total Distance Tables Sup #1'!B122*(1+'Other Assumptions'!D$54)</f>
        <v>6.0600083682000001</v>
      </c>
      <c r="C122" s="4">
        <f ca="1">C166*'Total Distance Tables Sup #1'!C122*(1+'Other Assumptions'!G$54)</f>
        <v>5.4452355659328209</v>
      </c>
      <c r="D122" s="4">
        <f ca="1">D166*'Total Distance Tables Sup #1'!D122*(1+'Other Assumptions'!H$54)</f>
        <v>5.1249400771646423</v>
      </c>
      <c r="E122" s="4">
        <f ca="1">E166*'Total Distance Tables Sup #1'!E122*(1+'Other Assumptions'!I$54)</f>
        <v>4.8729888521454354</v>
      </c>
      <c r="F122" s="4">
        <f ca="1">F166*'Total Distance Tables Sup #1'!F122*(1+'Other Assumptions'!J$54)</f>
        <v>4.5505152764440666</v>
      </c>
      <c r="G122" s="4">
        <f ca="1">G166*'Total Distance Tables Sup #1'!G122*(1+'Other Assumptions'!K$54)</f>
        <v>4.2882673313873259</v>
      </c>
      <c r="H122" s="4">
        <f ca="1">H166*'Total Distance Tables Sup #1'!H122*(1+'Other Assumptions'!L$54)</f>
        <v>4.0283597735154988</v>
      </c>
      <c r="I122" s="1">
        <f ca="1">I166*'Total Distance Tables Sup #1'!I122*(1+'Other Assumptions'!M$54)</f>
        <v>3.9303307184781087</v>
      </c>
      <c r="J122" s="1">
        <f ca="1">J166*'Total Distance Tables Sup #1'!J122*(1+'Other Assumptions'!N$54)</f>
        <v>3.8223357459036786</v>
      </c>
      <c r="K122" s="1">
        <f ca="1">K166*'Total Distance Tables Sup #1'!K122*(1+'Other Assumptions'!O$54)</f>
        <v>3.7091743915263335</v>
      </c>
    </row>
    <row r="123" spans="1:11" x14ac:dyDescent="0.2">
      <c r="A123" t="str">
        <f ca="1">OFFSET(Wellington_Reference,56,2)</f>
        <v>Local Ferry</v>
      </c>
      <c r="B123" s="4">
        <f>B167*'Total Distance Tables Sup #1'!B123*(1+'Other Assumptions'!D$54)</f>
        <v>0</v>
      </c>
      <c r="C123" s="4">
        <f ca="1">C167*'Total Distance Tables Sup #1'!C123*(1+'Other Assumptions'!G$54)</f>
        <v>0</v>
      </c>
      <c r="D123" s="4">
        <f ca="1">D167*'Total Distance Tables Sup #1'!D123*(1+'Other Assumptions'!H$54)</f>
        <v>0</v>
      </c>
      <c r="E123" s="4">
        <f ca="1">E167*'Total Distance Tables Sup #1'!E123*(1+'Other Assumptions'!I$54)</f>
        <v>0</v>
      </c>
      <c r="F123" s="4">
        <f ca="1">F167*'Total Distance Tables Sup #1'!F123*(1+'Other Assumptions'!J$54)</f>
        <v>0</v>
      </c>
      <c r="G123" s="4">
        <f ca="1">G167*'Total Distance Tables Sup #1'!G123*(1+'Other Assumptions'!K$54)</f>
        <v>0</v>
      </c>
      <c r="H123" s="4">
        <f ca="1">H167*'Total Distance Tables Sup #1'!H123*(1+'Other Assumptions'!L$54)</f>
        <v>0</v>
      </c>
      <c r="I123" s="1">
        <f ca="1">I167*'Total Distance Tables Sup #1'!I123*(1+'Other Assumptions'!M$54)</f>
        <v>0</v>
      </c>
      <c r="J123" s="1">
        <f ca="1">J167*'Total Distance Tables Sup #1'!J123*(1+'Other Assumptions'!N$54)</f>
        <v>0</v>
      </c>
      <c r="K123" s="1">
        <f ca="1">K167*'Total Distance Tables Sup #1'!K123*(1+'Other Assumptions'!O$54)</f>
        <v>0</v>
      </c>
    </row>
    <row r="124" spans="1:11" x14ac:dyDescent="0.2">
      <c r="A124" t="str">
        <f ca="1">OFFSET(West_Coast_Reference,49,2)</f>
        <v>Other Household Travel</v>
      </c>
      <c r="B124" s="4">
        <f ca="1">B168*'Total Distance Tables Sup #1'!B124*(1+'Other Assumptions'!D$54)</f>
        <v>0</v>
      </c>
      <c r="C124" s="4">
        <f ca="1">C168*'Total Distance Tables Sup #1'!C124*(1+'Other Assumptions'!G$54)</f>
        <v>0</v>
      </c>
      <c r="D124" s="4">
        <f ca="1">D168*'Total Distance Tables Sup #1'!D124*(1+'Other Assumptions'!H$54)</f>
        <v>0</v>
      </c>
      <c r="E124" s="4">
        <f ca="1">E168*'Total Distance Tables Sup #1'!E124*(1+'Other Assumptions'!I$54)</f>
        <v>0</v>
      </c>
      <c r="F124" s="4">
        <f ca="1">F168*'Total Distance Tables Sup #1'!F124*(1+'Other Assumptions'!J$54)</f>
        <v>0</v>
      </c>
      <c r="G124" s="4">
        <f ca="1">G168*'Total Distance Tables Sup #1'!G124*(1+'Other Assumptions'!K$54)</f>
        <v>0</v>
      </c>
      <c r="H124" s="4">
        <f ca="1">H168*'Total Distance Tables Sup #1'!H124*(1+'Other Assumptions'!L$54)</f>
        <v>0</v>
      </c>
      <c r="I124" s="1">
        <f ca="1">I168*'Total Distance Tables Sup #1'!I124*(1+'Other Assumptions'!M$54)</f>
        <v>0</v>
      </c>
      <c r="J124" s="1">
        <f ca="1">J168*'Total Distance Tables Sup #1'!J124*(1+'Other Assumptions'!N$54)</f>
        <v>0</v>
      </c>
      <c r="K124" s="1">
        <f ca="1">K168*'Total Distance Tables Sup #1'!K124*(1+'Other Assumptions'!O$54)</f>
        <v>0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B159*'Total Distance Tables Sup #1'!B126*(1+'Other Assumptions'!D$55)*(1+'Active Mode Assumptions'!B9)</f>
        <v>113.37513976</v>
      </c>
      <c r="C126" s="4">
        <f ca="1">C159*'Total Distance Tables Sup #1'!C126*(1+'Other Assumptions'!G$55)*(1+'Active Mode Assumptions'!C9)</f>
        <v>125.02432096179562</v>
      </c>
      <c r="D126" s="4">
        <f ca="1">D159*'Total Distance Tables Sup #1'!D126*(1+'Other Assumptions'!H$55)*(1+'Active Mode Assumptions'!D9)</f>
        <v>137.06212301183601</v>
      </c>
      <c r="E126" s="4">
        <f ca="1">E159*'Total Distance Tables Sup #1'!E126*(1+'Other Assumptions'!I$55)*(1+'Active Mode Assumptions'!E9)</f>
        <v>146.43689355763888</v>
      </c>
      <c r="F126" s="4">
        <f ca="1">F159*'Total Distance Tables Sup #1'!F126*(1+'Other Assumptions'!J$55)*(1+'Active Mode Assumptions'!F9)</f>
        <v>154.53275885062831</v>
      </c>
      <c r="G126" s="4">
        <f ca="1">G159*'Total Distance Tables Sup #1'!G126*(1+'Other Assumptions'!K$55)*(1+'Active Mode Assumptions'!G9)</f>
        <v>162.39161469981431</v>
      </c>
      <c r="H126" s="4">
        <f ca="1">H159*'Total Distance Tables Sup #1'!H126*(1+'Other Assumptions'!L$55)*(1+'Active Mode Assumptions'!H9)</f>
        <v>169.79397992201393</v>
      </c>
      <c r="I126" s="1">
        <f ca="1">I159*'Total Distance Tables Sup #1'!I126*(1+'Other Assumptions'!M$55)*(1+'Active Mode Assumptions'!I9)</f>
        <v>175.24719844679544</v>
      </c>
      <c r="J126" s="1">
        <f ca="1">J159*'Total Distance Tables Sup #1'!J126*(1+'Other Assumptions'!N$55)*(1+'Active Mode Assumptions'!J9)</f>
        <v>180.31829947726513</v>
      </c>
      <c r="K126" s="1">
        <f ca="1">K159*'Total Distance Tables Sup #1'!K126*(1+'Other Assumptions'!O$55)*(1+'Active Mode Assumptions'!K9)</f>
        <v>185.15607157482233</v>
      </c>
    </row>
    <row r="127" spans="1:11" x14ac:dyDescent="0.2">
      <c r="A127" t="str">
        <f ca="1">OFFSET(Canterbury_Reference,7,2)</f>
        <v>Cyclist</v>
      </c>
      <c r="B127" s="4">
        <f ca="1">B160*'Total Distance Tables Sup #1'!B127*(1+'Other Assumptions'!D$55)*(1+'Active Mode Assumptions'!B18)</f>
        <v>97.023488555</v>
      </c>
      <c r="C127" s="4">
        <f ca="1">C160*'Total Distance Tables Sup #1'!C127*(1+'Other Assumptions'!G$55)*(1+'Active Mode Assumptions'!C18)</f>
        <v>110.88872294128524</v>
      </c>
      <c r="D127" s="4">
        <f ca="1">D160*'Total Distance Tables Sup #1'!D127*(1+'Other Assumptions'!H$55)*(1+'Active Mode Assumptions'!D18)</f>
        <v>142.45323139317256</v>
      </c>
      <c r="E127" s="4">
        <f ca="1">E160*'Total Distance Tables Sup #1'!E127*(1+'Other Assumptions'!I$55)*(1+'Active Mode Assumptions'!E18)</f>
        <v>172.49168401847305</v>
      </c>
      <c r="F127" s="4">
        <f ca="1">F160*'Total Distance Tables Sup #1'!F127*(1+'Other Assumptions'!J$55)*(1+'Active Mode Assumptions'!F18)</f>
        <v>206.79369987237229</v>
      </c>
      <c r="G127" s="4">
        <f ca="1">G160*'Total Distance Tables Sup #1'!G127*(1+'Other Assumptions'!K$55)*(1+'Active Mode Assumptions'!G18)</f>
        <v>247.10480078494831</v>
      </c>
      <c r="H127" s="4">
        <f ca="1">H160*'Total Distance Tables Sup #1'!H127*(1+'Other Assumptions'!L$55)*(1+'Active Mode Assumptions'!H18)</f>
        <v>291.18859432408266</v>
      </c>
      <c r="I127" s="1">
        <f ca="1">I160*'Total Distance Tables Sup #1'!I127*(1+'Other Assumptions'!M$55)*(1+'Active Mode Assumptions'!I18)</f>
        <v>300.7255688560133</v>
      </c>
      <c r="J127" s="1">
        <f ca="1">J160*'Total Distance Tables Sup #1'!J127*(1+'Other Assumptions'!N$55)*(1+'Active Mode Assumptions'!J18)</f>
        <v>309.6160292430074</v>
      </c>
      <c r="K127" s="1">
        <f ca="1">K160*'Total Distance Tables Sup #1'!K127*(1+'Other Assumptions'!O$55)*(1+'Active Mode Assumptions'!K18)</f>
        <v>318.11448321742256</v>
      </c>
    </row>
    <row r="128" spans="1:11" x14ac:dyDescent="0.2">
      <c r="A128" t="str">
        <f ca="1">OFFSET(Canterbury_Reference,14,2)</f>
        <v>Light Vehicle Driver</v>
      </c>
      <c r="B128" s="4">
        <f ca="1">B161*'Total Distance Tables Sup #1'!B128*(1+'Other Assumptions'!D$55)-(B126*'Active Mode Assumptions'!B9*'Active Mode Assumptions'!B14/(1+'Active Mode Assumptions'!B9))-(B127*'Active Mode Assumptions'!B18*'Active Mode Assumptions'!B23/(1+'Active Mode Assumptions'!B18))</f>
        <v>3777.041205</v>
      </c>
      <c r="C128" s="4">
        <f ca="1">C161*'Total Distance Tables Sup #1'!C128*(1+'Other Assumptions'!G$55)-(C126*'Active Mode Assumptions'!C9*'Active Mode Assumptions'!C14/(1+'Active Mode Assumptions'!C9))-(C127*'Active Mode Assumptions'!C18*'Active Mode Assumptions'!C23/(1+'Active Mode Assumptions'!C18))</f>
        <v>4313.1003821997683</v>
      </c>
      <c r="D128" s="4">
        <f ca="1">D161*'Total Distance Tables Sup #1'!D128*(1+'Other Assumptions'!H$55)-(D126*'Active Mode Assumptions'!D9*'Active Mode Assumptions'!D14/(1+'Active Mode Assumptions'!D9))-(D127*'Active Mode Assumptions'!D18*'Active Mode Assumptions'!D23/(1+'Active Mode Assumptions'!D18))</f>
        <v>4646.5778438610932</v>
      </c>
      <c r="E128" s="4">
        <f ca="1">E161*'Total Distance Tables Sup #1'!E128*(1+'Other Assumptions'!I$55)-(E126*'Active Mode Assumptions'!E9*'Active Mode Assumptions'!E14/(1+'Active Mode Assumptions'!E9))-(E127*'Active Mode Assumptions'!E18*'Active Mode Assumptions'!E23/(1+'Active Mode Assumptions'!E18))</f>
        <v>4935.6294723494502</v>
      </c>
      <c r="F128" s="4">
        <f ca="1">F161*'Total Distance Tables Sup #1'!F128*(1+'Other Assumptions'!J$55)-(F126*'Active Mode Assumptions'!F9*'Active Mode Assumptions'!F14/(1+'Active Mode Assumptions'!F9))-(F127*'Active Mode Assumptions'!F18*'Active Mode Assumptions'!F23/(1+'Active Mode Assumptions'!F18))</f>
        <v>5203.4650646409573</v>
      </c>
      <c r="G128" s="4">
        <f ca="1">G161*'Total Distance Tables Sup #1'!G128*(1+'Other Assumptions'!K$55)-(G126*'Active Mode Assumptions'!G9*'Active Mode Assumptions'!G14/(1+'Active Mode Assumptions'!G9))-(G127*'Active Mode Assumptions'!G18*'Active Mode Assumptions'!G23/(1+'Active Mode Assumptions'!G18))</f>
        <v>5418.7087697885518</v>
      </c>
      <c r="H128" s="4">
        <f ca="1">H161*'Total Distance Tables Sup #1'!H128*(1+'Other Assumptions'!L$55)-(H126*'Active Mode Assumptions'!H9*'Active Mode Assumptions'!H14/(1+'Active Mode Assumptions'!H9))-(H127*'Active Mode Assumptions'!H18*'Active Mode Assumptions'!H23/(1+'Active Mode Assumptions'!H18))</f>
        <v>5612.5973907215384</v>
      </c>
      <c r="I128" s="1">
        <f ca="1">I161*'Total Distance Tables Sup #1'!I128*(1+'Other Assumptions'!M$55)-(I126*'Active Mode Assumptions'!I9*'Active Mode Assumptions'!I14/(1+'Active Mode Assumptions'!I9))-(I127*'Active Mode Assumptions'!I18*'Active Mode Assumptions'!I23/(1+'Active Mode Assumptions'!I18))</f>
        <v>5805.6129199971165</v>
      </c>
      <c r="J128" s="1">
        <f ca="1">J161*'Total Distance Tables Sup #1'!J128*(1+'Other Assumptions'!N$55)-(J126*'Active Mode Assumptions'!J9*'Active Mode Assumptions'!J14/(1+'Active Mode Assumptions'!J9))-(J127*'Active Mode Assumptions'!J18*'Active Mode Assumptions'!J23/(1+'Active Mode Assumptions'!J18))</f>
        <v>5986.6772400670716</v>
      </c>
      <c r="K128" s="1">
        <f ca="1">K161*'Total Distance Tables Sup #1'!K128*(1+'Other Assumptions'!O$55)-(K126*'Active Mode Assumptions'!K9*'Active Mode Assumptions'!K14/(1+'Active Mode Assumptions'!K9))-(K127*'Active Mode Assumptions'!K18*'Active Mode Assumptions'!K23/(1+'Active Mode Assumptions'!K18))</f>
        <v>6160.6505629717713</v>
      </c>
    </row>
    <row r="129" spans="1:11" x14ac:dyDescent="0.2">
      <c r="A129" t="str">
        <f ca="1">OFFSET(Canterbury_Reference,21,2)</f>
        <v>Light Vehicle Passenger</v>
      </c>
      <c r="B129" s="4">
        <f ca="1">B162*'Total Distance Tables Sup #1'!B129*(1+'Other Assumptions'!D$55)-(B126*'Active Mode Assumptions'!B9*'Active Mode Assumptions'!B15/(1+'Active Mode Assumptions'!B9))-(B127*'Active Mode Assumptions'!B18*'Active Mode Assumptions'!B24/(1+'Active Mode Assumptions'!B18))</f>
        <v>2033.7115475000001</v>
      </c>
      <c r="C129" s="4">
        <f ca="1">C162*'Total Distance Tables Sup #1'!C129*(1+'Other Assumptions'!G$55)-(C126*'Active Mode Assumptions'!C9*'Active Mode Assumptions'!C15/(1+'Active Mode Assumptions'!C9))-(C127*'Active Mode Assumptions'!C18*'Active Mode Assumptions'!C24/(1+'Active Mode Assumptions'!C18))</f>
        <v>2236.6551820187465</v>
      </c>
      <c r="D129" s="4">
        <f ca="1">D162*'Total Distance Tables Sup #1'!D129*(1+'Other Assumptions'!H$55)-(D126*'Active Mode Assumptions'!D9*'Active Mode Assumptions'!D15/(1+'Active Mode Assumptions'!D9))-(D127*'Active Mode Assumptions'!D18*'Active Mode Assumptions'!D24/(1+'Active Mode Assumptions'!D18))</f>
        <v>2357.0156195367736</v>
      </c>
      <c r="E129" s="4">
        <f ca="1">E162*'Total Distance Tables Sup #1'!E129*(1+'Other Assumptions'!I$55)-(E126*'Active Mode Assumptions'!E9*'Active Mode Assumptions'!E15/(1+'Active Mode Assumptions'!E9))-(E127*'Active Mode Assumptions'!E18*'Active Mode Assumptions'!E24/(1+'Active Mode Assumptions'!E18))</f>
        <v>2450.5834220286097</v>
      </c>
      <c r="F129" s="4">
        <f ca="1">F162*'Total Distance Tables Sup #1'!F129*(1+'Other Assumptions'!J$55)-(F126*'Active Mode Assumptions'!F9*'Active Mode Assumptions'!F15/(1+'Active Mode Assumptions'!F9))-(F127*'Active Mode Assumptions'!F18*'Active Mode Assumptions'!F24/(1+'Active Mode Assumptions'!F18))</f>
        <v>2525.0218436890168</v>
      </c>
      <c r="G129" s="4">
        <f ca="1">G162*'Total Distance Tables Sup #1'!G129*(1+'Other Assumptions'!K$55)-(G126*'Active Mode Assumptions'!G9*'Active Mode Assumptions'!G15/(1+'Active Mode Assumptions'!G9))-(G127*'Active Mode Assumptions'!G18*'Active Mode Assumptions'!G24/(1+'Active Mode Assumptions'!G18))</f>
        <v>2581.1296770903559</v>
      </c>
      <c r="H129" s="4">
        <f ca="1">H162*'Total Distance Tables Sup #1'!H129*(1+'Other Assumptions'!L$55)-(H126*'Active Mode Assumptions'!H9*'Active Mode Assumptions'!H15/(1+'Active Mode Assumptions'!H9))-(H127*'Active Mode Assumptions'!H18*'Active Mode Assumptions'!H24/(1+'Active Mode Assumptions'!H18))</f>
        <v>2623.5077633026167</v>
      </c>
      <c r="I129" s="1">
        <f ca="1">I162*'Total Distance Tables Sup #1'!I129*(1+'Other Assumptions'!M$55)-(I126*'Active Mode Assumptions'!I9*'Active Mode Assumptions'!I15/(1+'Active Mode Assumptions'!I9))-(I127*'Active Mode Assumptions'!I18*'Active Mode Assumptions'!I24/(1+'Active Mode Assumptions'!I18))</f>
        <v>2715.1188180862919</v>
      </c>
      <c r="J129" s="1">
        <f ca="1">J162*'Total Distance Tables Sup #1'!J129*(1+'Other Assumptions'!N$55)-(J126*'Active Mode Assumptions'!J9*'Active Mode Assumptions'!J15/(1+'Active Mode Assumptions'!J9))-(J127*'Active Mode Assumptions'!J18*'Active Mode Assumptions'!J24/(1+'Active Mode Assumptions'!J18))</f>
        <v>2801.2344652331144</v>
      </c>
      <c r="K129" s="1">
        <f ca="1">K162*'Total Distance Tables Sup #1'!K129*(1+'Other Assumptions'!O$55)-(K126*'Active Mode Assumptions'!K9*'Active Mode Assumptions'!K15/(1+'Active Mode Assumptions'!K9))-(K127*'Active Mode Assumptions'!K18*'Active Mode Assumptions'!K24/(1+'Active Mode Assumptions'!K18))</f>
        <v>2884.1208654346005</v>
      </c>
    </row>
    <row r="130" spans="1:11" x14ac:dyDescent="0.2">
      <c r="A130" t="str">
        <f ca="1">OFFSET(Canterbury_Reference,28,2)</f>
        <v>Taxi/Vehicle Share</v>
      </c>
      <c r="B130" s="4">
        <f ca="1">B163*'Total Distance Tables Sup #1'!B130*(1+'Other Assumptions'!D$55)</f>
        <v>16.530142167000001</v>
      </c>
      <c r="C130" s="4">
        <f ca="1">C163*'Total Distance Tables Sup #1'!C130*(1+'Other Assumptions'!G$55)</f>
        <v>19.670291653954127</v>
      </c>
      <c r="D130" s="4">
        <f ca="1">D163*'Total Distance Tables Sup #1'!D130*(1+'Other Assumptions'!H$55)</f>
        <v>22.268062466783064</v>
      </c>
      <c r="E130" s="4">
        <f ca="1">E163*'Total Distance Tables Sup #1'!E130*(1+'Other Assumptions'!I$55)</f>
        <v>24.596530623567766</v>
      </c>
      <c r="F130" s="4">
        <f ca="1">F163*'Total Distance Tables Sup #1'!F130*(1+'Other Assumptions'!J$55)</f>
        <v>26.682525124442236</v>
      </c>
      <c r="G130" s="4">
        <f ca="1">G163*'Total Distance Tables Sup #1'!G130*(1+'Other Assumptions'!K$55)</f>
        <v>28.36113653727508</v>
      </c>
      <c r="H130" s="4">
        <f ca="1">H163*'Total Distance Tables Sup #1'!H130*(1+'Other Assumptions'!L$55)</f>
        <v>29.959715631971573</v>
      </c>
      <c r="I130" s="1">
        <f ca="1">I163*'Total Distance Tables Sup #1'!I130*(1+'Other Assumptions'!M$55)</f>
        <v>30.881606023929773</v>
      </c>
      <c r="J130" s="1">
        <f ca="1">J163*'Total Distance Tables Sup #1'!J130*(1+'Other Assumptions'!N$55)</f>
        <v>31.733310183878025</v>
      </c>
      <c r="K130" s="1">
        <f ca="1">K163*'Total Distance Tables Sup #1'!K130*(1+'Other Assumptions'!O$55)</f>
        <v>32.541255102664877</v>
      </c>
    </row>
    <row r="131" spans="1:11" x14ac:dyDescent="0.2">
      <c r="A131" t="str">
        <f ca="1">OFFSET(Canterbury_Reference,35,2)</f>
        <v>Motorcyclist</v>
      </c>
      <c r="B131" s="4">
        <f ca="1">B164*'Total Distance Tables Sup #1'!B131*(1+'Other Assumptions'!D$55)</f>
        <v>12.048552727000001</v>
      </c>
      <c r="C131" s="4">
        <f ca="1">C164*'Total Distance Tables Sup #1'!C131*(1+'Other Assumptions'!G$55)</f>
        <v>13.77413481042913</v>
      </c>
      <c r="D131" s="4">
        <f ca="1">D164*'Total Distance Tables Sup #1'!D131*(1+'Other Assumptions'!H$55)</f>
        <v>14.82291561999223</v>
      </c>
      <c r="E131" s="4">
        <f ca="1">E164*'Total Distance Tables Sup #1'!E131*(1+'Other Assumptions'!I$55)</f>
        <v>15.482916083547073</v>
      </c>
      <c r="F131" s="4">
        <f ca="1">F164*'Total Distance Tables Sup #1'!F131*(1+'Other Assumptions'!J$55)</f>
        <v>15.974998295449305</v>
      </c>
      <c r="G131" s="4">
        <f ca="1">G164*'Total Distance Tables Sup #1'!G131*(1+'Other Assumptions'!K$55)</f>
        <v>16.168777290861655</v>
      </c>
      <c r="H131" s="4">
        <f ca="1">H164*'Total Distance Tables Sup #1'!H131*(1+'Other Assumptions'!L$55)</f>
        <v>16.268751823106737</v>
      </c>
      <c r="I131" s="1">
        <f ca="1">I164*'Total Distance Tables Sup #1'!I131*(1+'Other Assumptions'!M$55)</f>
        <v>16.925236098938754</v>
      </c>
      <c r="J131" s="1">
        <f ca="1">J164*'Total Distance Tables Sup #1'!J131*(1+'Other Assumptions'!N$55)</f>
        <v>17.554351205731514</v>
      </c>
      <c r="K131" s="1">
        <f ca="1">K164*'Total Distance Tables Sup #1'!K131*(1+'Other Assumptions'!O$55)</f>
        <v>18.169903952111419</v>
      </c>
    </row>
    <row r="132" spans="1:11" x14ac:dyDescent="0.2">
      <c r="A132" t="str">
        <f ca="1">OFFSET(Canterbury_Reference,42,2)</f>
        <v>Local Train</v>
      </c>
      <c r="B132" s="4">
        <f ca="1">B165*'Total Distance Tables Sup #1'!B132*(1+'Other Assumptions'!D$55)</f>
        <v>0</v>
      </c>
      <c r="C132" s="4">
        <f ca="1">C165*'Total Distance Tables Sup #1'!C132*(1+'Other Assumptions'!G$55)</f>
        <v>0</v>
      </c>
      <c r="D132" s="4">
        <f ca="1">D165*'Total Distance Tables Sup #1'!D132*(1+'Other Assumptions'!H$55)</f>
        <v>0</v>
      </c>
      <c r="E132" s="4">
        <f ca="1">E165*'Total Distance Tables Sup #1'!E132*(1+'Other Assumptions'!I$55)</f>
        <v>0</v>
      </c>
      <c r="F132" s="4">
        <f ca="1">F165*'Total Distance Tables Sup #1'!F132*(1+'Other Assumptions'!J$55)</f>
        <v>0</v>
      </c>
      <c r="G132" s="4">
        <f ca="1">G165*'Total Distance Tables Sup #1'!G132*(1+'Other Assumptions'!K$55)</f>
        <v>0</v>
      </c>
      <c r="H132" s="4">
        <f ca="1">H165*'Total Distance Tables Sup #1'!H132*(1+'Other Assumptions'!L$55)</f>
        <v>0</v>
      </c>
      <c r="I132" s="1">
        <f ca="1">I165*'Total Distance Tables Sup #1'!I132*(1+'Other Assumptions'!M$55)</f>
        <v>0</v>
      </c>
      <c r="J132" s="1">
        <f ca="1">J165*'Total Distance Tables Sup #1'!J132*(1+'Other Assumptions'!N$55)</f>
        <v>0</v>
      </c>
      <c r="K132" s="1">
        <f ca="1">K165*'Total Distance Tables Sup #1'!K132*(1+'Other Assumptions'!O$55)</f>
        <v>0</v>
      </c>
    </row>
    <row r="133" spans="1:11" x14ac:dyDescent="0.2">
      <c r="A133" t="str">
        <f ca="1">OFFSET(Canterbury_Reference,49,2)</f>
        <v>Local Bus</v>
      </c>
      <c r="B133" s="4">
        <f ca="1">'Total Distance Tables Sup #1'!B133*(1+'Other Assumptions'!D$55)</f>
        <v>174.53993166999999</v>
      </c>
      <c r="C133" s="4">
        <f ca="1">'Total Distance Tables Sup #1'!C133*(1+'Other Assumptions'!G$55)</f>
        <v>178.40772453</v>
      </c>
      <c r="D133" s="4">
        <f ca="1">'Total Distance Tables Sup #1'!D133*(1+'Other Assumptions'!H$55)</f>
        <v>176.99843539</v>
      </c>
      <c r="E133" s="4">
        <f ca="1">'Total Distance Tables Sup #1'!E133*(1+'Other Assumptions'!I$55)</f>
        <v>177.62065634000001</v>
      </c>
      <c r="F133" s="4">
        <f ca="1">'Total Distance Tables Sup #1'!F133*(1+'Other Assumptions'!J$55)</f>
        <v>174.22242717</v>
      </c>
      <c r="G133" s="4">
        <f ca="1">'Total Distance Tables Sup #1'!G133*(1+'Other Assumptions'!K$55)</f>
        <v>170.48597458</v>
      </c>
      <c r="H133" s="4">
        <f ca="1">'Total Distance Tables Sup #1'!H133*(1+'Other Assumptions'!L$55)</f>
        <v>166.02331469000001</v>
      </c>
      <c r="I133" s="1">
        <f ca="1">'Total Distance Tables Sup #1'!I133*(1+'Other Assumptions'!M$55)</f>
        <v>166.02331469000001</v>
      </c>
      <c r="J133" s="1">
        <f ca="1">'Total Distance Tables Sup #1'!J133*(1+'Other Assumptions'!N$55)</f>
        <v>166.02331469000001</v>
      </c>
      <c r="K133" s="1">
        <f ca="1">'Total Distance Tables Sup #1'!K133*(1+'Other Assumptions'!O$55)</f>
        <v>166.02331469000001</v>
      </c>
    </row>
    <row r="134" spans="1:11" x14ac:dyDescent="0.2">
      <c r="A134" t="str">
        <f ca="1">OFFSET(Wellington_Reference,56,2)</f>
        <v>Local Ferry</v>
      </c>
      <c r="B134" s="4">
        <f>B167*'Total Distance Tables Sup #1'!B134*(1+'Other Assumptions'!D$55)</f>
        <v>0</v>
      </c>
      <c r="C134" s="4">
        <f ca="1">C167*'Total Distance Tables Sup #1'!C134*(1+'Other Assumptions'!G$55)</f>
        <v>0</v>
      </c>
      <c r="D134" s="4">
        <f ca="1">D167*'Total Distance Tables Sup #1'!D134*(1+'Other Assumptions'!H$55)</f>
        <v>0</v>
      </c>
      <c r="E134" s="4">
        <f ca="1">E167*'Total Distance Tables Sup #1'!E134*(1+'Other Assumptions'!I$55)</f>
        <v>0</v>
      </c>
      <c r="F134" s="4">
        <f ca="1">F167*'Total Distance Tables Sup #1'!F134*(1+'Other Assumptions'!J$55)</f>
        <v>0</v>
      </c>
      <c r="G134" s="4">
        <f ca="1">G167*'Total Distance Tables Sup #1'!G134*(1+'Other Assumptions'!K$55)</f>
        <v>0</v>
      </c>
      <c r="H134" s="4">
        <f ca="1">H167*'Total Distance Tables Sup #1'!H134*(1+'Other Assumptions'!L$55)</f>
        <v>0</v>
      </c>
      <c r="I134" s="1">
        <f ca="1">I167*'Total Distance Tables Sup #1'!I134*(1+'Other Assumptions'!M$55)</f>
        <v>0</v>
      </c>
      <c r="J134" s="1">
        <f ca="1">J167*'Total Distance Tables Sup #1'!J134*(1+'Other Assumptions'!N$55)</f>
        <v>0</v>
      </c>
      <c r="K134" s="1">
        <f ca="1">K167*'Total Distance Tables Sup #1'!K134*(1+'Other Assumptions'!O$55)</f>
        <v>0</v>
      </c>
    </row>
    <row r="135" spans="1:11" x14ac:dyDescent="0.2">
      <c r="A135" t="str">
        <f ca="1">OFFSET(Canterbury_Reference,56,2)</f>
        <v>Other Household Travel</v>
      </c>
      <c r="B135" s="4">
        <f ca="1">B168*'Total Distance Tables Sup #1'!B135*(1+'Other Assumptions'!D$55)</f>
        <v>0</v>
      </c>
      <c r="C135" s="4">
        <f ca="1">C168*'Total Distance Tables Sup #1'!C135*(1+'Other Assumptions'!G$55)</f>
        <v>0</v>
      </c>
      <c r="D135" s="4">
        <f ca="1">D168*'Total Distance Tables Sup #1'!D135*(1+'Other Assumptions'!H$55)</f>
        <v>0</v>
      </c>
      <c r="E135" s="4">
        <f ca="1">E168*'Total Distance Tables Sup #1'!E135*(1+'Other Assumptions'!I$55)</f>
        <v>0</v>
      </c>
      <c r="F135" s="4">
        <f ca="1">F168*'Total Distance Tables Sup #1'!F135*(1+'Other Assumptions'!J$55)</f>
        <v>0</v>
      </c>
      <c r="G135" s="4">
        <f ca="1">G168*'Total Distance Tables Sup #1'!G135*(1+'Other Assumptions'!K$55)</f>
        <v>0</v>
      </c>
      <c r="H135" s="4">
        <f ca="1">H168*'Total Distance Tables Sup #1'!H135*(1+'Other Assumptions'!L$55)</f>
        <v>0</v>
      </c>
      <c r="I135" s="1">
        <f ca="1">I168*'Total Distance Tables Sup #1'!I135*(1+'Other Assumptions'!M$55)</f>
        <v>0</v>
      </c>
      <c r="J135" s="1">
        <f ca="1">J168*'Total Distance Tables Sup #1'!J135*(1+'Other Assumptions'!N$55)</f>
        <v>0</v>
      </c>
      <c r="K135" s="1">
        <f ca="1">K168*'Total Distance Tables Sup #1'!K135*(1+'Other Assumptions'!O$55)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B159*'Total Distance Tables Sup #1'!B137*(1+'Other Assumptions'!D$56)*(1+'Active Mode Assumptions'!B9)</f>
        <v>45.829100335</v>
      </c>
      <c r="C137" s="4">
        <f ca="1">C159*'Total Distance Tables Sup #1'!C137*(1+'Other Assumptions'!G$56)*(1+'Active Mode Assumptions'!C9)</f>
        <v>50.425256907630242</v>
      </c>
      <c r="D137" s="4">
        <f ca="1">D159*'Total Distance Tables Sup #1'!D137*(1+'Other Assumptions'!H$56)*(1+'Active Mode Assumptions'!D9)</f>
        <v>55.13219747898998</v>
      </c>
      <c r="E137" s="4">
        <f ca="1">E159*'Total Distance Tables Sup #1'!E137*(1+'Other Assumptions'!I$56)*(1+'Active Mode Assumptions'!E9)</f>
        <v>58.612242683363149</v>
      </c>
      <c r="F137" s="4">
        <f ca="1">F159*'Total Distance Tables Sup #1'!F137*(1+'Other Assumptions'!J$56)*(1+'Active Mode Assumptions'!F9)</f>
        <v>61.56511526082501</v>
      </c>
      <c r="G137" s="4">
        <f ca="1">G159*'Total Distance Tables Sup #1'!G137*(1+'Other Assumptions'!K$56)*(1+'Active Mode Assumptions'!G9)</f>
        <v>64.370931580519638</v>
      </c>
      <c r="H137" s="4">
        <f ca="1">H159*'Total Distance Tables Sup #1'!H137*(1+'Other Assumptions'!L$56)*(1+'Active Mode Assumptions'!H9)</f>
        <v>66.988740647918789</v>
      </c>
      <c r="I137" s="1">
        <f ca="1">I159*'Total Distance Tables Sup #1'!I137*(1+'Other Assumptions'!M$56)*(1+'Active Mode Assumptions'!I9)</f>
        <v>68.811641436269298</v>
      </c>
      <c r="J137" s="1">
        <f ca="1">J159*'Total Distance Tables Sup #1'!J137*(1+'Other Assumptions'!N$56)*(1+'Active Mode Assumptions'!J9)</f>
        <v>70.463319116794096</v>
      </c>
      <c r="K137" s="1">
        <f ca="1">K159*'Total Distance Tables Sup #1'!K137*(1+'Other Assumptions'!O$56)*(1+'Active Mode Assumptions'!K9)</f>
        <v>72.004215845891792</v>
      </c>
    </row>
    <row r="138" spans="1:11" x14ac:dyDescent="0.2">
      <c r="A138" t="str">
        <f ca="1">OFFSET(Otago_Reference,7,2)</f>
        <v>Cyclist</v>
      </c>
      <c r="B138" s="4">
        <f ca="1">B160*'Total Distance Tables Sup #1'!B138*(1+'Other Assumptions'!D$56)*(1+'Active Mode Assumptions'!B18)</f>
        <v>16.325352069000001</v>
      </c>
      <c r="C138" s="4">
        <f ca="1">C160*'Total Distance Tables Sup #1'!C138*(1+'Other Assumptions'!G$56)*(1+'Active Mode Assumptions'!C18)</f>
        <v>18.616720160930814</v>
      </c>
      <c r="D138" s="4">
        <f ca="1">D160*'Total Distance Tables Sup #1'!D138*(1+'Other Assumptions'!H$56)*(1+'Active Mode Assumptions'!D18)</f>
        <v>23.851864166644276</v>
      </c>
      <c r="E138" s="4">
        <f ca="1">E160*'Total Distance Tables Sup #1'!E138*(1+'Other Assumptions'!I$56)*(1+'Active Mode Assumptions'!E18)</f>
        <v>28.738769397869824</v>
      </c>
      <c r="F138" s="4">
        <f ca="1">F160*'Total Distance Tables Sup #1'!F138*(1+'Other Assumptions'!J$56)*(1+'Active Mode Assumptions'!F18)</f>
        <v>34.29364248671682</v>
      </c>
      <c r="G138" s="4">
        <f ca="1">G160*'Total Distance Tables Sup #1'!G138*(1+'Other Assumptions'!K$56)*(1+'Active Mode Assumptions'!G18)</f>
        <v>40.77270742983282</v>
      </c>
      <c r="H138" s="4">
        <f ca="1">H160*'Total Distance Tables Sup #1'!H138*(1+'Other Assumptions'!L$56)*(1+'Active Mode Assumptions'!H18)</f>
        <v>47.820714285675841</v>
      </c>
      <c r="I138" s="1">
        <f ca="1">I160*'Total Distance Tables Sup #1'!I138*(1+'Other Assumptions'!M$56)*(1+'Active Mode Assumptions'!I18)</f>
        <v>49.152245417339401</v>
      </c>
      <c r="J138" s="1">
        <f ca="1">J160*'Total Distance Tables Sup #1'!J138*(1+'Other Assumptions'!N$56)*(1+'Active Mode Assumptions'!J18)</f>
        <v>50.362688239487589</v>
      </c>
      <c r="K138" s="1">
        <f ca="1">K160*'Total Distance Tables Sup #1'!K138*(1+'Other Assumptions'!O$56)*(1+'Active Mode Assumptions'!K18)</f>
        <v>51.495061739492783</v>
      </c>
    </row>
    <row r="139" spans="1:11" x14ac:dyDescent="0.2">
      <c r="A139" t="str">
        <f ca="1">OFFSET(Otago_Reference,14,2)</f>
        <v>Light Vehicle Driver</v>
      </c>
      <c r="B139" s="4">
        <f ca="1">B161*'Total Distance Tables Sup #1'!B139*(1+'Other Assumptions'!D$56)-(B137*'Active Mode Assumptions'!B9*'Active Mode Assumptions'!B14/(1+'Active Mode Assumptions'!B9))-(B138*'Active Mode Assumptions'!B18*'Active Mode Assumptions'!B23/(1+'Active Mode Assumptions'!B18))</f>
        <v>1192.1699989000001</v>
      </c>
      <c r="C139" s="4">
        <f ca="1">C161*'Total Distance Tables Sup #1'!C139*(1+'Other Assumptions'!G$56)-(C137*'Active Mode Assumptions'!C9*'Active Mode Assumptions'!C14/(1+'Active Mode Assumptions'!C9))-(C138*'Active Mode Assumptions'!C18*'Active Mode Assumptions'!C23/(1+'Active Mode Assumptions'!C18))</f>
        <v>1358.3326833662729</v>
      </c>
      <c r="D139" s="4">
        <f ca="1">D161*'Total Distance Tables Sup #1'!D139*(1+'Other Assumptions'!H$56)-(D137*'Active Mode Assumptions'!D9*'Active Mode Assumptions'!D14/(1+'Active Mode Assumptions'!D9))-(D138*'Active Mode Assumptions'!D18*'Active Mode Assumptions'!D23/(1+'Active Mode Assumptions'!D18))</f>
        <v>1460.1868500585538</v>
      </c>
      <c r="E139" s="4">
        <f ca="1">E161*'Total Distance Tables Sup #1'!E139*(1+'Other Assumptions'!I$56)-(E137*'Active Mode Assumptions'!E9*'Active Mode Assumptions'!E14/(1+'Active Mode Assumptions'!E9))-(E138*'Active Mode Assumptions'!E18*'Active Mode Assumptions'!E23/(1+'Active Mode Assumptions'!E18))</f>
        <v>1544.1246275635974</v>
      </c>
      <c r="F139" s="4">
        <f ca="1">F161*'Total Distance Tables Sup #1'!F139*(1+'Other Assumptions'!J$56)-(F137*'Active Mode Assumptions'!F9*'Active Mode Assumptions'!F14/(1+'Active Mode Assumptions'!F9))-(F138*'Active Mode Assumptions'!F18*'Active Mode Assumptions'!F23/(1+'Active Mode Assumptions'!F18))</f>
        <v>1621.1671296040345</v>
      </c>
      <c r="G139" s="4">
        <f ca="1">G161*'Total Distance Tables Sup #1'!G139*(1+'Other Assumptions'!K$56)-(G137*'Active Mode Assumptions'!G9*'Active Mode Assumptions'!G14/(1+'Active Mode Assumptions'!G9))-(G138*'Active Mode Assumptions'!G18*'Active Mode Assumptions'!G23/(1+'Active Mode Assumptions'!G18))</f>
        <v>1680.6819182460438</v>
      </c>
      <c r="H139" s="4">
        <f ca="1">H161*'Total Distance Tables Sup #1'!H139*(1+'Other Assumptions'!L$56)-(H137*'Active Mode Assumptions'!H9*'Active Mode Assumptions'!H14/(1+'Active Mode Assumptions'!H9))-(H138*'Active Mode Assumptions'!H18*'Active Mode Assumptions'!H23/(1+'Active Mode Assumptions'!H18))</f>
        <v>1733.6691786483996</v>
      </c>
      <c r="I139" s="1">
        <f ca="1">I161*'Total Distance Tables Sup #1'!I139*(1+'Other Assumptions'!M$56)-(I137*'Active Mode Assumptions'!I9*'Active Mode Assumptions'!I14/(1+'Active Mode Assumptions'!I9))-(I138*'Active Mode Assumptions'!I18*'Active Mode Assumptions'!I23/(1+'Active Mode Assumptions'!I18))</f>
        <v>1784.7606555004502</v>
      </c>
      <c r="J139" s="1">
        <f ca="1">J161*'Total Distance Tables Sup #1'!J139*(1+'Other Assumptions'!N$56)-(J137*'Active Mode Assumptions'!J9*'Active Mode Assumptions'!J14/(1+'Active Mode Assumptions'!J9))-(J138*'Active Mode Assumptions'!J18*'Active Mode Assumptions'!J23/(1+'Active Mode Assumptions'!J18))</f>
        <v>1831.5909213352252</v>
      </c>
      <c r="K139" s="1">
        <f ca="1">K161*'Total Distance Tables Sup #1'!K139*(1+'Other Assumptions'!O$56)-(K137*'Active Mode Assumptions'!K9*'Active Mode Assumptions'!K14/(1+'Active Mode Assumptions'!K9))-(K138*'Active Mode Assumptions'!K18*'Active Mode Assumptions'!K23/(1+'Active Mode Assumptions'!K18))</f>
        <v>1875.703420960421</v>
      </c>
    </row>
    <row r="140" spans="1:11" x14ac:dyDescent="0.2">
      <c r="A140" t="str">
        <f ca="1">OFFSET(Otago_Reference,21,2)</f>
        <v>Light Vehicle Passenger</v>
      </c>
      <c r="B140" s="4">
        <f ca="1">B162*'Total Distance Tables Sup #1'!B140*(1+'Other Assumptions'!D$56)-(B137*'Active Mode Assumptions'!B9*'Active Mode Assumptions'!B15/(1+'Active Mode Assumptions'!B9))-(B138*'Active Mode Assumptions'!B18*'Active Mode Assumptions'!B24/(1+'Active Mode Assumptions'!B18))</f>
        <v>849.31688999999994</v>
      </c>
      <c r="C140" s="4">
        <f ca="1">C162*'Total Distance Tables Sup #1'!C140*(1+'Other Assumptions'!G$56)-(C137*'Active Mode Assumptions'!C9*'Active Mode Assumptions'!C15/(1+'Active Mode Assumptions'!C9))-(C138*'Active Mode Assumptions'!C18*'Active Mode Assumptions'!C24/(1+'Active Mode Assumptions'!C18))</f>
        <v>931.98636884297787</v>
      </c>
      <c r="D140" s="4">
        <f ca="1">D162*'Total Distance Tables Sup #1'!D140*(1+'Other Assumptions'!H$56)-(D137*'Active Mode Assumptions'!D9*'Active Mode Assumptions'!D15/(1+'Active Mode Assumptions'!D9))-(D138*'Active Mode Assumptions'!D18*'Active Mode Assumptions'!D24/(1+'Active Mode Assumptions'!D18))</f>
        <v>980.99664487723646</v>
      </c>
      <c r="E140" s="4">
        <f ca="1">E162*'Total Distance Tables Sup #1'!E140*(1+'Other Assumptions'!I$56)-(E137*'Active Mode Assumptions'!E9*'Active Mode Assumptions'!E15/(1+'Active Mode Assumptions'!E9))-(E138*'Active Mode Assumptions'!E18*'Active Mode Assumptions'!E24/(1+'Active Mode Assumptions'!E18))</f>
        <v>1016.4391952143005</v>
      </c>
      <c r="F140" s="4">
        <f ca="1">F162*'Total Distance Tables Sup #1'!F140*(1+'Other Assumptions'!J$56)-(F137*'Active Mode Assumptions'!F9*'Active Mode Assumptions'!F15/(1+'Active Mode Assumptions'!F9))-(F138*'Active Mode Assumptions'!F18*'Active Mode Assumptions'!F24/(1+'Active Mode Assumptions'!F18))</f>
        <v>1044.1078438555023</v>
      </c>
      <c r="G140" s="4">
        <f ca="1">G162*'Total Distance Tables Sup #1'!G140*(1+'Other Assumptions'!K$56)-(G137*'Active Mode Assumptions'!G9*'Active Mode Assumptions'!G15/(1+'Active Mode Assumptions'!G9))-(G138*'Active Mode Assumptions'!G18*'Active Mode Assumptions'!G24/(1+'Active Mode Assumptions'!G18))</f>
        <v>1063.8309383294056</v>
      </c>
      <c r="H140" s="4">
        <f ca="1">H162*'Total Distance Tables Sup #1'!H140*(1+'Other Assumptions'!L$56)-(H137*'Active Mode Assumptions'!H9*'Active Mode Assumptions'!H15/(1+'Active Mode Assumptions'!H9))-(H138*'Active Mode Assumptions'!H18*'Active Mode Assumptions'!H24/(1+'Active Mode Assumptions'!H18))</f>
        <v>1078.29836042643</v>
      </c>
      <c r="I140" s="1">
        <f ca="1">I162*'Total Distance Tables Sup #1'!I140*(1+'Other Assumptions'!M$56)-(I137*'Active Mode Assumptions'!I9*'Active Mode Assumptions'!I15/(1+'Active Mode Assumptions'!I9))-(I138*'Active Mode Assumptions'!I18*'Active Mode Assumptions'!I24/(1+'Active Mode Assumptions'!I18))</f>
        <v>1110.6294018963238</v>
      </c>
      <c r="J140" s="1">
        <f ca="1">J162*'Total Distance Tables Sup #1'!J140*(1+'Other Assumptions'!N$56)-(J137*'Active Mode Assumptions'!J9*'Active Mode Assumptions'!J15/(1+'Active Mode Assumptions'!J9))-(J138*'Active Mode Assumptions'!J18*'Active Mode Assumptions'!J24/(1+'Active Mode Assumptions'!J18))</f>
        <v>1140.3409356269151</v>
      </c>
      <c r="K140" s="1">
        <f ca="1">K162*'Total Distance Tables Sup #1'!K140*(1+'Other Assumptions'!O$56)-(K137*'Active Mode Assumptions'!K9*'Active Mode Assumptions'!K15/(1+'Active Mode Assumptions'!K9))-(K138*'Active Mode Assumptions'!K18*'Active Mode Assumptions'!K24/(1+'Active Mode Assumptions'!K18))</f>
        <v>1168.39017567566</v>
      </c>
    </row>
    <row r="141" spans="1:11" x14ac:dyDescent="0.2">
      <c r="A141" t="str">
        <f ca="1">OFFSET(Otago_Reference,28,2)</f>
        <v>Taxi/Vehicle Share</v>
      </c>
      <c r="B141" s="4">
        <f ca="1">B163*'Total Distance Tables Sup #1'!B141*(1+'Other Assumptions'!D$56)</f>
        <v>7.2892681777000004</v>
      </c>
      <c r="C141" s="4">
        <f ca="1">C163*'Total Distance Tables Sup #1'!C141*(1+'Other Assumptions'!G$56)</f>
        <v>8.6546250598521528</v>
      </c>
      <c r="D141" s="4">
        <f ca="1">D163*'Total Distance Tables Sup #1'!D141*(1+'Other Assumptions'!H$56)</f>
        <v>9.7713399532015686</v>
      </c>
      <c r="E141" s="4">
        <f ca="1">E163*'Total Distance Tables Sup #1'!E141*(1+'Other Assumptions'!I$56)</f>
        <v>10.739783553318485</v>
      </c>
      <c r="F141" s="4">
        <f ca="1">F163*'Total Distance Tables Sup #1'!F141*(1+'Other Assumptions'!J$56)</f>
        <v>11.596445982916771</v>
      </c>
      <c r="G141" s="4">
        <f ca="1">G163*'Total Distance Tables Sup #1'!G141*(1+'Other Assumptions'!K$56)</f>
        <v>12.264043107110178</v>
      </c>
      <c r="H141" s="4">
        <f ca="1">H163*'Total Distance Tables Sup #1'!H141*(1+'Other Assumptions'!L$56)</f>
        <v>12.894397539170791</v>
      </c>
      <c r="I141" s="1">
        <f ca="1">I163*'Total Distance Tables Sup #1'!I141*(1+'Other Assumptions'!M$56)</f>
        <v>13.228011241645644</v>
      </c>
      <c r="J141" s="1">
        <f ca="1">J163*'Total Distance Tables Sup #1'!J141*(1+'Other Assumptions'!N$56)</f>
        <v>13.527654842576361</v>
      </c>
      <c r="K141" s="1">
        <f ca="1">K163*'Total Distance Tables Sup #1'!K141*(1+'Other Assumptions'!O$56)</f>
        <v>13.805054014966698</v>
      </c>
    </row>
    <row r="142" spans="1:11" x14ac:dyDescent="0.2">
      <c r="A142" t="str">
        <f ca="1">OFFSET(Otago_Reference,35,2)</f>
        <v>Motorcyclist</v>
      </c>
      <c r="B142" s="4">
        <f ca="1">B164*'Total Distance Tables Sup #1'!B142*(1+'Other Assumptions'!D$56)</f>
        <v>18.503357486999999</v>
      </c>
      <c r="C142" s="4">
        <f ca="1">C164*'Total Distance Tables Sup #1'!C142*(1+'Other Assumptions'!G$56)</f>
        <v>21.106202710871262</v>
      </c>
      <c r="D142" s="4">
        <f ca="1">D164*'Total Distance Tables Sup #1'!D142*(1+'Other Assumptions'!H$56)</f>
        <v>22.652369943185409</v>
      </c>
      <c r="E142" s="4">
        <f ca="1">E164*'Total Distance Tables Sup #1'!E142*(1+'Other Assumptions'!I$56)</f>
        <v>23.544135706404219</v>
      </c>
      <c r="F142" s="4">
        <f ca="1">F164*'Total Distance Tables Sup #1'!F142*(1+'Other Assumptions'!J$56)</f>
        <v>24.179489086226226</v>
      </c>
      <c r="G142" s="4">
        <f ca="1">G164*'Total Distance Tables Sup #1'!G142*(1+'Other Assumptions'!K$56)</f>
        <v>24.34980759672748</v>
      </c>
      <c r="H142" s="4">
        <f ca="1">H164*'Total Distance Tables Sup #1'!H142*(1+'Other Assumptions'!L$56)</f>
        <v>24.385177431188723</v>
      </c>
      <c r="I142" s="1">
        <f ca="1">I164*'Total Distance Tables Sup #1'!I142*(1+'Other Assumptions'!M$56)</f>
        <v>25.248624875168417</v>
      </c>
      <c r="J142" s="1">
        <f ca="1">J164*'Total Distance Tables Sup #1'!J142*(1+'Other Assumptions'!N$56)</f>
        <v>26.061549719772344</v>
      </c>
      <c r="K142" s="1">
        <f ca="1">K164*'Total Distance Tables Sup #1'!K142*(1+'Other Assumptions'!O$56)</f>
        <v>26.845083521451219</v>
      </c>
    </row>
    <row r="143" spans="1:11" x14ac:dyDescent="0.2">
      <c r="A143" t="str">
        <f ca="1">OFFSET(Canterbury_Reference,42,2)</f>
        <v>Local Train</v>
      </c>
      <c r="B143" s="4">
        <f ca="1">B165*'Total Distance Tables Sup #1'!B143*(1+'Other Assumptions'!D$56)</f>
        <v>0</v>
      </c>
      <c r="C143" s="4">
        <f ca="1">C165*'Total Distance Tables Sup #1'!C143*(1+'Other Assumptions'!G$56)</f>
        <v>0</v>
      </c>
      <c r="D143" s="4">
        <f ca="1">D165*'Total Distance Tables Sup #1'!D143*(1+'Other Assumptions'!H$56)</f>
        <v>0</v>
      </c>
      <c r="E143" s="4">
        <f ca="1">E165*'Total Distance Tables Sup #1'!E143*(1+'Other Assumptions'!I$56)</f>
        <v>0</v>
      </c>
      <c r="F143" s="4">
        <f ca="1">F165*'Total Distance Tables Sup #1'!F143*(1+'Other Assumptions'!J$56)</f>
        <v>0</v>
      </c>
      <c r="G143" s="4">
        <f ca="1">G165*'Total Distance Tables Sup #1'!G143*(1+'Other Assumptions'!K$56)</f>
        <v>0</v>
      </c>
      <c r="H143" s="4">
        <f ca="1">H165*'Total Distance Tables Sup #1'!H143*(1+'Other Assumptions'!L$56)</f>
        <v>0</v>
      </c>
      <c r="I143" s="1">
        <f ca="1">I165*'Total Distance Tables Sup #1'!I143*(1+'Other Assumptions'!M$56)</f>
        <v>0</v>
      </c>
      <c r="J143" s="1">
        <f ca="1">J165*'Total Distance Tables Sup #1'!J143*(1+'Other Assumptions'!N$56)</f>
        <v>0</v>
      </c>
      <c r="K143" s="1">
        <f ca="1">K165*'Total Distance Tables Sup #1'!K143*(1+'Other Assumptions'!O$56)</f>
        <v>0</v>
      </c>
    </row>
    <row r="144" spans="1:11" x14ac:dyDescent="0.2">
      <c r="A144" t="str">
        <f ca="1">OFFSET(Otago_Reference,42,2)</f>
        <v>Local Bus</v>
      </c>
      <c r="B144" s="4">
        <f ca="1">B166*'Total Distance Tables Sup #1'!B144*(1+'Other Assumptions'!D$56)</f>
        <v>27.157477096000001</v>
      </c>
      <c r="C144" s="4">
        <f ca="1">C166*'Total Distance Tables Sup #1'!C144*(1+'Other Assumptions'!G$56)</f>
        <v>27.753900757492215</v>
      </c>
      <c r="D144" s="4">
        <f ca="1">D166*'Total Distance Tables Sup #1'!D144*(1+'Other Assumptions'!H$56)</f>
        <v>28.050936671330035</v>
      </c>
      <c r="E144" s="4">
        <f ca="1">E166*'Total Distance Tables Sup #1'!E144*(1+'Other Assumptions'!I$56)</f>
        <v>28.217862016998353</v>
      </c>
      <c r="F144" s="4">
        <f ca="1">F166*'Total Distance Tables Sup #1'!F144*(1+'Other Assumptions'!J$56)</f>
        <v>27.862725992989024</v>
      </c>
      <c r="G144" s="4">
        <f ca="1">G166*'Total Distance Tables Sup #1'!G144*(1+'Other Assumptions'!K$56)</f>
        <v>27.749982995584222</v>
      </c>
      <c r="H144" s="4">
        <f ca="1">H166*'Total Distance Tables Sup #1'!H144*(1+'Other Assumptions'!L$56)</f>
        <v>27.527392625893754</v>
      </c>
      <c r="I144" s="1">
        <f ca="1">I166*'Total Distance Tables Sup #1'!I144*(1+'Other Assumptions'!M$56)</f>
        <v>28.36198222416359</v>
      </c>
      <c r="J144" s="1">
        <f ca="1">J166*'Total Distance Tables Sup #1'!J144*(1+'Other Assumptions'!N$56)</f>
        <v>29.1288966473222</v>
      </c>
      <c r="K144" s="1">
        <f ca="1">K166*'Total Distance Tables Sup #1'!K144*(1+'Other Assumptions'!O$56)</f>
        <v>29.852418239575073</v>
      </c>
    </row>
    <row r="145" spans="1:11" x14ac:dyDescent="0.2">
      <c r="A145" t="str">
        <f ca="1">OFFSET(Wellington_Reference,56,2)</f>
        <v>Local Ferry</v>
      </c>
      <c r="B145" s="4">
        <f>B167*'Total Distance Tables Sup #1'!B145*(1+'Other Assumptions'!D$56)</f>
        <v>0</v>
      </c>
      <c r="C145" s="4">
        <f ca="1">C167*'Total Distance Tables Sup #1'!C145*(1+'Other Assumptions'!G$56)</f>
        <v>0</v>
      </c>
      <c r="D145" s="4">
        <f ca="1">D167*'Total Distance Tables Sup #1'!D145*(1+'Other Assumptions'!H$56)</f>
        <v>0</v>
      </c>
      <c r="E145" s="4">
        <f ca="1">E167*'Total Distance Tables Sup #1'!E145*(1+'Other Assumptions'!I$56)</f>
        <v>0</v>
      </c>
      <c r="F145" s="4">
        <f ca="1">F167*'Total Distance Tables Sup #1'!F145*(1+'Other Assumptions'!J$56)</f>
        <v>0</v>
      </c>
      <c r="G145" s="4">
        <f ca="1">G167*'Total Distance Tables Sup #1'!G145*(1+'Other Assumptions'!K$56)</f>
        <v>0</v>
      </c>
      <c r="H145" s="4">
        <f ca="1">H167*'Total Distance Tables Sup #1'!H145*(1+'Other Assumptions'!L$56)</f>
        <v>0</v>
      </c>
      <c r="I145" s="1">
        <f ca="1">I167*'Total Distance Tables Sup #1'!I145*(1+'Other Assumptions'!M$56)</f>
        <v>0</v>
      </c>
      <c r="J145" s="1">
        <f ca="1">J167*'Total Distance Tables Sup #1'!J145*(1+'Other Assumptions'!N$56)</f>
        <v>0</v>
      </c>
      <c r="K145" s="1">
        <f ca="1">K167*'Total Distance Tables Sup #1'!K145*(1+'Other Assumptions'!O$56)</f>
        <v>0</v>
      </c>
    </row>
    <row r="146" spans="1:11" x14ac:dyDescent="0.2">
      <c r="A146" t="str">
        <f ca="1">OFFSET(Otago_Reference,49,2)</f>
        <v>Other Household Travel</v>
      </c>
      <c r="B146" s="4">
        <f ca="1">B168*'Total Distance Tables Sup #1'!B146*(1+'Other Assumptions'!D$56)</f>
        <v>0</v>
      </c>
      <c r="C146" s="4">
        <f ca="1">C168*'Total Distance Tables Sup #1'!C146*(1+'Other Assumptions'!G$56)</f>
        <v>0</v>
      </c>
      <c r="D146" s="4">
        <f ca="1">D168*'Total Distance Tables Sup #1'!D146*(1+'Other Assumptions'!H$56)</f>
        <v>0</v>
      </c>
      <c r="E146" s="4">
        <f ca="1">E168*'Total Distance Tables Sup #1'!E146*(1+'Other Assumptions'!I$56)</f>
        <v>0</v>
      </c>
      <c r="F146" s="4">
        <f ca="1">F168*'Total Distance Tables Sup #1'!F146*(1+'Other Assumptions'!J$56)</f>
        <v>0</v>
      </c>
      <c r="G146" s="4">
        <f ca="1">G168*'Total Distance Tables Sup #1'!G146*(1+'Other Assumptions'!K$56)</f>
        <v>0</v>
      </c>
      <c r="H146" s="4">
        <f ca="1">H168*'Total Distance Tables Sup #1'!H146*(1+'Other Assumptions'!L$56)</f>
        <v>0</v>
      </c>
      <c r="I146" s="1">
        <f ca="1">I168*'Total Distance Tables Sup #1'!I146*(1+'Other Assumptions'!M$56)</f>
        <v>0</v>
      </c>
      <c r="J146" s="1">
        <f ca="1">J168*'Total Distance Tables Sup #1'!J146*(1+'Other Assumptions'!N$56)</f>
        <v>0</v>
      </c>
      <c r="K146" s="1">
        <f ca="1">K168*'Total Distance Tables Sup #1'!K146*(1+'Other Assumptions'!O$56)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B159*'Total Distance Tables Sup #1'!B148*(1+'Other Assumptions'!D$57)*(1+'Active Mode Assumptions'!B9)</f>
        <v>8.8466785109000003</v>
      </c>
      <c r="C148" s="4">
        <f ca="1">C159*'Total Distance Tables Sup #1'!C148*(1+'Other Assumptions'!G$57)*(1+'Active Mode Assumptions'!C9)</f>
        <v>8.9798046836300003</v>
      </c>
      <c r="D148" s="4">
        <f ca="1">D159*'Total Distance Tables Sup #1'!D148*(1+'Other Assumptions'!H$57)*(1+'Active Mode Assumptions'!D9)</f>
        <v>9.2256136248153151</v>
      </c>
      <c r="E148" s="4">
        <f ca="1">E159*'Total Distance Tables Sup #1'!E148*(1+'Other Assumptions'!I$57)*(1+'Active Mode Assumptions'!E9)</f>
        <v>9.3746039328957593</v>
      </c>
      <c r="F148" s="4">
        <f ca="1">F159*'Total Distance Tables Sup #1'!F148*(1+'Other Assumptions'!J$57)*(1+'Active Mode Assumptions'!F9)</f>
        <v>9.4292420780580066</v>
      </c>
      <c r="G148" s="4">
        <f ca="1">G159*'Total Distance Tables Sup #1'!G148*(1+'Other Assumptions'!K$57)*(1+'Active Mode Assumptions'!G9)</f>
        <v>9.4506657934623242</v>
      </c>
      <c r="H148" s="4">
        <f ca="1">H159*'Total Distance Tables Sup #1'!H148*(1+'Other Assumptions'!L$57)*(1+'Active Mode Assumptions'!H9)</f>
        <v>9.4314088774852074</v>
      </c>
      <c r="I148" s="1">
        <f ca="1">I159*'Total Distance Tables Sup #1'!I148*(1+'Other Assumptions'!M$57)*(1+'Active Mode Assumptions'!I9)</f>
        <v>9.2901799227321842</v>
      </c>
      <c r="J148" s="1">
        <f ca="1">J159*'Total Distance Tables Sup #1'!J148*(1+'Other Assumptions'!N$57)*(1+'Active Mode Assumptions'!J9)</f>
        <v>9.1221181208133988</v>
      </c>
      <c r="K148" s="1">
        <f ca="1">K159*'Total Distance Tables Sup #1'!K148*(1+'Other Assumptions'!O$57)*(1+'Active Mode Assumptions'!K9)</f>
        <v>8.9380249732990933</v>
      </c>
    </row>
    <row r="149" spans="1:11" x14ac:dyDescent="0.2">
      <c r="A149" t="str">
        <f ca="1">OFFSET(Southland_Reference,7,2)</f>
        <v>Cyclist</v>
      </c>
      <c r="B149" s="4">
        <f ca="1">B160*'Total Distance Tables Sup #1'!B149*(1+'Other Assumptions'!D$57)*(1+'Active Mode Assumptions'!B18)</f>
        <v>7.5402861329000004</v>
      </c>
      <c r="C149" s="4">
        <f ca="1">C160*'Total Distance Tables Sup #1'!C149*(1+'Other Assumptions'!G$57)*(1+'Active Mode Assumptions'!C18)</f>
        <v>7.932467450144693</v>
      </c>
      <c r="D149" s="4">
        <f ca="1">D160*'Total Distance Tables Sup #1'!D149*(1+'Other Assumptions'!H$57)*(1+'Active Mode Assumptions'!D18)</f>
        <v>9.5498960299223796</v>
      </c>
      <c r="E149" s="4">
        <f ca="1">E160*'Total Distance Tables Sup #1'!E149*(1+'Other Assumptions'!I$57)*(1+'Active Mode Assumptions'!E18)</f>
        <v>10.998136709212547</v>
      </c>
      <c r="F149" s="4">
        <f ca="1">F160*'Total Distance Tables Sup #1'!F149*(1+'Other Assumptions'!J$57)*(1+'Active Mode Assumptions'!F18)</f>
        <v>12.567302292565678</v>
      </c>
      <c r="G149" s="4">
        <f ca="1">G160*'Total Distance Tables Sup #1'!G149*(1+'Other Assumptions'!K$57)*(1+'Active Mode Assumptions'!G18)</f>
        <v>14.32281950140853</v>
      </c>
      <c r="H149" s="4">
        <f ca="1">H160*'Total Distance Tables Sup #1'!H149*(1+'Other Assumptions'!L$57)*(1+'Active Mode Assumptions'!H18)</f>
        <v>16.109318775077043</v>
      </c>
      <c r="I149" s="1">
        <f ca="1">I160*'Total Distance Tables Sup #1'!I149*(1+'Other Assumptions'!M$57)*(1+'Active Mode Assumptions'!I18)</f>
        <v>15.87785848385481</v>
      </c>
      <c r="J149" s="1">
        <f ca="1">J160*'Total Distance Tables Sup #1'!J149*(1+'Other Assumptions'!N$57)*(1+'Active Mode Assumptions'!J18)</f>
        <v>15.600117008428731</v>
      </c>
      <c r="K149" s="1">
        <f ca="1">K160*'Total Distance Tables Sup #1'!K149*(1+'Other Assumptions'!O$57)*(1+'Active Mode Assumptions'!K18)</f>
        <v>15.294510389231084</v>
      </c>
    </row>
    <row r="150" spans="1:11" x14ac:dyDescent="0.2">
      <c r="A150" t="str">
        <f ca="1">OFFSET(Southland_Reference,14,2)</f>
        <v>Light Vehicle Driver</v>
      </c>
      <c r="B150" s="4">
        <f ca="1">B161*'Total Distance Tables Sup #1'!B150*(1+'Other Assumptions'!D$57)-(B148*'Active Mode Assumptions'!B9*'Active Mode Assumptions'!B14/(1+'Active Mode Assumptions'!B9))-(B149*'Active Mode Assumptions'!B18*'Active Mode Assumptions'!B23/(1+'Active Mode Assumptions'!B18))</f>
        <v>657.74873722999996</v>
      </c>
      <c r="C150" s="4">
        <f ca="1">C161*'Total Distance Tables Sup #1'!C150*(1+'Other Assumptions'!G$57)-(C148*'Active Mode Assumptions'!C9*'Active Mode Assumptions'!C14/(1+'Active Mode Assumptions'!C9))-(C149*'Active Mode Assumptions'!C18*'Active Mode Assumptions'!C23/(1+'Active Mode Assumptions'!C18))</f>
        <v>691.3657206466213</v>
      </c>
      <c r="D150" s="4">
        <f ca="1">D161*'Total Distance Tables Sup #1'!D150*(1+'Other Assumptions'!H$57)-(D148*'Active Mode Assumptions'!D9*'Active Mode Assumptions'!D14/(1+'Active Mode Assumptions'!D9))-(D149*'Active Mode Assumptions'!D18*'Active Mode Assumptions'!D23/(1+'Active Mode Assumptions'!D18))</f>
        <v>698.60538290264969</v>
      </c>
      <c r="E150" s="4">
        <f ca="1">E161*'Total Distance Tables Sup #1'!E150*(1+'Other Assumptions'!I$57)-(E148*'Active Mode Assumptions'!E9*'Active Mode Assumptions'!E14/(1+'Active Mode Assumptions'!E9))-(E149*'Active Mode Assumptions'!E18*'Active Mode Assumptions'!E23/(1+'Active Mode Assumptions'!E18))</f>
        <v>706.35374411367729</v>
      </c>
      <c r="F150" s="4">
        <f ca="1">F161*'Total Distance Tables Sup #1'!F150*(1+'Other Assumptions'!J$57)-(F148*'Active Mode Assumptions'!F9*'Active Mode Assumptions'!F14/(1+'Active Mode Assumptions'!F9))-(F149*'Active Mode Assumptions'!F18*'Active Mode Assumptions'!F23/(1+'Active Mode Assumptions'!F18))</f>
        <v>710.3625379508984</v>
      </c>
      <c r="G150" s="4">
        <f ca="1">G161*'Total Distance Tables Sup #1'!G150*(1+'Other Assumptions'!K$57)-(G148*'Active Mode Assumptions'!G9*'Active Mode Assumptions'!G14/(1+'Active Mode Assumptions'!G9))-(G149*'Active Mode Assumptions'!G18*'Active Mode Assumptions'!G23/(1+'Active Mode Assumptions'!G18))</f>
        <v>706.1618114945926</v>
      </c>
      <c r="H150" s="4">
        <f ca="1">H161*'Total Distance Tables Sup #1'!H150*(1+'Other Assumptions'!L$57)-(H148*'Active Mode Assumptions'!H9*'Active Mode Assumptions'!H14/(1+'Active Mode Assumptions'!H9))-(H149*'Active Mode Assumptions'!H18*'Active Mode Assumptions'!H23/(1+'Active Mode Assumptions'!H18))</f>
        <v>698.74992666831179</v>
      </c>
      <c r="I150" s="1">
        <f ca="1">I161*'Total Distance Tables Sup #1'!I150*(1+'Other Assumptions'!M$57)-(I148*'Active Mode Assumptions'!I9*'Active Mode Assumptions'!I14/(1+'Active Mode Assumptions'!I9))-(I149*'Active Mode Assumptions'!I18*'Active Mode Assumptions'!I23/(1+'Active Mode Assumptions'!I18))</f>
        <v>689.79747154665949</v>
      </c>
      <c r="J150" s="1">
        <f ca="1">J161*'Total Distance Tables Sup #1'!J150*(1+'Other Assumptions'!N$57)-(J148*'Active Mode Assumptions'!J9*'Active Mode Assumptions'!J14/(1+'Active Mode Assumptions'!J9))-(J149*'Active Mode Assumptions'!J18*'Active Mode Assumptions'!J23/(1+'Active Mode Assumptions'!J18))</f>
        <v>678.79575217385241</v>
      </c>
      <c r="K150" s="1">
        <f ca="1">K161*'Total Distance Tables Sup #1'!K150*(1+'Other Assumptions'!O$57)-(K148*'Active Mode Assumptions'!K9*'Active Mode Assumptions'!K14/(1+'Active Mode Assumptions'!K9))-(K149*'Active Mode Assumptions'!K18*'Active Mode Assumptions'!K23/(1+'Active Mode Assumptions'!K18))</f>
        <v>666.53735028911456</v>
      </c>
    </row>
    <row r="151" spans="1:11" x14ac:dyDescent="0.2">
      <c r="A151" t="str">
        <f ca="1">OFFSET(Southland_Reference,21,2)</f>
        <v>Light Vehicle Passenger</v>
      </c>
      <c r="B151" s="4">
        <f ca="1">B162*'Total Distance Tables Sup #1'!B151*(1+'Other Assumptions'!D$57)-(B148*'Active Mode Assumptions'!B9*'Active Mode Assumptions'!B15/(1+'Active Mode Assumptions'!B9))-(B149*'Active Mode Assumptions'!B18*'Active Mode Assumptions'!B24/(1+'Active Mode Assumptions'!B18))</f>
        <v>380.70733008000002</v>
      </c>
      <c r="C151" s="4">
        <f ca="1">C162*'Total Distance Tables Sup #1'!C151*(1+'Other Assumptions'!G$57)-(C148*'Active Mode Assumptions'!C9*'Active Mode Assumptions'!C15/(1+'Active Mode Assumptions'!C9))-(C149*'Active Mode Assumptions'!C18*'Active Mode Assumptions'!C24/(1+'Active Mode Assumptions'!C18))</f>
        <v>385.39927729286433</v>
      </c>
      <c r="D151" s="4">
        <f ca="1">D162*'Total Distance Tables Sup #1'!D151*(1+'Other Assumptions'!H$57)-(D148*'Active Mode Assumptions'!D9*'Active Mode Assumptions'!D15/(1+'Active Mode Assumptions'!D9))-(D149*'Active Mode Assumptions'!D18*'Active Mode Assumptions'!D24/(1+'Active Mode Assumptions'!D18))</f>
        <v>381.29426779437296</v>
      </c>
      <c r="E151" s="4">
        <f ca="1">E162*'Total Distance Tables Sup #1'!E151*(1+'Other Assumptions'!I$57)-(E148*'Active Mode Assumptions'!E9*'Active Mode Assumptions'!E15/(1+'Active Mode Assumptions'!E9))-(E149*'Active Mode Assumptions'!E18*'Active Mode Assumptions'!E24/(1+'Active Mode Assumptions'!E18))</f>
        <v>377.71643388901691</v>
      </c>
      <c r="F151" s="4">
        <f ca="1">F162*'Total Distance Tables Sup #1'!F151*(1+'Other Assumptions'!J$57)-(F148*'Active Mode Assumptions'!F9*'Active Mode Assumptions'!F15/(1+'Active Mode Assumptions'!F9))-(F149*'Active Mode Assumptions'!F18*'Active Mode Assumptions'!F24/(1+'Active Mode Assumptions'!F18))</f>
        <v>371.63769699659889</v>
      </c>
      <c r="G151" s="4">
        <f ca="1">G162*'Total Distance Tables Sup #1'!G151*(1+'Other Assumptions'!K$57)-(G148*'Active Mode Assumptions'!G9*'Active Mode Assumptions'!G15/(1+'Active Mode Assumptions'!G9))-(G149*'Active Mode Assumptions'!G18*'Active Mode Assumptions'!G24/(1+'Active Mode Assumptions'!G18))</f>
        <v>363.06740551492737</v>
      </c>
      <c r="H151" s="4">
        <f ca="1">H162*'Total Distance Tables Sup #1'!H151*(1+'Other Assumptions'!L$57)-(H148*'Active Mode Assumptions'!H9*'Active Mode Assumptions'!H15/(1+'Active Mode Assumptions'!H9))-(H149*'Active Mode Assumptions'!H18*'Active Mode Assumptions'!H24/(1+'Active Mode Assumptions'!H18))</f>
        <v>352.99030873462664</v>
      </c>
      <c r="I151" s="1">
        <f ca="1">I162*'Total Distance Tables Sup #1'!I151*(1+'Other Assumptions'!M$57)-(I148*'Active Mode Assumptions'!I9*'Active Mode Assumptions'!I15/(1+'Active Mode Assumptions'!I9))-(I149*'Active Mode Assumptions'!I18*'Active Mode Assumptions'!I24/(1+'Active Mode Assumptions'!I18))</f>
        <v>348.64134084625567</v>
      </c>
      <c r="J151" s="1">
        <f ca="1">J162*'Total Distance Tables Sup #1'!J151*(1+'Other Assumptions'!N$57)-(J148*'Active Mode Assumptions'!J9*'Active Mode Assumptions'!J15/(1+'Active Mode Assumptions'!J9))-(J149*'Active Mode Assumptions'!J18*'Active Mode Assumptions'!J24/(1+'Active Mode Assumptions'!J18))</f>
        <v>343.25214773888877</v>
      </c>
      <c r="K151" s="1">
        <f ca="1">K162*'Total Distance Tables Sup #1'!K151*(1+'Other Assumptions'!O$57)-(K148*'Active Mode Assumptions'!K9*'Active Mode Assumptions'!K15/(1+'Active Mode Assumptions'!K9))-(K149*'Active Mode Assumptions'!K18*'Active Mode Assumptions'!K24/(1+'Active Mode Assumptions'!K18))</f>
        <v>337.22203522991038</v>
      </c>
    </row>
    <row r="152" spans="1:11" x14ac:dyDescent="0.2">
      <c r="A152" t="str">
        <f ca="1">OFFSET(Southland_Reference,28,2)</f>
        <v>Taxi/Vehicle Share</v>
      </c>
      <c r="B152" s="4">
        <f ca="1">B163*'Total Distance Tables Sup #1'!B152*(1+'Other Assumptions'!D$57)</f>
        <v>1.2430116738999999</v>
      </c>
      <c r="C152" s="4">
        <f ca="1">C163*'Total Distance Tables Sup #1'!C152*(1+'Other Assumptions'!G$57)</f>
        <v>1.3615054818282841</v>
      </c>
      <c r="D152" s="4">
        <f ca="1">D163*'Total Distance Tables Sup #1'!D152*(1+'Other Assumptions'!H$57)</f>
        <v>1.4444298252702474</v>
      </c>
      <c r="E152" s="4">
        <f ca="1">E163*'Total Distance Tables Sup #1'!E152*(1+'Other Assumptions'!I$57)</f>
        <v>1.5174433380254877</v>
      </c>
      <c r="F152" s="4">
        <f ca="1">F163*'Total Distance Tables Sup #1'!F152*(1+'Other Assumptions'!J$57)</f>
        <v>1.5689870656588147</v>
      </c>
      <c r="G152" s="4">
        <f ca="1">G163*'Total Distance Tables Sup #1'!G152*(1+'Other Assumptions'!K$57)</f>
        <v>1.590591454067704</v>
      </c>
      <c r="H152" s="4">
        <f ca="1">H163*'Total Distance Tables Sup #1'!H152*(1+'Other Assumptions'!L$57)</f>
        <v>1.6037186533209338</v>
      </c>
      <c r="I152" s="1">
        <f ca="1">I163*'Total Distance Tables Sup #1'!I152*(1+'Other Assumptions'!M$57)</f>
        <v>1.5776444284833899</v>
      </c>
      <c r="J152" s="1">
        <f ca="1">J163*'Total Distance Tables Sup #1'!J152*(1+'Other Assumptions'!N$57)</f>
        <v>1.5470611286365286</v>
      </c>
      <c r="K152" s="1">
        <f ca="1">K163*'Total Distance Tables Sup #1'!K152*(1+'Other Assumptions'!O$57)</f>
        <v>1.5138195662638791</v>
      </c>
    </row>
    <row r="153" spans="1:11" x14ac:dyDescent="0.2">
      <c r="A153" t="str">
        <f ca="1">OFFSET(Southland_Reference,35,2)</f>
        <v>Motorcyclist</v>
      </c>
      <c r="B153" s="4">
        <f ca="1">B164*'Total Distance Tables Sup #1'!B153*(1+'Other Assumptions'!D$57)</f>
        <v>18.926640866</v>
      </c>
      <c r="C153" s="4">
        <f ca="1">C164*'Total Distance Tables Sup #1'!C153*(1+'Other Assumptions'!G$57)</f>
        <v>19.91649742129086</v>
      </c>
      <c r="D153" s="4">
        <f ca="1">D164*'Total Distance Tables Sup #1'!D153*(1+'Other Assumptions'!H$57)</f>
        <v>20.085733357089381</v>
      </c>
      <c r="E153" s="4">
        <f ca="1">E164*'Total Distance Tables Sup #1'!E153*(1+'Other Assumptions'!I$57)</f>
        <v>19.95406717451095</v>
      </c>
      <c r="F153" s="4">
        <f ca="1">F164*'Total Distance Tables Sup #1'!F153*(1+'Other Assumptions'!J$57)</f>
        <v>19.623356646971022</v>
      </c>
      <c r="G153" s="4">
        <f ca="1">G164*'Total Distance Tables Sup #1'!G153*(1+'Other Assumptions'!K$57)</f>
        <v>18.943151534353721</v>
      </c>
      <c r="H153" s="4">
        <f ca="1">H164*'Total Distance Tables Sup #1'!H153*(1+'Other Assumptions'!L$57)</f>
        <v>18.192180992011334</v>
      </c>
      <c r="I153" s="1">
        <f ca="1">I164*'Total Distance Tables Sup #1'!I153*(1+'Other Assumptions'!M$57)</f>
        <v>18.062756434779075</v>
      </c>
      <c r="J153" s="1">
        <f ca="1">J164*'Total Distance Tables Sup #1'!J153*(1+'Other Assumptions'!N$57)</f>
        <v>17.877917157179567</v>
      </c>
      <c r="K153" s="1">
        <f ca="1">K164*'Total Distance Tables Sup #1'!K153*(1+'Other Assumptions'!O$57)</f>
        <v>17.657633018410309</v>
      </c>
    </row>
    <row r="154" spans="1:11" x14ac:dyDescent="0.2">
      <c r="A154" t="str">
        <f ca="1">OFFSET(Canterbury_Reference,42,2)</f>
        <v>Local Train</v>
      </c>
      <c r="B154" s="4">
        <f ca="1">B165*'Total Distance Tables Sup #1'!B154*(1+'Other Assumptions'!D$57)</f>
        <v>0</v>
      </c>
      <c r="C154" s="4">
        <f ca="1">C165*'Total Distance Tables Sup #1'!C154*(1+'Other Assumptions'!G$57)</f>
        <v>0</v>
      </c>
      <c r="D154" s="4">
        <f ca="1">D165*'Total Distance Tables Sup #1'!D154*(1+'Other Assumptions'!H$57)</f>
        <v>0</v>
      </c>
      <c r="E154" s="4">
        <f ca="1">E165*'Total Distance Tables Sup #1'!E154*(1+'Other Assumptions'!I$57)</f>
        <v>0</v>
      </c>
      <c r="F154" s="4">
        <f ca="1">F165*'Total Distance Tables Sup #1'!F154*(1+'Other Assumptions'!J$57)</f>
        <v>0</v>
      </c>
      <c r="G154" s="4">
        <f ca="1">G165*'Total Distance Tables Sup #1'!G154*(1+'Other Assumptions'!K$57)</f>
        <v>0</v>
      </c>
      <c r="H154" s="4">
        <f ca="1">H165*'Total Distance Tables Sup #1'!H154*(1+'Other Assumptions'!L$57)</f>
        <v>0</v>
      </c>
      <c r="I154" s="1">
        <f ca="1">I165*'Total Distance Tables Sup #1'!I154*(1+'Other Assumptions'!M$57)</f>
        <v>0</v>
      </c>
      <c r="J154" s="1">
        <f ca="1">J165*'Total Distance Tables Sup #1'!J154*(1+'Other Assumptions'!N$57)</f>
        <v>0</v>
      </c>
      <c r="K154" s="1">
        <f ca="1">K165*'Total Distance Tables Sup #1'!K154*(1+'Other Assumptions'!O$57)</f>
        <v>0</v>
      </c>
    </row>
    <row r="155" spans="1:11" x14ac:dyDescent="0.2">
      <c r="A155" t="str">
        <f ca="1">OFFSET(Southland_Reference,42,2)</f>
        <v>Local Bus</v>
      </c>
      <c r="B155" s="4">
        <f ca="1">B166*'Total Distance Tables Sup #1'!B155*(1+'Other Assumptions'!D$57)</f>
        <v>30.182609224</v>
      </c>
      <c r="C155" s="4">
        <f ca="1">C166*'Total Distance Tables Sup #1'!C155*(1+'Other Assumptions'!G$57)</f>
        <v>28.455829338114345</v>
      </c>
      <c r="D155" s="4">
        <f ca="1">D166*'Total Distance Tables Sup #1'!D155*(1+'Other Assumptions'!H$57)</f>
        <v>27.025004329044116</v>
      </c>
      <c r="E155" s="4">
        <f ca="1">E166*'Total Distance Tables Sup #1'!E155*(1+'Other Assumptions'!I$57)</f>
        <v>25.984666073803744</v>
      </c>
      <c r="F155" s="4">
        <f ca="1">F166*'Total Distance Tables Sup #1'!F155*(1+'Other Assumptions'!J$57)</f>
        <v>24.569376654564511</v>
      </c>
      <c r="G155" s="4">
        <f ca="1">G166*'Total Distance Tables Sup #1'!G155*(1+'Other Assumptions'!K$57)</f>
        <v>23.456530643287209</v>
      </c>
      <c r="H155" s="4">
        <f ca="1">H166*'Total Distance Tables Sup #1'!H155*(1+'Other Assumptions'!L$57)</f>
        <v>22.313530073349639</v>
      </c>
      <c r="I155" s="1">
        <f ca="1">I166*'Total Distance Tables Sup #1'!I155*(1+'Other Assumptions'!M$57)</f>
        <v>22.045869554762486</v>
      </c>
      <c r="J155" s="1">
        <f ca="1">J166*'Total Distance Tables Sup #1'!J155*(1+'Other Assumptions'!N$57)</f>
        <v>21.711262350552609</v>
      </c>
      <c r="K155" s="1">
        <f ca="1">K166*'Total Distance Tables Sup #1'!K155*(1+'Other Assumptions'!O$57)</f>
        <v>21.334948639202143</v>
      </c>
    </row>
    <row r="156" spans="1:11" x14ac:dyDescent="0.2">
      <c r="A156" t="str">
        <f ca="1">OFFSET(Wellington_Reference,56,2)</f>
        <v>Local Ferry</v>
      </c>
      <c r="B156" s="4">
        <f>B167*'Total Distance Tables Sup #1'!B156*(1+'Other Assumptions'!D$57)</f>
        <v>0</v>
      </c>
      <c r="C156" s="4">
        <f ca="1">C167*'Total Distance Tables Sup #1'!C156*(1+'Other Assumptions'!G$57)</f>
        <v>0</v>
      </c>
      <c r="D156" s="4">
        <f ca="1">D167*'Total Distance Tables Sup #1'!D156*(1+'Other Assumptions'!H$57)</f>
        <v>0</v>
      </c>
      <c r="E156" s="4">
        <f ca="1">E167*'Total Distance Tables Sup #1'!E156*(1+'Other Assumptions'!I$57)</f>
        <v>0</v>
      </c>
      <c r="F156" s="4">
        <f ca="1">F167*'Total Distance Tables Sup #1'!F156*(1+'Other Assumptions'!J$57)</f>
        <v>0</v>
      </c>
      <c r="G156" s="4">
        <f ca="1">G167*'Total Distance Tables Sup #1'!G156*(1+'Other Assumptions'!K$57)</f>
        <v>0</v>
      </c>
      <c r="H156" s="4">
        <f ca="1">H167*'Total Distance Tables Sup #1'!H156*(1+'Other Assumptions'!L$57)</f>
        <v>0</v>
      </c>
      <c r="I156" s="1">
        <f ca="1">I167*'Total Distance Tables Sup #1'!I156*(1+'Other Assumptions'!M$57)</f>
        <v>0</v>
      </c>
      <c r="J156" s="1">
        <f ca="1">J167*'Total Distance Tables Sup #1'!J156*(1+'Other Assumptions'!N$57)</f>
        <v>0</v>
      </c>
      <c r="K156" s="1">
        <f ca="1">K167*'Total Distance Tables Sup #1'!K156*(1+'Other Assumptions'!O$57)</f>
        <v>0</v>
      </c>
    </row>
    <row r="157" spans="1:11" x14ac:dyDescent="0.2">
      <c r="A157" t="str">
        <f ca="1">OFFSET(Southland_Reference,49,2)</f>
        <v>Other Household Travel</v>
      </c>
      <c r="B157" s="4">
        <f ca="1">B168*'Total Distance Tables Sup #1'!B157*(1+'Other Assumptions'!D$57)</f>
        <v>0</v>
      </c>
      <c r="C157" s="4">
        <f ca="1">C168*'Total Distance Tables Sup #1'!C157*(1+'Other Assumptions'!G$57)</f>
        <v>0</v>
      </c>
      <c r="D157" s="4">
        <f ca="1">D168*'Total Distance Tables Sup #1'!D157*(1+'Other Assumptions'!H$57)</f>
        <v>0</v>
      </c>
      <c r="E157" s="4">
        <f ca="1">E168*'Total Distance Tables Sup #1'!E157*(1+'Other Assumptions'!I$57)</f>
        <v>0</v>
      </c>
      <c r="F157" s="4">
        <f ca="1">F168*'Total Distance Tables Sup #1'!F157*(1+'Other Assumptions'!J$57)</f>
        <v>0</v>
      </c>
      <c r="G157" s="4">
        <f ca="1">G168*'Total Distance Tables Sup #1'!G157*(1+'Other Assumptions'!K$57)</f>
        <v>0</v>
      </c>
      <c r="H157" s="4">
        <f ca="1">H168*'Total Distance Tables Sup #1'!H157*(1+'Other Assumptions'!L$57)</f>
        <v>0</v>
      </c>
      <c r="I157" s="1">
        <f ca="1">I168*'Total Distance Tables Sup #1'!I157*(1+'Other Assumptions'!M$57)</f>
        <v>0</v>
      </c>
      <c r="J157" s="1">
        <f ca="1">J168*'Total Distance Tables Sup #1'!J157*(1+'Other Assumptions'!N$57)</f>
        <v>0</v>
      </c>
      <c r="K157" s="1">
        <f ca="1">K168*'Total Distance Tables Sup #1'!K157*(1+'Other Assumptions'!O$57)</f>
        <v>0</v>
      </c>
    </row>
    <row r="158" spans="1:11" x14ac:dyDescent="0.2">
      <c r="A158" t="s">
        <v>18</v>
      </c>
    </row>
    <row r="159" spans="1:11" x14ac:dyDescent="0.2">
      <c r="A159" t="str">
        <f ca="1">'Total Distance Tables'!A16</f>
        <v>Pedestrian</v>
      </c>
      <c r="B159" s="58">
        <f ca="1">('Total Distance Tables Sup #1'!B170*'Updated Population'!B$158)/('Total Distance Tables Sup #1'!B159*1000000)</f>
        <v>1</v>
      </c>
      <c r="C159" s="58">
        <f ca="1">('Total Distance Tables Sup #1'!C170*'Updated Population'!C$158)/('Total Distance Tables Sup #1'!C159*1000000)</f>
        <v>0.9976704528339837</v>
      </c>
      <c r="D159" s="58">
        <f ca="1">('Total Distance Tables Sup #1'!D170*'Updated Population'!D$158)/('Total Distance Tables Sup #1'!D159*1000000)</f>
        <v>0.99556034269770299</v>
      </c>
      <c r="E159" s="58">
        <f ca="1">('Total Distance Tables Sup #1'!E170*'Updated Population'!E$158)/('Total Distance Tables Sup #1'!E159*1000000)</f>
        <v>0.99389682483242414</v>
      </c>
      <c r="F159" s="58">
        <f ca="1">('Total Distance Tables Sup #1'!F170*'Updated Population'!F$158)/('Total Distance Tables Sup #1'!F159*1000000)</f>
        <v>0.99224653438531096</v>
      </c>
      <c r="G159" s="58">
        <f ca="1">('Total Distance Tables Sup #1'!G170*'Updated Population'!G$158)/('Total Distance Tables Sup #1'!G159*1000000)</f>
        <v>0.99061746033083997</v>
      </c>
      <c r="H159" s="58">
        <f ca="1">('Total Distance Tables Sup #1'!H170*'Updated Population'!H$158)/('Total Distance Tables Sup #1'!H159*1000000)</f>
        <v>0.98901257848365409</v>
      </c>
      <c r="I159" s="58">
        <f ca="1">('Total Distance Tables Sup #1'!I170*'Updated Population'!I$158)/('Total Distance Tables Sup #1'!I159*1000000)</f>
        <v>0.98743000264986036</v>
      </c>
      <c r="J159" s="58">
        <f ca="1">('Total Distance Tables Sup #1'!J170*'Updated Population'!J$158)/('Total Distance Tables Sup #1'!J159*1000000)</f>
        <v>0.98586960327603868</v>
      </c>
      <c r="K159" s="58">
        <f ca="1">('Total Distance Tables Sup #1'!K170*'Updated Population'!K$158)/('Total Distance Tables Sup #1'!K159*1000000)</f>
        <v>0.9843312452182893</v>
      </c>
    </row>
    <row r="160" spans="1:11" x14ac:dyDescent="0.2">
      <c r="A160" t="str">
        <f ca="1">'Total Distance Tables'!A17</f>
        <v>Cyclist</v>
      </c>
      <c r="B160" s="58">
        <f ca="1">('Total Distance Tables Sup #1'!B171*'Updated Population'!B$158)/('Total Distance Tables Sup #1'!B160*1000000)</f>
        <v>1</v>
      </c>
      <c r="C160" s="58">
        <f ca="1">('Total Distance Tables Sup #1'!C171*'Updated Population'!C$158)/('Total Distance Tables Sup #1'!C160*1000000)</f>
        <v>0.99744484447081583</v>
      </c>
      <c r="D160" s="58">
        <f ca="1">('Total Distance Tables Sup #1'!D171*'Updated Population'!D$158)/('Total Distance Tables Sup #1'!D160*1000000)</f>
        <v>0.99610487220203892</v>
      </c>
      <c r="E160" s="58">
        <f ca="1">('Total Distance Tables Sup #1'!E171*'Updated Population'!E$158)/('Total Distance Tables Sup #1'!E160*1000000)</f>
        <v>0.99515146152751255</v>
      </c>
      <c r="F160" s="58">
        <f ca="1">('Total Distance Tables Sup #1'!F171*'Updated Population'!F$158)/('Total Distance Tables Sup #1'!F160*1000000)</f>
        <v>0.99422892463522072</v>
      </c>
      <c r="G160" s="58">
        <f ca="1">('Total Distance Tables Sup #1'!G171*'Updated Population'!G$158)/('Total Distance Tables Sup #1'!G160*1000000)</f>
        <v>0.99323951342586136</v>
      </c>
      <c r="H160" s="58">
        <f ca="1">('Total Distance Tables Sup #1'!H171*'Updated Population'!H$158)/('Total Distance Tables Sup #1'!H160*1000000)</f>
        <v>0.99224791221685793</v>
      </c>
      <c r="I160" s="58">
        <f ca="1">('Total Distance Tables Sup #1'!I171*'Updated Population'!I$158)/('Total Distance Tables Sup #1'!I160*1000000)</f>
        <v>0.99126984989292555</v>
      </c>
      <c r="J160" s="58">
        <f ca="1">('Total Distance Tables Sup #1'!J171*'Updated Population'!J$158)/('Total Distance Tables Sup #1'!J160*1000000)</f>
        <v>0.99030601522824524</v>
      </c>
      <c r="K160" s="58">
        <f ca="1">('Total Distance Tables Sup #1'!K171*'Updated Population'!K$158)/('Total Distance Tables Sup #1'!K160*1000000)</f>
        <v>0.98935707158702346</v>
      </c>
    </row>
    <row r="161" spans="1:11" x14ac:dyDescent="0.2">
      <c r="A161" t="str">
        <f ca="1">'Total Distance Tables'!A18</f>
        <v>Light Vehicle Driver</v>
      </c>
      <c r="B161" s="58">
        <f ca="1">('Total Distance Tables Sup #1'!B172*'Updated Population'!B$158)/('Total Distance Tables Sup #1'!B161*1000000)</f>
        <v>1</v>
      </c>
      <c r="C161" s="58">
        <f ca="1">('Total Distance Tables Sup #1'!C172*'Updated Population'!C$158)/('Total Distance Tables Sup #1'!C161*1000000)</f>
        <v>1.0007564596935055</v>
      </c>
      <c r="D161" s="58">
        <f ca="1">('Total Distance Tables Sup #1'!D172*'Updated Population'!D$158)/('Total Distance Tables Sup #1'!D161*1000000)</f>
        <v>1.0015259144354001</v>
      </c>
      <c r="E161" s="58">
        <f ca="1">('Total Distance Tables Sup #1'!E172*'Updated Population'!E$158)/('Total Distance Tables Sup #1'!E161*1000000)</f>
        <v>1.0020981310310482</v>
      </c>
      <c r="F161" s="58">
        <f ca="1">('Total Distance Tables Sup #1'!F172*'Updated Population'!F$158)/('Total Distance Tables Sup #1'!F161*1000000)</f>
        <v>1.0026748843911961</v>
      </c>
      <c r="G161" s="58">
        <f ca="1">('Total Distance Tables Sup #1'!G172*'Updated Population'!G$158)/('Total Distance Tables Sup #1'!G161*1000000)</f>
        <v>1.0032491071369174</v>
      </c>
      <c r="H161" s="58">
        <f ca="1">('Total Distance Tables Sup #1'!H172*'Updated Population'!H$158)/('Total Distance Tables Sup #1'!H161*1000000)</f>
        <v>1.0038309063982138</v>
      </c>
      <c r="I161" s="58">
        <f ca="1">('Total Distance Tables Sup #1'!I172*'Updated Population'!I$158)/('Total Distance Tables Sup #1'!I161*1000000)</f>
        <v>1.0044188128411868</v>
      </c>
      <c r="J161" s="58">
        <f ca="1">('Total Distance Tables Sup #1'!J172*'Updated Population'!J$158)/('Total Distance Tables Sup #1'!J161*1000000)</f>
        <v>1.0050125059710626</v>
      </c>
      <c r="K161" s="58">
        <f ca="1">('Total Distance Tables Sup #1'!K172*'Updated Population'!K$158)/('Total Distance Tables Sup #1'!K161*1000000)</f>
        <v>1.0056116610271071</v>
      </c>
    </row>
    <row r="162" spans="1:11" x14ac:dyDescent="0.2">
      <c r="A162" t="str">
        <f ca="1">'Total Distance Tables'!A19</f>
        <v>Light Vehicle Passenger</v>
      </c>
      <c r="B162" s="58">
        <f ca="1">('Total Distance Tables Sup #1'!B173*'Updated Population'!B$158)/('Total Distance Tables Sup #1'!B162*1000000)</f>
        <v>1</v>
      </c>
      <c r="C162" s="58">
        <f ca="1">('Total Distance Tables Sup #1'!C173*'Updated Population'!C$158)/('Total Distance Tables Sup #1'!C162*1000000)</f>
        <v>1.0015318130698203</v>
      </c>
      <c r="D162" s="58">
        <f ca="1">('Total Distance Tables Sup #1'!D173*'Updated Population'!D$158)/('Total Distance Tables Sup #1'!D162*1000000)</f>
        <v>1.0028974163862723</v>
      </c>
      <c r="E162" s="58">
        <f ca="1">('Total Distance Tables Sup #1'!E173*'Updated Population'!E$158)/('Total Distance Tables Sup #1'!E162*1000000)</f>
        <v>1.0039757566824212</v>
      </c>
      <c r="F162" s="58">
        <f ca="1">('Total Distance Tables Sup #1'!F173*'Updated Population'!F$158)/('Total Distance Tables Sup #1'!F162*1000000)</f>
        <v>1.005058216154521</v>
      </c>
      <c r="G162" s="58">
        <f ca="1">('Total Distance Tables Sup #1'!G173*'Updated Population'!G$158)/('Total Distance Tables Sup #1'!G162*1000000)</f>
        <v>1.006140984033844</v>
      </c>
      <c r="H162" s="58">
        <f ca="1">('Total Distance Tables Sup #1'!H173*'Updated Population'!H$158)/('Total Distance Tables Sup #1'!H162*1000000)</f>
        <v>1.0072151887343233</v>
      </c>
      <c r="I162" s="58">
        <f ca="1">('Total Distance Tables Sup #1'!I173*'Updated Population'!I$158)/('Total Distance Tables Sup #1'!I162*1000000)</f>
        <v>1.0082980496645089</v>
      </c>
      <c r="J162" s="58">
        <f ca="1">('Total Distance Tables Sup #1'!J173*'Updated Population'!J$158)/('Total Distance Tables Sup #1'!J162*1000000)</f>
        <v>1.0093889423205931</v>
      </c>
      <c r="K162" s="58">
        <f ca="1">('Total Distance Tables Sup #1'!K173*'Updated Population'!K$158)/('Total Distance Tables Sup #1'!K162*1000000)</f>
        <v>1.0104872345396452</v>
      </c>
    </row>
    <row r="163" spans="1:11" x14ac:dyDescent="0.2">
      <c r="A163" t="str">
        <f ca="1">'Total Distance Tables'!A20</f>
        <v>Taxi/Vehicle Share</v>
      </c>
      <c r="B163" s="58">
        <f ca="1">('Total Distance Tables Sup #1'!B174*'Updated Population'!B$158)/('Total Distance Tables Sup #1'!B163*1000000)</f>
        <v>1</v>
      </c>
      <c r="C163" s="58">
        <f ca="1">('Total Distance Tables Sup #1'!C174*'Updated Population'!C$158)/('Total Distance Tables Sup #1'!C163*1000000)</f>
        <v>0.99628955307400258</v>
      </c>
      <c r="D163" s="58">
        <f ca="1">('Total Distance Tables Sup #1'!D174*'Updated Population'!D$158)/('Total Distance Tables Sup #1'!D163*1000000)</f>
        <v>0.99263776616998123</v>
      </c>
      <c r="E163" s="58">
        <f ca="1">('Total Distance Tables Sup #1'!E174*'Updated Population'!E$158)/('Total Distance Tables Sup #1'!E163*1000000)</f>
        <v>0.98981794000091461</v>
      </c>
      <c r="F163" s="58">
        <f ca="1">('Total Distance Tables Sup #1'!F174*'Updated Population'!F$158)/('Total Distance Tables Sup #1'!F163*1000000)</f>
        <v>0.98697375204507964</v>
      </c>
      <c r="G163" s="58">
        <f ca="1">('Total Distance Tables Sup #1'!G174*'Updated Population'!G$158)/('Total Distance Tables Sup #1'!G163*1000000)</f>
        <v>0.98411240827381496</v>
      </c>
      <c r="H163" s="58">
        <f ca="1">('Total Distance Tables Sup #1'!H174*'Updated Population'!H$158)/('Total Distance Tables Sup #1'!H163*1000000)</f>
        <v>0.98125338788848271</v>
      </c>
      <c r="I163" s="58">
        <f ca="1">('Total Distance Tables Sup #1'!I174*'Updated Population'!I$158)/('Total Distance Tables Sup #1'!I163*1000000)</f>
        <v>0.97840591267355048</v>
      </c>
      <c r="J163" s="58">
        <f ca="1">('Total Distance Tables Sup #1'!J174*'Updated Population'!J$158)/('Total Distance Tables Sup #1'!J163*1000000)</f>
        <v>0.97557127814474109</v>
      </c>
      <c r="K163" s="58">
        <f ca="1">('Total Distance Tables Sup #1'!K174*'Updated Population'!K$158)/('Total Distance Tables Sup #1'!K163*1000000)</f>
        <v>0.97275073589531857</v>
      </c>
    </row>
    <row r="164" spans="1:11" x14ac:dyDescent="0.2">
      <c r="A164" t="str">
        <f ca="1">'Total Distance Tables'!A21</f>
        <v>Motorcyclist</v>
      </c>
      <c r="B164" s="58">
        <f ca="1">('Total Distance Tables Sup #1'!B175*'Updated Population'!B$158)/('Total Distance Tables Sup #1'!B164*1000000)</f>
        <v>1</v>
      </c>
      <c r="C164" s="58">
        <f ca="1">('Total Distance Tables Sup #1'!C175*'Updated Population'!C$158)/('Total Distance Tables Sup #1'!C164*1000000)</f>
        <v>1.0094921124467178</v>
      </c>
      <c r="D164" s="58">
        <f ca="1">('Total Distance Tables Sup #1'!D175*'Updated Population'!D$158)/('Total Distance Tables Sup #1'!D164*1000000)</f>
        <v>1.0175477527238841</v>
      </c>
      <c r="E164" s="58">
        <f ca="1">('Total Distance Tables Sup #1'!E175*'Updated Population'!E$158)/('Total Distance Tables Sup #1'!E164*1000000)</f>
        <v>1.0238935616224658</v>
      </c>
      <c r="F164" s="58">
        <f ca="1">('Total Distance Tables Sup #1'!F175*'Updated Population'!F$158)/('Total Distance Tables Sup #1'!F164*1000000)</f>
        <v>1.0302029504222157</v>
      </c>
      <c r="G164" s="58">
        <f ca="1">('Total Distance Tables Sup #1'!G175*'Updated Population'!G$158)/('Total Distance Tables Sup #1'!G164*1000000)</f>
        <v>1.036591991246683</v>
      </c>
      <c r="H164" s="58">
        <f ca="1">('Total Distance Tables Sup #1'!H175*'Updated Population'!H$158)/('Total Distance Tables Sup #1'!H164*1000000)</f>
        <v>1.0431446339892549</v>
      </c>
      <c r="I164" s="58">
        <f ca="1">('Total Distance Tables Sup #1'!I175*'Updated Population'!I$158)/('Total Distance Tables Sup #1'!I164*1000000)</f>
        <v>1.0497859063219421</v>
      </c>
      <c r="J164" s="58">
        <f ca="1">('Total Distance Tables Sup #1'!J175*'Updated Population'!J$158)/('Total Distance Tables Sup #1'!J164*1000000)</f>
        <v>1.0565139206968268</v>
      </c>
      <c r="K164" s="58">
        <f ca="1">('Total Distance Tables Sup #1'!K175*'Updated Population'!K$158)/('Total Distance Tables Sup #1'!K164*1000000)</f>
        <v>1.0633266826962802</v>
      </c>
    </row>
    <row r="165" spans="1:11" x14ac:dyDescent="0.2">
      <c r="A165" t="str">
        <f ca="1">'Total Distance Tables'!A22</f>
        <v>Local Train</v>
      </c>
      <c r="B165" s="58">
        <f ca="1">('Total Distance Tables Sup #1'!B176*'Updated Population'!B$158)/('Total Distance Tables Sup #1'!B165*1000000)</f>
        <v>1</v>
      </c>
      <c r="C165" s="58">
        <f ca="1">('Total Distance Tables Sup #1'!C176*'Updated Population'!C$158)/('Total Distance Tables Sup #1'!C165*1000000)</f>
        <v>1.0265940606597861</v>
      </c>
      <c r="D165" s="58">
        <f ca="1">('Total Distance Tables Sup #1'!D176*'Updated Population'!D$158)/('Total Distance Tables Sup #1'!D165*1000000)</f>
        <v>1.0422788545098116</v>
      </c>
      <c r="E165" s="58">
        <f ca="1">('Total Distance Tables Sup #1'!E176*'Updated Population'!E$158)/('Total Distance Tables Sup #1'!E165*1000000)</f>
        <v>1.0459194565744785</v>
      </c>
      <c r="F165" s="58">
        <f ca="1">('Total Distance Tables Sup #1'!F176*'Updated Population'!F$158)/('Total Distance Tables Sup #1'!F165*1000000)</f>
        <v>1.0480526049570054</v>
      </c>
      <c r="G165" s="58">
        <f ca="1">('Total Distance Tables Sup #1'!G176*'Updated Population'!G$158)/('Total Distance Tables Sup #1'!G165*1000000)</f>
        <v>1.0492125268250099</v>
      </c>
      <c r="H165" s="58">
        <f ca="1">('Total Distance Tables Sup #1'!H176*'Updated Population'!H$158)/('Total Distance Tables Sup #1'!H165*1000000)</f>
        <v>1.0503121231467687</v>
      </c>
      <c r="I165" s="58">
        <f ca="1">('Total Distance Tables Sup #1'!I176*'Updated Population'!I$158)/('Total Distance Tables Sup #1'!I165*1000000)</f>
        <v>1.0480196174009182</v>
      </c>
      <c r="J165" s="58">
        <f ca="1">('Total Distance Tables Sup #1'!J176*'Updated Population'!J$158)/('Total Distance Tables Sup #1'!J165*1000000)</f>
        <v>1.0458025774940698</v>
      </c>
      <c r="K165" s="58">
        <f ca="1">('Total Distance Tables Sup #1'!K176*'Updated Population'!K$158)/('Total Distance Tables Sup #1'!K165*1000000)</f>
        <v>1.0436553116450971</v>
      </c>
    </row>
    <row r="166" spans="1:11" x14ac:dyDescent="0.2">
      <c r="A166" t="str">
        <f ca="1">'Total Distance Tables'!A23</f>
        <v>Local Bus</v>
      </c>
      <c r="B166" s="58">
        <f ca="1">('Total Distance Tables Sup #1'!B177*'Updated Population'!B$169)/('Total Distance Tables Sup #1'!B166*1000000)</f>
        <v>1</v>
      </c>
      <c r="C166" s="58">
        <f ca="1">('Total Distance Tables Sup #1'!C177*'Updated Population'!C$169)/('Total Distance Tables Sup #1'!C166*1000000)</f>
        <v>1.0029790961346434</v>
      </c>
      <c r="D166" s="58">
        <f ca="1">('Total Distance Tables Sup #1'!D177*'Updated Population'!D$169)/('Total Distance Tables Sup #1'!D166*1000000)</f>
        <v>1.0050948955677683</v>
      </c>
      <c r="E166" s="58">
        <f ca="1">('Total Distance Tables Sup #1'!E177*'Updated Population'!E$169)/('Total Distance Tables Sup #1'!E166*1000000)</f>
        <v>1.0066502307790373</v>
      </c>
      <c r="F166" s="58">
        <f ca="1">('Total Distance Tables Sup #1'!F177*'Updated Population'!F$169)/('Total Distance Tables Sup #1'!F166*1000000)</f>
        <v>1.0081990216312497</v>
      </c>
      <c r="G166" s="58">
        <f ca="1">('Total Distance Tables Sup #1'!G177*'Updated Population'!G$169)/('Total Distance Tables Sup #1'!G166*1000000)</f>
        <v>1.0096884020472039</v>
      </c>
      <c r="H166" s="58">
        <f ca="1">('Total Distance Tables Sup #1'!H177*'Updated Population'!H$169)/('Total Distance Tables Sup #1'!H166*1000000)</f>
        <v>1.011158448268338</v>
      </c>
      <c r="I166" s="58">
        <f ca="1">('Total Distance Tables Sup #1'!I177*'Updated Population'!I$169)/('Total Distance Tables Sup #1'!I166*1000000)</f>
        <v>1.0125934586689769</v>
      </c>
      <c r="J166" s="58">
        <f ca="1">('Total Distance Tables Sup #1'!J177*'Updated Population'!J$169)/('Total Distance Tables Sup #1'!J166*1000000)</f>
        <v>1.0139920509550733</v>
      </c>
      <c r="K166" s="58">
        <f ca="1">('Total Distance Tables Sup #1'!K177*'Updated Population'!K$169)/('Total Distance Tables Sup #1'!K166*1000000)</f>
        <v>1.015352866295115</v>
      </c>
    </row>
    <row r="167" spans="1:11" x14ac:dyDescent="0.2">
      <c r="A167" t="str">
        <f ca="1">'Total Distance Tables'!A24</f>
        <v>Local Ferry</v>
      </c>
      <c r="B167" s="58">
        <v>1</v>
      </c>
      <c r="C167" s="58">
        <v>1</v>
      </c>
      <c r="D167" s="58">
        <v>1</v>
      </c>
      <c r="E167" s="58">
        <v>1</v>
      </c>
      <c r="F167" s="58">
        <v>1</v>
      </c>
      <c r="G167" s="58">
        <v>1</v>
      </c>
      <c r="H167" s="58">
        <v>1</v>
      </c>
      <c r="I167" s="58">
        <v>1</v>
      </c>
      <c r="J167" s="58">
        <v>1</v>
      </c>
      <c r="K167" s="58">
        <v>1</v>
      </c>
    </row>
    <row r="168" spans="1:11" x14ac:dyDescent="0.2">
      <c r="A168" t="str">
        <f ca="1">'Total Distance Tables'!A25</f>
        <v>Other Household Travel</v>
      </c>
      <c r="B168" s="58">
        <f ca="1">('Total Distance Tables Sup #1'!B179*'Updated Population'!B$158)/('Total Distance Tables Sup #1'!B168*1000000)</f>
        <v>1</v>
      </c>
      <c r="C168" s="58">
        <f ca="1">('Total Distance Tables Sup #1'!C179*'Updated Population'!C$158)/('Total Distance Tables Sup #1'!C168*1000000)</f>
        <v>0.98660084467653208</v>
      </c>
      <c r="D168" s="58">
        <f ca="1">('Total Distance Tables Sup #1'!D179*'Updated Population'!D$158)/('Total Distance Tables Sup #1'!D168*1000000)</f>
        <v>0.97448260679888021</v>
      </c>
      <c r="E168" s="58">
        <f ca="1">('Total Distance Tables Sup #1'!E179*'Updated Population'!E$158)/('Total Distance Tables Sup #1'!E168*1000000)</f>
        <v>0.96501695171525692</v>
      </c>
      <c r="F168" s="58">
        <f ca="1">('Total Distance Tables Sup #1'!F179*'Updated Population'!F$158)/('Total Distance Tables Sup #1'!F168*1000000)</f>
        <v>0.95564089096309324</v>
      </c>
      <c r="G168" s="58">
        <f ca="1">('Total Distance Tables Sup #1'!G179*'Updated Population'!G$158)/('Total Distance Tables Sup #1'!G168*1000000)</f>
        <v>0.94654592963778394</v>
      </c>
      <c r="H168" s="58">
        <f ca="1">('Total Distance Tables Sup #1'!H179*'Updated Population'!H$158)/('Total Distance Tables Sup #1'!H168*1000000)</f>
        <v>0.93764196475222439</v>
      </c>
      <c r="I168" s="58">
        <f ca="1">('Total Distance Tables Sup #1'!I179*'Updated Population'!I$158)/('Total Distance Tables Sup #1'!I168*1000000)</f>
        <v>0.92891493264825442</v>
      </c>
      <c r="J168" s="58">
        <f ca="1">('Total Distance Tables Sup #1'!J179*'Updated Population'!J$158)/('Total Distance Tables Sup #1'!J168*1000000)</f>
        <v>0.92036336491283954</v>
      </c>
      <c r="K168" s="58">
        <f ca="1">('Total Distance Tables Sup #1'!K179*'Updated Population'!K$158)/('Total Distance Tables Sup #1'!K168*1000000)</f>
        <v>0.91198567426730659</v>
      </c>
    </row>
    <row r="169" spans="1:11" x14ac:dyDescent="0.2">
      <c r="A169" t="s">
        <v>67</v>
      </c>
    </row>
    <row r="170" spans="1:11" x14ac:dyDescent="0.2">
      <c r="A170" t="s">
        <v>34</v>
      </c>
      <c r="B170" s="4">
        <f>'[1]Transition '!B$39</f>
        <v>0</v>
      </c>
      <c r="C170" s="4">
        <f>'[1]Transition '!C$39</f>
        <v>149.6667176390672</v>
      </c>
      <c r="D170" s="4">
        <f>'[1]Transition '!D$39</f>
        <v>479.09040598299362</v>
      </c>
      <c r="E170" s="56">
        <f>'[1]Transition '!E$39</f>
        <v>809.17631438213607</v>
      </c>
      <c r="F170" s="4">
        <f>'[1]Transition '!F$39</f>
        <v>970.39278933689013</v>
      </c>
      <c r="G170" s="4">
        <f>'[1]Transition '!G$39</f>
        <v>1134.7104900301629</v>
      </c>
      <c r="H170" s="4">
        <f>'[1]Transition '!H$39</f>
        <v>1300.4296097457241</v>
      </c>
      <c r="I170" s="1">
        <f>'[1]Transition '!I$39</f>
        <v>1464.9089669298294</v>
      </c>
      <c r="J170" s="1">
        <f>'[1]Transition '!J$39</f>
        <v>1640.9940580316547</v>
      </c>
      <c r="K170" s="1">
        <f>'[1]Transition '!K$39</f>
        <v>1837.4276023704674</v>
      </c>
    </row>
    <row r="171" spans="1:11" x14ac:dyDescent="0.2">
      <c r="A171" t="s">
        <v>41</v>
      </c>
      <c r="B171" s="4">
        <f>'[2]Transition '!B$39</f>
        <v>0</v>
      </c>
      <c r="C171" s="4">
        <f>'[2]Transition '!C$39</f>
        <v>1.8125443048732564</v>
      </c>
      <c r="D171" s="4">
        <f>'[2]Transition '!D$39</f>
        <v>24.583470168114673</v>
      </c>
      <c r="E171" s="4">
        <f>'[2]Transition '!E$39</f>
        <v>44.380066406277251</v>
      </c>
      <c r="F171" s="4">
        <f>'[2]Transition '!F$39</f>
        <v>64.240700271677611</v>
      </c>
      <c r="G171" s="4">
        <f>'[2]Transition '!G$39</f>
        <v>83.430739683517118</v>
      </c>
      <c r="H171" s="4">
        <f>'[2]Transition '!H$39</f>
        <v>104.39882007406368</v>
      </c>
      <c r="I171" s="1">
        <f>'[2]Transition '!I$39</f>
        <v>129.18791421694652</v>
      </c>
      <c r="J171" s="1">
        <f>'[2]Transition '!J$39</f>
        <v>156.51792000892442</v>
      </c>
      <c r="K171" s="1">
        <f>'[2]Transition '!K$39</f>
        <v>186.28048406112038</v>
      </c>
    </row>
    <row r="172" spans="1:11" x14ac:dyDescent="0.2">
      <c r="A172" t="s">
        <v>68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">
      <c r="A173" t="s">
        <v>34</v>
      </c>
      <c r="B173" s="4">
        <f>'[1]Transition '!B$42</f>
        <v>0</v>
      </c>
      <c r="C173" s="4">
        <f>'[1]Transition '!C$42</f>
        <v>2.7920897337303359</v>
      </c>
      <c r="D173" s="4">
        <f>'[1]Transition '!D$42</f>
        <v>149.0547866152898</v>
      </c>
      <c r="E173" s="56">
        <f>'[1]Transition '!E$42</f>
        <v>291.99274191995642</v>
      </c>
      <c r="F173" s="4">
        <f>'[1]Transition '!F$42</f>
        <v>378.25025298041726</v>
      </c>
      <c r="G173" s="4">
        <f>'[1]Transition '!G$42</f>
        <v>464.60412008258197</v>
      </c>
      <c r="H173" s="4">
        <f>'[1]Transition '!H$42</f>
        <v>554.574613999897</v>
      </c>
      <c r="I173" s="1">
        <f>'[1]Transition '!I$42</f>
        <v>635.10085314243668</v>
      </c>
      <c r="J173" s="1">
        <f>'[1]Transition '!J$42</f>
        <v>722.18756261278156</v>
      </c>
      <c r="K173" s="1">
        <f>'[1]Transition '!K$42</f>
        <v>819.67549985521759</v>
      </c>
    </row>
    <row r="174" spans="1:11" x14ac:dyDescent="0.2">
      <c r="A174" t="s">
        <v>41</v>
      </c>
      <c r="B174" s="4">
        <f>'[2]Transition '!B$42</f>
        <v>0</v>
      </c>
      <c r="C174" s="4">
        <f>'[2]Transition '!C$42</f>
        <v>-0.45467703292075612</v>
      </c>
      <c r="D174" s="4">
        <f>'[2]Transition '!D$42</f>
        <v>17.199542166879439</v>
      </c>
      <c r="E174" s="4">
        <f>'[2]Transition '!E$42</f>
        <v>29.460659222508326</v>
      </c>
      <c r="F174" s="4">
        <f>'[2]Transition '!F$42</f>
        <v>34.226017684354559</v>
      </c>
      <c r="G174" s="4">
        <f>'[2]Transition '!G$42</f>
        <v>39.776190632410533</v>
      </c>
      <c r="H174" s="4">
        <f>'[2]Transition '!H$42</f>
        <v>46.279323381775384</v>
      </c>
      <c r="I174" s="1">
        <f>'[2]Transition '!I$42</f>
        <v>50.816708145982744</v>
      </c>
      <c r="J174" s="1">
        <f>'[2]Transition '!J$42</f>
        <v>56.04924435355656</v>
      </c>
      <c r="K174" s="1">
        <f>'[2]Transition '!K$42</f>
        <v>61.816529624469467</v>
      </c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0" spans="2:8" x14ac:dyDescent="0.2">
      <c r="B180" s="4"/>
      <c r="C180" s="4"/>
      <c r="D180" s="4"/>
      <c r="E180" s="4"/>
      <c r="F180" s="4"/>
      <c r="G180" s="4"/>
      <c r="H180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  <row r="191" spans="2:8" x14ac:dyDescent="0.2">
      <c r="B191" s="4"/>
      <c r="C191" s="4"/>
      <c r="D191" s="4"/>
      <c r="E191" s="4"/>
      <c r="F191" s="4"/>
      <c r="G191" s="4"/>
      <c r="H191" s="4"/>
    </row>
    <row r="193" spans="2:8" x14ac:dyDescent="0.2">
      <c r="B193" s="4"/>
      <c r="C193" s="4"/>
      <c r="D193" s="4"/>
      <c r="E193" s="4"/>
      <c r="F193" s="4"/>
      <c r="G193" s="4"/>
      <c r="H193" s="4"/>
    </row>
    <row r="194" spans="2:8" x14ac:dyDescent="0.2">
      <c r="B194" s="4"/>
      <c r="C194" s="4"/>
      <c r="D194" s="4"/>
      <c r="E194" s="4"/>
      <c r="F194" s="4"/>
      <c r="G194" s="4"/>
      <c r="H194" s="4"/>
    </row>
    <row r="195" spans="2:8" x14ac:dyDescent="0.2">
      <c r="B195" s="4"/>
      <c r="C195" s="4"/>
      <c r="D195" s="4"/>
      <c r="E195" s="4"/>
      <c r="F195" s="4"/>
      <c r="G195" s="4"/>
      <c r="H195" s="4"/>
    </row>
    <row r="196" spans="2:8" x14ac:dyDescent="0.2">
      <c r="B196" s="4"/>
      <c r="C196" s="4"/>
      <c r="D196" s="4"/>
      <c r="E196" s="4"/>
      <c r="F196" s="4"/>
      <c r="G196" s="4"/>
      <c r="H196" s="4"/>
    </row>
    <row r="197" spans="2:8" x14ac:dyDescent="0.2">
      <c r="B197" s="4"/>
      <c r="C197" s="4"/>
      <c r="D197" s="4"/>
      <c r="E197" s="4"/>
      <c r="F197" s="4"/>
      <c r="G197" s="4"/>
      <c r="H197" s="4"/>
    </row>
    <row r="198" spans="2:8" x14ac:dyDescent="0.2">
      <c r="B198" s="4"/>
      <c r="C198" s="4"/>
      <c r="D198" s="4"/>
      <c r="E198" s="4"/>
      <c r="F198" s="4"/>
      <c r="G198" s="4"/>
      <c r="H198" s="4"/>
    </row>
    <row r="199" spans="2:8" x14ac:dyDescent="0.2">
      <c r="B199" s="4"/>
      <c r="C199" s="4"/>
      <c r="D199" s="4"/>
      <c r="E199" s="4"/>
      <c r="F199" s="4"/>
      <c r="G199" s="4"/>
      <c r="H199" s="4"/>
    </row>
    <row r="200" spans="2:8" x14ac:dyDescent="0.2">
      <c r="B200" s="4"/>
      <c r="C200" s="4"/>
      <c r="D200" s="4"/>
      <c r="E200" s="4"/>
      <c r="F200" s="4"/>
      <c r="G200" s="4"/>
      <c r="H200" s="4"/>
    </row>
    <row r="201" spans="2:8" x14ac:dyDescent="0.2">
      <c r="B201" s="4"/>
      <c r="C201" s="4"/>
      <c r="D201" s="4"/>
      <c r="E201" s="4"/>
      <c r="F201" s="4"/>
      <c r="G201" s="4"/>
      <c r="H201" s="4"/>
    </row>
    <row r="202" spans="2:8" x14ac:dyDescent="0.2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T190"/>
  <sheetViews>
    <sheetView workbookViewId="0">
      <pane xSplit="1" ySplit="3" topLeftCell="B131" activePane="bottomRight" state="frozen"/>
      <selection pane="topRight" activeCell="B1" sqref="B1"/>
      <selection pane="bottomLeft" activeCell="A4" sqref="A4"/>
      <selection pane="bottomRight" activeCell="L23" sqref="L23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70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OFFSET(Northland_Reference,0,6)</f>
        <v>17.849116999</v>
      </c>
      <c r="C5" s="4">
        <f ca="1">$B5*('Updated Population'!C$4/'Updated Population'!$B$4)*('Total Distance Tables Sup #1'!C170/'Total Distance Tables Sup #1'!$B170)</f>
        <v>19.03636789004252</v>
      </c>
      <c r="D5" s="4">
        <f ca="1">$B5*('Updated Population'!D$4/'Updated Population'!$B$4)*('Total Distance Tables Sup #1'!D170/'Total Distance Tables Sup #1'!$B170)</f>
        <v>19.63132687632941</v>
      </c>
      <c r="E5" s="4">
        <f ca="1">$B5*('Updated Population'!E$4/'Updated Population'!$B$4)*('Total Distance Tables Sup #1'!E170/'Total Distance Tables Sup #1'!$B170)</f>
        <v>19.871415145993147</v>
      </c>
      <c r="F5" s="4">
        <f ca="1">$B5*('Updated Population'!F$4/'Updated Population'!$B$4)*('Total Distance Tables Sup #1'!F170/'Total Distance Tables Sup #1'!$B170)</f>
        <v>19.878846175257163</v>
      </c>
      <c r="G5" s="4">
        <f ca="1">$B5*('Updated Population'!G$4/'Updated Population'!$B$4)*('Total Distance Tables Sup #1'!G170/'Total Distance Tables Sup #1'!$B170)</f>
        <v>19.823333607404674</v>
      </c>
      <c r="H5" s="4">
        <f ca="1">$B5*('Updated Population'!H$4/'Updated Population'!$B$4)*('Total Distance Tables Sup #1'!H170/'Total Distance Tables Sup #1'!$B170)</f>
        <v>19.675750541894381</v>
      </c>
      <c r="I5" s="1">
        <f ca="1">$B5*('Updated Population'!I$4/'Updated Population'!$B$4)*('Total Distance Tables Sup #1'!I170/'Total Distance Tables Sup #1'!$B170)</f>
        <v>19.948245905525571</v>
      </c>
      <c r="J5" s="1">
        <f ca="1">$B5*('Updated Population'!J$4/'Updated Population'!$B$4)*('Total Distance Tables Sup #1'!J170/'Total Distance Tables Sup #1'!$B170)</f>
        <v>20.168223234370121</v>
      </c>
      <c r="K5" s="1">
        <f ca="1">$B5*('Updated Population'!K$4/'Updated Population'!$B$4)*('Total Distance Tables Sup #1'!K170/'Total Distance Tables Sup #1'!$B170)</f>
        <v>20.355118989278321</v>
      </c>
    </row>
    <row r="6" spans="1:11" x14ac:dyDescent="0.2">
      <c r="A6" t="str">
        <f ca="1">OFFSET(Northland_Reference,7,2)</f>
        <v>Cyclist</v>
      </c>
      <c r="B6" s="4">
        <f ca="1">OFFSET(Northland_Reference,7,6)</f>
        <v>1.0072239942000001</v>
      </c>
      <c r="C6" s="4">
        <f ca="1">$B6*('Updated Population'!C$4/'Updated Population'!$B$4)*('Total Distance Tables Sup #1'!C171/'Total Distance Tables Sup #1'!$B171)</f>
        <v>1.1135903612753728</v>
      </c>
      <c r="D6" s="4">
        <f ca="1">$B6*('Updated Population'!D$4/'Updated Population'!$B$4)*('Total Distance Tables Sup #1'!D171/'Total Distance Tables Sup #1'!$B171)</f>
        <v>1.1653849325967898</v>
      </c>
      <c r="E6" s="4">
        <f ca="1">$B6*('Updated Population'!E$4/'Updated Population'!$B$4)*('Total Distance Tables Sup #1'!E171/'Total Distance Tables Sup #1'!$B171)</f>
        <v>1.1891717002262203</v>
      </c>
      <c r="F6" s="4">
        <f ca="1">$B6*('Updated Population'!F$4/'Updated Population'!$B$4)*('Total Distance Tables Sup #1'!F171/'Total Distance Tables Sup #1'!$B171)</f>
        <v>1.2254326060715943</v>
      </c>
      <c r="G6" s="4">
        <f ca="1">$B6*('Updated Population'!G$4/'Updated Population'!$B$4)*('Total Distance Tables Sup #1'!G171/'Total Distance Tables Sup #1'!$B171)</f>
        <v>1.2784449234064499</v>
      </c>
      <c r="H6" s="4">
        <f ca="1">$B6*('Updated Population'!H$4/'Updated Population'!$B$4)*('Total Distance Tables Sup #1'!H171/'Total Distance Tables Sup #1'!$B171)</f>
        <v>1.3306582391351072</v>
      </c>
      <c r="I6" s="1">
        <f ca="1">$B6*('Updated Population'!I$4/'Updated Population'!$B$4)*('Total Distance Tables Sup #1'!I171/'Total Distance Tables Sup #1'!$B171)</f>
        <v>1.349086923721746</v>
      </c>
      <c r="J6" s="1">
        <f ca="1">$B6*('Updated Population'!J$4/'Updated Population'!$B$4)*('Total Distance Tables Sup #1'!J171/'Total Distance Tables Sup #1'!$B171)</f>
        <v>1.3639638477011731</v>
      </c>
      <c r="K6" s="1">
        <f ca="1">$B6*('Updated Population'!K$4/'Updated Population'!$B$4)*('Total Distance Tables Sup #1'!K171/'Total Distance Tables Sup #1'!$B171)</f>
        <v>1.3766034863059848</v>
      </c>
    </row>
    <row r="7" spans="1:11" x14ac:dyDescent="0.2">
      <c r="A7" t="str">
        <f ca="1">OFFSET(Northland_Reference,14,2)</f>
        <v>Light Vehicle Driver</v>
      </c>
      <c r="B7" s="4">
        <f ca="1">OFFSET(Northland_Reference,14,6)</f>
        <v>1011.4273062</v>
      </c>
      <c r="C7" s="4">
        <f ca="1">$B7*('Updated Population'!C$4/'Updated Population'!$B$4)*('Total Distance Tables Sup #1'!C172/'Total Distance Tables Sup #1'!$B172)</f>
        <v>1113.5812496245076</v>
      </c>
      <c r="D7" s="4">
        <f ca="1">$B7*('Updated Population'!D$4/'Updated Population'!$B$4)*('Total Distance Tables Sup #1'!D172/'Total Distance Tables Sup #1'!$B172)</f>
        <v>1172.1025847680314</v>
      </c>
      <c r="E7" s="4">
        <f ca="1">$B7*('Updated Population'!E$4/'Updated Population'!$B$4)*('Total Distance Tables Sup #1'!E172/'Total Distance Tables Sup #1'!$B172)</f>
        <v>1223.997221169609</v>
      </c>
      <c r="F7" s="4">
        <f ca="1">$B7*('Updated Population'!F$4/'Updated Population'!$B$4)*('Total Distance Tables Sup #1'!F172/'Total Distance Tables Sup #1'!$B172)</f>
        <v>1267.604917358778</v>
      </c>
      <c r="G7" s="4">
        <f ca="1">$B7*('Updated Population'!G$4/'Updated Population'!$B$4)*('Total Distance Tables Sup #1'!G172/'Total Distance Tables Sup #1'!$B172)</f>
        <v>1296.5504467201717</v>
      </c>
      <c r="H7" s="4">
        <f ca="1">$B7*('Updated Population'!H$4/'Updated Population'!$B$4)*('Total Distance Tables Sup #1'!H172/'Total Distance Tables Sup #1'!$B172)</f>
        <v>1318.0454893883975</v>
      </c>
      <c r="I7" s="1">
        <f ca="1">$B7*('Updated Population'!I$4/'Updated Population'!$B$4)*('Total Distance Tables Sup #1'!I172/'Total Distance Tables Sup #1'!$B172)</f>
        <v>1336.2994962253208</v>
      </c>
      <c r="J7" s="1">
        <f ca="1">$B7*('Updated Population'!J$4/'Updated Population'!$B$4)*('Total Distance Tables Sup #1'!J172/'Total Distance Tables Sup #1'!$B172)</f>
        <v>1351.0354080998852</v>
      </c>
      <c r="K7" s="1">
        <f ca="1">$B7*('Updated Population'!K$4/'Updated Population'!$B$4)*('Total Distance Tables Sup #1'!K172/'Total Distance Tables Sup #1'!$B172)</f>
        <v>1363.5552408868523</v>
      </c>
    </row>
    <row r="8" spans="1:11" x14ac:dyDescent="0.2">
      <c r="A8" t="str">
        <f ca="1">OFFSET(Northland_Reference,21,2)</f>
        <v>Light Vehicle Passenger</v>
      </c>
      <c r="B8" s="4">
        <f ca="1">OFFSET(Northland_Reference,21,6)</f>
        <v>666.23785996000004</v>
      </c>
      <c r="C8" s="4">
        <f ca="1">$B8*('Updated Population'!C$4/'Updated Population'!$B$4)*('Total Distance Tables Sup #1'!C173/'Total Distance Tables Sup #1'!$B173)</f>
        <v>705.91438925626665</v>
      </c>
      <c r="D8" s="4">
        <f ca="1">$B8*('Updated Population'!D$4/'Updated Population'!$B$4)*('Total Distance Tables Sup #1'!D173/'Total Distance Tables Sup #1'!$B173)</f>
        <v>727.4691320661874</v>
      </c>
      <c r="E8" s="4">
        <f ca="1">$B8*('Updated Population'!E$4/'Updated Population'!$B$4)*('Total Distance Tables Sup #1'!E173/'Total Distance Tables Sup #1'!$B173)</f>
        <v>744.36616402994264</v>
      </c>
      <c r="F8" s="4">
        <f ca="1">$B8*('Updated Population'!F$4/'Updated Population'!$B$4)*('Total Distance Tables Sup #1'!F173/'Total Distance Tables Sup #1'!$B173)</f>
        <v>754.31177092969665</v>
      </c>
      <c r="G8" s="4">
        <f ca="1">$B8*('Updated Population'!G$4/'Updated Population'!$B$4)*('Total Distance Tables Sup #1'!G173/'Total Distance Tables Sup #1'!$B173)</f>
        <v>758.39536153173617</v>
      </c>
      <c r="H8" s="4">
        <f ca="1">$B8*('Updated Population'!H$4/'Updated Population'!$B$4)*('Total Distance Tables Sup #1'!H173/'Total Distance Tables Sup #1'!$B173)</f>
        <v>757.75847664250648</v>
      </c>
      <c r="I8" s="1">
        <f ca="1">$B8*('Updated Population'!I$4/'Updated Population'!$B$4)*('Total Distance Tables Sup #1'!I173/'Total Distance Tables Sup #1'!$B173)</f>
        <v>768.25290079154502</v>
      </c>
      <c r="J8" s="1">
        <f ca="1">$B8*('Updated Population'!J$4/'Updated Population'!$B$4)*('Total Distance Tables Sup #1'!J173/'Total Distance Tables Sup #1'!$B173)</f>
        <v>776.72473444516925</v>
      </c>
      <c r="K8" s="1">
        <f ca="1">$B8*('Updated Population'!K$4/'Updated Population'!$B$4)*('Total Distance Tables Sup #1'!K173/'Total Distance Tables Sup #1'!$B173)</f>
        <v>783.9225204827917</v>
      </c>
    </row>
    <row r="9" spans="1:11" x14ac:dyDescent="0.2">
      <c r="A9" t="str">
        <f ca="1">OFFSET(Northland_Reference,28,2)</f>
        <v>Taxi/Vehicle Share</v>
      </c>
      <c r="B9" s="4">
        <f ca="1">OFFSET(Northland_Reference,28,6)</f>
        <v>0.75976041549999995</v>
      </c>
      <c r="C9" s="4">
        <f ca="1">$B9*('Updated Population'!C$4/'Updated Population'!$B$4)*('Total Distance Tables Sup #1'!C174/'Total Distance Tables Sup #1'!$B174)</f>
        <v>0.87559463294921169</v>
      </c>
      <c r="D9" s="4">
        <f ca="1">$B9*('Updated Population'!D$4/'Updated Population'!$B$4)*('Total Distance Tables Sup #1'!D174/'Total Distance Tables Sup #1'!$B174)</f>
        <v>0.97123860642807558</v>
      </c>
      <c r="E9" s="4">
        <f ca="1">$B9*('Updated Population'!E$4/'Updated Population'!$B$4)*('Total Distance Tables Sup #1'!E174/'Total Distance Tables Sup #1'!$B174)</f>
        <v>1.0567276066330098</v>
      </c>
      <c r="F9" s="4">
        <f ca="1">$B9*('Updated Population'!F$4/'Updated Population'!$B$4)*('Total Distance Tables Sup #1'!F174/'Total Distance Tables Sup #1'!$B174)</f>
        <v>1.1283159446061255</v>
      </c>
      <c r="G9" s="4">
        <f ca="1">$B9*('Updated Population'!G$4/'Updated Population'!$B$4)*('Total Distance Tables Sup #1'!G174/'Total Distance Tables Sup #1'!$B174)</f>
        <v>1.1802041929439071</v>
      </c>
      <c r="H9" s="4">
        <f ca="1">$B9*('Updated Population'!H$4/'Updated Population'!$B$4)*('Total Distance Tables Sup #1'!H174/'Total Distance Tables Sup #1'!$B174)</f>
        <v>1.2258851135449276</v>
      </c>
      <c r="I9" s="1">
        <f ca="1">$B9*('Updated Population'!I$4/'Updated Population'!$B$4)*('Total Distance Tables Sup #1'!I174/'Total Distance Tables Sup #1'!$B174)</f>
        <v>1.2428627637277867</v>
      </c>
      <c r="J9" s="1">
        <f ca="1">$B9*('Updated Population'!J$4/'Updated Population'!$B$4)*('Total Distance Tables Sup #1'!J174/'Total Distance Tables Sup #1'!$B174)</f>
        <v>1.2565683111819348</v>
      </c>
      <c r="K9" s="1">
        <f ca="1">$B9*('Updated Population'!K$4/'Updated Population'!$B$4)*('Total Distance Tables Sup #1'!K174/'Total Distance Tables Sup #1'!$B174)</f>
        <v>1.2682127322289931</v>
      </c>
    </row>
    <row r="10" spans="1:11" x14ac:dyDescent="0.2">
      <c r="A10" t="str">
        <f ca="1">OFFSET(Northland_Reference,35,2)</f>
        <v>Motorcyclist</v>
      </c>
      <c r="B10" s="4">
        <f ca="1">OFFSET(Northland_Reference,35,6)</f>
        <v>9.2423909657000003</v>
      </c>
      <c r="C10" s="4">
        <f ca="1">$B10*('Updated Population'!C$4/'Updated Population'!$B$4)*('Total Distance Tables Sup #1'!C175/'Total Distance Tables Sup #1'!$B175)</f>
        <v>10.099238922784778</v>
      </c>
      <c r="D10" s="4">
        <f ca="1">$B10*('Updated Population'!D$4/'Updated Population'!$B$4)*('Total Distance Tables Sup #1'!D175/'Total Distance Tables Sup #1'!$B175)</f>
        <v>10.52597943192108</v>
      </c>
      <c r="E10" s="4">
        <f ca="1">$B10*('Updated Population'!E$4/'Updated Population'!$B$4)*('Total Distance Tables Sup #1'!E175/'Total Distance Tables Sup #1'!$B175)</f>
        <v>10.732276376745807</v>
      </c>
      <c r="F10" s="4">
        <f ca="1">$B10*('Updated Population'!F$4/'Updated Population'!$B$4)*('Total Distance Tables Sup #1'!F175/'Total Distance Tables Sup #1'!$B175)</f>
        <v>10.801319485139265</v>
      </c>
      <c r="G10" s="4">
        <f ca="1">$B10*('Updated Population'!G$4/'Updated Population'!$B$4)*('Total Distance Tables Sup #1'!G175/'Total Distance Tables Sup #1'!$B175)</f>
        <v>10.660975362164688</v>
      </c>
      <c r="H10" s="4">
        <f ca="1">$B10*('Updated Population'!H$4/'Updated Population'!$B$4)*('Total Distance Tables Sup #1'!H175/'Total Distance Tables Sup #1'!$B175)</f>
        <v>10.450867432825669</v>
      </c>
      <c r="I10" s="1">
        <f ca="1">$B10*('Updated Population'!I$4/'Updated Population'!$B$4)*('Total Distance Tables Sup #1'!I175/'Total Distance Tables Sup #1'!$B175)</f>
        <v>10.595604626728667</v>
      </c>
      <c r="J10" s="1">
        <f ca="1">$B10*('Updated Population'!J$4/'Updated Population'!$B$4)*('Total Distance Tables Sup #1'!J175/'Total Distance Tables Sup #1'!$B175)</f>
        <v>10.712446619469247</v>
      </c>
      <c r="K10" s="1">
        <f ca="1">$B10*('Updated Population'!K$4/'Updated Population'!$B$4)*('Total Distance Tables Sup #1'!K175/'Total Distance Tables Sup #1'!$B175)</f>
        <v>10.811717178635192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Distance Tables Sup #1'!C176/'Total Distance Tables Sup #1'!$B176)</f>
        <v>0</v>
      </c>
      <c r="D11" s="4">
        <f ca="1">$B11*('Updated Population'!D$4/'Updated Population'!$B$4)*('Total Distance Tables Sup #1'!D176/'Total Distance Tables Sup #1'!$B176)</f>
        <v>0</v>
      </c>
      <c r="E11" s="4">
        <f ca="1">$B11*('Updated Population'!E$4/'Updated Population'!$B$4)*('Total Distance Tables Sup #1'!E176/'Total Distance Tables Sup #1'!$B176)</f>
        <v>0</v>
      </c>
      <c r="F11" s="4">
        <f ca="1">$B11*('Updated Population'!F$4/'Updated Population'!$B$4)*('Total Distance Tables Sup #1'!F176/'Total Distance Tables Sup #1'!$B176)</f>
        <v>0</v>
      </c>
      <c r="G11" s="4">
        <f ca="1">$B11*('Updated Population'!G$4/'Updated Population'!$B$4)*('Total Distance Tables Sup #1'!G176/'Total Distance Tables Sup #1'!$B176)</f>
        <v>0</v>
      </c>
      <c r="H11" s="4">
        <f ca="1">$B11*('Updated Population'!H$4/'Updated Population'!$B$4)*('Total Distance Tables Sup #1'!H176/'Total Distance Tables Sup #1'!$B176)</f>
        <v>0</v>
      </c>
      <c r="I11" s="1">
        <f ca="1">$B11*('Updated Population'!I$4/'Updated Population'!$B$4)*('Total Distance Tables Sup #1'!I176/'Total Distance Tables Sup #1'!$B176)</f>
        <v>0</v>
      </c>
      <c r="J11" s="1">
        <f ca="1">$B11*('Updated Population'!J$4/'Updated Population'!$B$4)*('Total Distance Tables Sup #1'!J176/'Total Distance Tables Sup #1'!$B176)</f>
        <v>0</v>
      </c>
      <c r="K11" s="1">
        <f ca="1">$B11*('Updated Population'!K$4/'Updated Population'!$B$4)*('Total Distance Tables Sup #1'!K176/'Total Distance Tables Sup #1'!$B176)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OFFSET(Northland_Reference,42,6)</f>
        <v>44.734594063999999</v>
      </c>
      <c r="C12" s="4">
        <f ca="1">$B12*('Updated Population'!C$4/'Updated Population'!$B$4)*('Total Distance Tables Sup #1'!C177/'Total Distance Tables Sup #1'!$B177)</f>
        <v>44.079220274765099</v>
      </c>
      <c r="D12" s="4">
        <f ca="1">$B12*('Updated Population'!D$4/'Updated Population'!$B$4)*('Total Distance Tables Sup #1'!D177/'Total Distance Tables Sup #1'!$B177)</f>
        <v>43.51753164176089</v>
      </c>
      <c r="E12" s="4">
        <f ca="1">$B12*('Updated Population'!E$4/'Updated Population'!$B$4)*('Total Distance Tables Sup #1'!E177/'Total Distance Tables Sup #1'!$B177)</f>
        <v>43.144923016173152</v>
      </c>
      <c r="F12" s="4">
        <f ca="1">$B12*('Updated Population'!F$4/'Updated Population'!$B$4)*('Total Distance Tables Sup #1'!F177/'Total Distance Tables Sup #1'!$B177)</f>
        <v>41.942092747671076</v>
      </c>
      <c r="G12" s="4">
        <f ca="1">$B12*('Updated Population'!G$4/'Updated Population'!$B$4)*('Total Distance Tables Sup #1'!G177/'Total Distance Tables Sup #1'!$B177)</f>
        <v>41.13437387327091</v>
      </c>
      <c r="H12" s="4">
        <f ca="1">$B12*('Updated Population'!H$4/'Updated Population'!$B$4)*('Total Distance Tables Sup #1'!H177/'Total Distance Tables Sup #1'!$B177)</f>
        <v>40.136277648348205</v>
      </c>
      <c r="I12" s="1">
        <f ca="1">$B12*('Updated Population'!I$4/'Updated Population'!$B$4)*('Total Distance Tables Sup #1'!I177/'Total Distance Tables Sup #1'!$B177)</f>
        <v>40.692136981353137</v>
      </c>
      <c r="J12" s="1">
        <f ca="1">$B12*('Updated Population'!J$4/'Updated Population'!$B$4)*('Total Distance Tables Sup #1'!J177/'Total Distance Tables Sup #1'!$B177)</f>
        <v>41.140865538266269</v>
      </c>
      <c r="K12" s="1">
        <f ca="1">$B12*('Updated Population'!K$4/'Updated Population'!$B$4)*('Total Distance Tables Sup #1'!K177/'Total Distance Tables Sup #1'!$B177)</f>
        <v>41.522111473170817</v>
      </c>
    </row>
    <row r="13" spans="1:11" x14ac:dyDescent="0.2">
      <c r="A13" t="str">
        <f ca="1">OFFSET(Northland_Reference,49,2)</f>
        <v>Local Ferry</v>
      </c>
      <c r="B13" s="4">
        <f ca="1">OFFSET(Northland_Reference,49,6)</f>
        <v>0</v>
      </c>
      <c r="C13" s="4">
        <f ca="1">$B13*('Updated Population'!C$4/'Updated Population'!$B$4)*('Total Distance Tables Sup #1'!C178/'Total Distance Tables Sup #1'!$B178)</f>
        <v>0</v>
      </c>
      <c r="D13" s="4">
        <f ca="1">$B13*('Updated Population'!D$4/'Updated Population'!$B$4)*('Total Distance Tables Sup #1'!D178/'Total Distance Tables Sup #1'!$B178)</f>
        <v>0</v>
      </c>
      <c r="E13" s="4">
        <f ca="1">$B13*('Updated Population'!E$4/'Updated Population'!$B$4)*('Total Distance Tables Sup #1'!E178/'Total Distance Tables Sup #1'!$B178)</f>
        <v>0</v>
      </c>
      <c r="F13" s="4">
        <f ca="1">$B13*('Updated Population'!F$4/'Updated Population'!$B$4)*('Total Distance Tables Sup #1'!F178/'Total Distance Tables Sup #1'!$B178)</f>
        <v>0</v>
      </c>
      <c r="G13" s="4">
        <f ca="1">$B13*('Updated Population'!G$4/'Updated Population'!$B$4)*('Total Distance Tables Sup #1'!G178/'Total Distance Tables Sup #1'!$B178)</f>
        <v>0</v>
      </c>
      <c r="H13" s="4">
        <f ca="1">$B13*('Updated Population'!H$4/'Updated Population'!$B$4)*('Total Distance Tables Sup #1'!H178/'Total Distance Tables Sup #1'!$B178)</f>
        <v>0</v>
      </c>
      <c r="I13" s="1">
        <f ca="1">$B13*('Updated Population'!I$4/'Updated Population'!$B$4)*('Total Distance Tables Sup #1'!I178/'Total Distance Tables Sup #1'!$B178)</f>
        <v>0</v>
      </c>
      <c r="J13" s="1">
        <f ca="1">$B13*('Updated Population'!J$4/'Updated Population'!$B$4)*('Total Distance Tables Sup #1'!J178/'Total Distance Tables Sup #1'!$B178)</f>
        <v>0</v>
      </c>
      <c r="K13" s="1">
        <f ca="1">$B13*('Updated Population'!K$4/'Updated Population'!$B$4)*('Total Distance Tables Sup #1'!K178/'Total Distance Tables Sup #1'!$B178)</f>
        <v>0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OFFSET(Northland_Reference,56,6)</f>
        <v>0</v>
      </c>
      <c r="C14" s="4">
        <f ca="1">$B14*('Updated Population'!C$4/'Updated Population'!$B$4)*('Total Distance Tables Sup #1'!C179/'Total Distance Tables Sup #1'!$B179)</f>
        <v>0</v>
      </c>
      <c r="D14" s="4">
        <f ca="1">$B14*('Updated Population'!D$4/'Updated Population'!$B$4)*('Total Distance Tables Sup #1'!D179/'Total Distance Tables Sup #1'!$B179)</f>
        <v>0</v>
      </c>
      <c r="E14" s="4">
        <f ca="1">$B14*('Updated Population'!E$4/'Updated Population'!$B$4)*('Total Distance Tables Sup #1'!E179/'Total Distance Tables Sup #1'!$B179)</f>
        <v>0</v>
      </c>
      <c r="F14" s="4">
        <f ca="1">$B14*('Updated Population'!F$4/'Updated Population'!$B$4)*('Total Distance Tables Sup #1'!F179/'Total Distance Tables Sup #1'!$B179)</f>
        <v>0</v>
      </c>
      <c r="G14" s="4">
        <f ca="1">$B14*('Updated Population'!G$4/'Updated Population'!$B$4)*('Total Distance Tables Sup #1'!G179/'Total Distance Tables Sup #1'!$B179)</f>
        <v>0</v>
      </c>
      <c r="H14" s="4">
        <f ca="1">$B14*('Updated Population'!H$4/'Updated Population'!$B$4)*('Total Distance Tables Sup #1'!H179/'Total Distance Tables Sup #1'!$B179)</f>
        <v>0</v>
      </c>
      <c r="I14" s="1">
        <f ca="1">$B14*('Updated Population'!I$4/'Updated Population'!$B$4)*('Total Distance Tables Sup #1'!I179/'Total Distance Tables Sup #1'!$B179)</f>
        <v>0</v>
      </c>
      <c r="J14" s="1">
        <f ca="1">$B14*('Updated Population'!J$4/'Updated Population'!$B$4)*('Total Distance Tables Sup #1'!J179/'Total Distance Tables Sup #1'!$B179)</f>
        <v>0</v>
      </c>
      <c r="K14" s="1">
        <f ca="1">$B14*('Updated Population'!K$4/'Updated Population'!$B$4)*('Total Distance Tables Sup #1'!K179/'Total Distance Tables Sup #1'!$B179)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OFFSET(Auckland_Reference,0,6)</f>
        <v>294.55939388000002</v>
      </c>
      <c r="C16" s="4">
        <f ca="1">$B16*('Updated Population'!C$15/'Updated Population'!$B$15)*('Total Distance Tables Sup #1'!C170/'Total Distance Tables Sup #1'!$B170)</f>
        <v>321.91090089799724</v>
      </c>
      <c r="D16" s="4">
        <f ca="1">$B16*('Updated Population'!D$15/'Updated Population'!$B$15)*('Total Distance Tables Sup #1'!D170/'Total Distance Tables Sup #1'!$B170)</f>
        <v>339.0259805450433</v>
      </c>
      <c r="E16" s="4">
        <f ca="1">$B16*('Updated Population'!E$15/'Updated Population'!$B$15)*('Total Distance Tables Sup #1'!E170/'Total Distance Tables Sup #1'!$B170)</f>
        <v>348.89569428899352</v>
      </c>
      <c r="F16" s="4">
        <f ca="1">$B16*('Updated Population'!F$15/'Updated Population'!$B$15)*('Total Distance Tables Sup #1'!F170/'Total Distance Tables Sup #1'!$B170)</f>
        <v>355.32388591378782</v>
      </c>
      <c r="G16" s="4">
        <f ca="1">$B16*('Updated Population'!G$15/'Updated Population'!$B$15)*('Total Distance Tables Sup #1'!G170/'Total Distance Tables Sup #1'!$B170)</f>
        <v>360.7420434987875</v>
      </c>
      <c r="H16" s="4">
        <f ca="1">$B16*('Updated Population'!H$15/'Updated Population'!$B$15)*('Total Distance Tables Sup #1'!H170/'Total Distance Tables Sup #1'!$B170)</f>
        <v>364.88059834200396</v>
      </c>
      <c r="I16" s="1">
        <f ca="1">$B16*('Updated Population'!I$15/'Updated Population'!$B$15)*('Total Distance Tables Sup #1'!I170/'Total Distance Tables Sup #1'!$B170)</f>
        <v>376.92164502346992</v>
      </c>
      <c r="J16" s="1">
        <f ca="1">$B16*('Updated Population'!J$15/'Updated Population'!$B$15)*('Total Distance Tables Sup #1'!J170/'Total Distance Tables Sup #1'!$B170)</f>
        <v>388.20678261765687</v>
      </c>
      <c r="K16" s="1">
        <f ca="1">$B16*('Updated Population'!K$15/'Updated Population'!$B$15)*('Total Distance Tables Sup #1'!K170/'Total Distance Tables Sup #1'!$B170)</f>
        <v>399.0573105822391</v>
      </c>
    </row>
    <row r="17" spans="1:11" x14ac:dyDescent="0.2">
      <c r="A17" t="str">
        <f ca="1">OFFSET(Auckland_Reference,7,2)</f>
        <v>Cyclist</v>
      </c>
      <c r="B17" s="4">
        <f ca="1">OFFSET(Auckland_Reference,7,6)</f>
        <v>55.843008154000003</v>
      </c>
      <c r="C17" s="4">
        <f ca="1">$B17*('Updated Population'!C$15/'Updated Population'!$B$15)*('Total Distance Tables Sup #1'!C171/'Total Distance Tables Sup #1'!$B171)</f>
        <v>63.2650212279584</v>
      </c>
      <c r="D17" s="4">
        <f ca="1">$B17*('Updated Population'!D$15/'Updated Population'!$B$15)*('Total Distance Tables Sup #1'!D171/'Total Distance Tables Sup #1'!$B171)</f>
        <v>67.614419789566611</v>
      </c>
      <c r="E17" s="4">
        <f ca="1">$B17*('Updated Population'!E$15/'Updated Population'!$B$15)*('Total Distance Tables Sup #1'!E171/'Total Distance Tables Sup #1'!$B171)</f>
        <v>70.145203463754257</v>
      </c>
      <c r="F17" s="4">
        <f ca="1">$B17*('Updated Population'!F$15/'Updated Population'!$B$15)*('Total Distance Tables Sup #1'!F171/'Total Distance Tables Sup #1'!$B171)</f>
        <v>73.58838338406909</v>
      </c>
      <c r="G17" s="4">
        <f ca="1">$B17*('Updated Population'!G$15/'Updated Population'!$B$15)*('Total Distance Tables Sup #1'!G171/'Total Distance Tables Sup #1'!$B171)</f>
        <v>78.160745830528811</v>
      </c>
      <c r="H17" s="4">
        <f ca="1">$B17*('Updated Population'!H$15/'Updated Population'!$B$15)*('Total Distance Tables Sup #1'!H171/'Total Distance Tables Sup #1'!$B171)</f>
        <v>82.903447649255952</v>
      </c>
      <c r="I17" s="1">
        <f ca="1">$B17*('Updated Population'!I$15/'Updated Population'!$B$15)*('Total Distance Tables Sup #1'!I171/'Total Distance Tables Sup #1'!$B171)</f>
        <v>85.639258453489234</v>
      </c>
      <c r="J17" s="1">
        <f ca="1">$B17*('Updated Population'!J$15/'Updated Population'!$B$15)*('Total Distance Tables Sup #1'!J171/'Total Distance Tables Sup #1'!$B171)</f>
        <v>88.203321377101872</v>
      </c>
      <c r="K17" s="1">
        <f ca="1">$B17*('Updated Population'!K$15/'Updated Population'!$B$15)*('Total Distance Tables Sup #1'!K171/'Total Distance Tables Sup #1'!$B171)</f>
        <v>90.668637924942487</v>
      </c>
    </row>
    <row r="18" spans="1:11" x14ac:dyDescent="0.2">
      <c r="A18" t="str">
        <f ca="1">OFFSET(Auckland_Reference,14,2)</f>
        <v>Light Vehicle Driver</v>
      </c>
      <c r="B18" s="4">
        <f ca="1">OFFSET(Auckland_Reference,14,6)</f>
        <v>9374.4733825999992</v>
      </c>
      <c r="C18" s="4">
        <f ca="1">$B18*('Updated Population'!C$15/'Updated Population'!$B$15)*('Total Distance Tables Sup #1'!C172/'Total Distance Tables Sup #1'!$B172)</f>
        <v>10576.197900322974</v>
      </c>
      <c r="D18" s="4">
        <f ca="1">$B18*('Updated Population'!D$15/'Updated Population'!$B$15)*('Total Distance Tables Sup #1'!D172/'Total Distance Tables Sup #1'!$B172)</f>
        <v>11368.548388811694</v>
      </c>
      <c r="E18" s="4">
        <f ca="1">$B18*('Updated Population'!E$15/'Updated Population'!$B$15)*('Total Distance Tables Sup #1'!E172/'Total Distance Tables Sup #1'!$B172)</f>
        <v>12069.889936114394</v>
      </c>
      <c r="F18" s="4">
        <f ca="1">$B18*('Updated Population'!F$15/'Updated Population'!$B$15)*('Total Distance Tables Sup #1'!F172/'Total Distance Tables Sup #1'!$B172)</f>
        <v>12725.451786687572</v>
      </c>
      <c r="G18" s="4">
        <f ca="1">$B18*('Updated Population'!G$15/'Updated Population'!$B$15)*('Total Distance Tables Sup #1'!G172/'Total Distance Tables Sup #1'!$B172)</f>
        <v>13251.515691296489</v>
      </c>
      <c r="H18" s="4">
        <f ca="1">$B18*('Updated Population'!H$15/'Updated Population'!$B$15)*('Total Distance Tables Sup #1'!H172/'Total Distance Tables Sup #1'!$B172)</f>
        <v>13727.957550266989</v>
      </c>
      <c r="I18" s="1">
        <f ca="1">$B18*('Updated Population'!I$15/'Updated Population'!$B$15)*('Total Distance Tables Sup #1'!I172/'Total Distance Tables Sup #1'!$B172)</f>
        <v>14180.979657923728</v>
      </c>
      <c r="J18" s="1">
        <f ca="1">$B18*('Updated Population'!J$15/'Updated Population'!$B$15)*('Total Distance Tables Sup #1'!J172/'Total Distance Tables Sup #1'!$B172)</f>
        <v>14605.562084465115</v>
      </c>
      <c r="K18" s="1">
        <f ca="1">$B18*('Updated Population'!K$15/'Updated Population'!$B$15)*('Total Distance Tables Sup #1'!K172/'Total Distance Tables Sup #1'!$B172)</f>
        <v>15013.793127640924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OFFSET(Auckland_Reference,21,6)</f>
        <v>4814.6436660999998</v>
      </c>
      <c r="C19" s="4">
        <f ca="1">$B19*('Updated Population'!C$15/'Updated Population'!$B$15)*('Total Distance Tables Sup #1'!C173/'Total Distance Tables Sup #1'!$B173)</f>
        <v>5227.3590271795629</v>
      </c>
      <c r="D19" s="4">
        <f ca="1">$B19*('Updated Population'!D$15/'Updated Population'!$B$15)*('Total Distance Tables Sup #1'!D173/'Total Distance Tables Sup #1'!$B173)</f>
        <v>5501.4427387298056</v>
      </c>
      <c r="E19" s="4">
        <f ca="1">$B19*('Updated Population'!E$15/'Updated Population'!$B$15)*('Total Distance Tables Sup #1'!E173/'Total Distance Tables Sup #1'!$B173)</f>
        <v>5723.1105831863051</v>
      </c>
      <c r="F19" s="4">
        <f ca="1">$B19*('Updated Population'!F$15/'Updated Population'!$B$15)*('Total Distance Tables Sup #1'!F173/'Total Distance Tables Sup #1'!$B173)</f>
        <v>5904.2238589180251</v>
      </c>
      <c r="G19" s="4">
        <f ca="1">$B19*('Updated Population'!G$15/'Updated Population'!$B$15)*('Total Distance Tables Sup #1'!G173/'Total Distance Tables Sup #1'!$B173)</f>
        <v>6043.5822927482932</v>
      </c>
      <c r="H19" s="4">
        <f ca="1">$B19*('Updated Population'!H$15/'Updated Population'!$B$15)*('Total Distance Tables Sup #1'!H173/'Total Distance Tables Sup #1'!$B173)</f>
        <v>6153.5958205088582</v>
      </c>
      <c r="I19" s="1">
        <f ca="1">$B19*('Updated Population'!I$15/'Updated Population'!$B$15)*('Total Distance Tables Sup #1'!I173/'Total Distance Tables Sup #1'!$B173)</f>
        <v>6356.6642622684567</v>
      </c>
      <c r="J19" s="1">
        <f ca="1">$B19*('Updated Population'!J$15/'Updated Population'!$B$15)*('Total Distance Tables Sup #1'!J173/'Total Distance Tables Sup #1'!$B173)</f>
        <v>6546.9845364869452</v>
      </c>
      <c r="K19" s="1">
        <f ca="1">$B19*('Updated Population'!K$15/'Updated Population'!$B$15)*('Total Distance Tables Sup #1'!K173/'Total Distance Tables Sup #1'!$B173)</f>
        <v>6729.9752568392068</v>
      </c>
    </row>
    <row r="20" spans="1:11" x14ac:dyDescent="0.2">
      <c r="A20" t="str">
        <f ca="1">OFFSET(Auckland_Reference,28,2)</f>
        <v>Taxi/Vehicle Share</v>
      </c>
      <c r="B20" s="4">
        <f ca="1">OFFSET(Auckland_Reference,28,6)</f>
        <v>41.157157814999998</v>
      </c>
      <c r="C20" s="4">
        <f ca="1">$B20*('Updated Population'!C$15/'Updated Population'!$B$15)*('Total Distance Tables Sup #1'!C174/'Total Distance Tables Sup #1'!$B174)</f>
        <v>48.60346788313749</v>
      </c>
      <c r="D20" s="4">
        <f ca="1">$B20*('Updated Population'!D$15/'Updated Population'!$B$15)*('Total Distance Tables Sup #1'!D174/'Total Distance Tables Sup #1'!$B174)</f>
        <v>55.0581780402051</v>
      </c>
      <c r="E20" s="4">
        <f ca="1">$B20*('Updated Population'!E$15/'Updated Population'!$B$15)*('Total Distance Tables Sup #1'!E174/'Total Distance Tables Sup #1'!$B174)</f>
        <v>60.903526321548284</v>
      </c>
      <c r="F20" s="4">
        <f ca="1">$B20*('Updated Population'!F$15/'Updated Population'!$B$15)*('Total Distance Tables Sup #1'!F174/'Total Distance Tables Sup #1'!$B174)</f>
        <v>66.202825861692503</v>
      </c>
      <c r="G20" s="4">
        <f ca="1">$B20*('Updated Population'!G$15/'Updated Population'!$B$15)*('Total Distance Tables Sup #1'!G174/'Total Distance Tables Sup #1'!$B174)</f>
        <v>70.50011037979128</v>
      </c>
      <c r="H20" s="4">
        <f ca="1">$B20*('Updated Population'!H$15/'Updated Population'!$B$15)*('Total Distance Tables Sup #1'!H174/'Total Distance Tables Sup #1'!$B174)</f>
        <v>74.624564097452961</v>
      </c>
      <c r="I20" s="1">
        <f ca="1">$B20*('Updated Population'!I$15/'Updated Population'!$B$15)*('Total Distance Tables Sup #1'!I174/'Total Distance Tables Sup #1'!$B174)</f>
        <v>77.087172040885605</v>
      </c>
      <c r="J20" s="1">
        <f ca="1">$B20*('Updated Population'!J$15/'Updated Population'!$B$15)*('Total Distance Tables Sup #1'!J174/'Total Distance Tables Sup #1'!$B174)</f>
        <v>79.395183148005742</v>
      </c>
      <c r="K20" s="1">
        <f ca="1">$B20*('Updated Population'!K$15/'Updated Population'!$B$15)*('Total Distance Tables Sup #1'!K174/'Total Distance Tables Sup #1'!$B174)</f>
        <v>81.614308865469141</v>
      </c>
    </row>
    <row r="21" spans="1:11" x14ac:dyDescent="0.2">
      <c r="A21" t="str">
        <f ca="1">OFFSET(Auckland_Reference,35,2)</f>
        <v>Motorcyclist</v>
      </c>
      <c r="B21" s="4">
        <f ca="1">OFFSET(Auckland_Reference,35,6)</f>
        <v>43.570185572</v>
      </c>
      <c r="C21" s="4">
        <f ca="1">$B21*('Updated Population'!C$15/'Updated Population'!$B$15)*('Total Distance Tables Sup #1'!C175/'Total Distance Tables Sup #1'!$B175)</f>
        <v>48.785321744269616</v>
      </c>
      <c r="D21" s="4">
        <f ca="1">$B21*('Updated Population'!D$15/'Updated Population'!$B$15)*('Total Distance Tables Sup #1'!D175/'Total Distance Tables Sup #1'!$B175)</f>
        <v>51.927184531890148</v>
      </c>
      <c r="E21" s="4">
        <f ca="1">$B21*('Updated Population'!E$15/'Updated Population'!$B$15)*('Total Distance Tables Sup #1'!E175/'Total Distance Tables Sup #1'!$B175)</f>
        <v>53.827919470983133</v>
      </c>
      <c r="F21" s="4">
        <f ca="1">$B21*('Updated Population'!F$15/'Updated Population'!$B$15)*('Total Distance Tables Sup #1'!F175/'Total Distance Tables Sup #1'!$B175)</f>
        <v>55.151708995062442</v>
      </c>
      <c r="G21" s="4">
        <f ca="1">$B21*('Updated Population'!G$15/'Updated Population'!$B$15)*('Total Distance Tables Sup #1'!G175/'Total Distance Tables Sup #1'!$B175)</f>
        <v>55.419926267852517</v>
      </c>
      <c r="H21" s="4">
        <f ca="1">$B21*('Updated Population'!H$15/'Updated Population'!$B$15)*('Total Distance Tables Sup #1'!H175/'Total Distance Tables Sup #1'!$B175)</f>
        <v>55.363142723306687</v>
      </c>
      <c r="I21" s="1">
        <f ca="1">$B21*('Updated Population'!I$15/'Updated Population'!$B$15)*('Total Distance Tables Sup #1'!I175/'Total Distance Tables Sup #1'!$B175)</f>
        <v>57.190124451009197</v>
      </c>
      <c r="J21" s="1">
        <f ca="1">$B21*('Updated Population'!J$15/'Updated Population'!$B$15)*('Total Distance Tables Sup #1'!J175/'Total Distance Tables Sup #1'!$B175)</f>
        <v>58.902412487473981</v>
      </c>
      <c r="K21" s="1">
        <f ca="1">$B21*('Updated Population'!K$15/'Updated Population'!$B$15)*('Total Distance Tables Sup #1'!K175/'Total Distance Tables Sup #1'!$B175)</f>
        <v>60.548757431699642</v>
      </c>
    </row>
    <row r="22" spans="1:11" x14ac:dyDescent="0.2">
      <c r="A22" t="str">
        <f ca="1">OFFSET(Auckland_Reference,42,2)</f>
        <v>Local Train</v>
      </c>
      <c r="B22" s="4">
        <f ca="1">OFFSET(Auckland_Reference,42,6)</f>
        <v>126.27968744</v>
      </c>
      <c r="C22" s="4">
        <f ca="1">OFFSET(Auckland_Reference,43,6)</f>
        <v>138.03400911</v>
      </c>
      <c r="D22" s="4">
        <f ca="1">OFFSET(Auckland_Reference,44,6)</f>
        <v>144.14984676</v>
      </c>
      <c r="E22" s="4">
        <f ca="1">OFFSET(Auckland_Reference,45,6)</f>
        <v>148.45929380999999</v>
      </c>
      <c r="F22" s="4">
        <f ca="1">OFFSET(Auckland_Reference,46,6)</f>
        <v>151.83225386999999</v>
      </c>
      <c r="G22" s="4">
        <f ca="1">OFFSET(Auckland_Reference,47,6)</f>
        <v>152.95424098999999</v>
      </c>
      <c r="H22" s="4">
        <f ca="1">OFFSET(Auckland_Reference,48,6)</f>
        <v>152.99772264000001</v>
      </c>
      <c r="I22" s="1">
        <f ca="1">OFFSET(Auckland_Reference,48,6)*('Updated Population'!I15/'Updated Population'!H15)</f>
        <v>158.04664200934249</v>
      </c>
      <c r="J22" s="1">
        <f ca="1">OFFSET(Auckland_Reference,48,6)*('Updated Population'!J15/'Updated Population'!H15)</f>
        <v>162.77860188727303</v>
      </c>
      <c r="K22" s="1">
        <f ca="1">OFFSET(Auckland_Reference,48,6)*('Updated Population'!K15/'Updated Population'!H15)</f>
        <v>167.32832603146196</v>
      </c>
    </row>
    <row r="23" spans="1:11" x14ac:dyDescent="0.2">
      <c r="A23" t="str">
        <f ca="1">OFFSET(Auckland_Reference,49,2)</f>
        <v>Local Bus</v>
      </c>
      <c r="B23" s="4">
        <f ca="1">OFFSET(Auckland_Reference,49,6)</f>
        <v>439.27566032999999</v>
      </c>
      <c r="C23" s="4">
        <f ca="1">OFFSET(Auckland_Reference,50,6)</f>
        <v>464.53696092000001</v>
      </c>
      <c r="D23" s="4">
        <f ca="1">OFFSET(Auckland_Reference,51,6)</f>
        <v>474.39419737999998</v>
      </c>
      <c r="E23" s="4">
        <f ca="1">OFFSET(Auckland_Reference,52,6)</f>
        <v>476.37799767000001</v>
      </c>
      <c r="F23" s="4">
        <f ca="1">OFFSET(Auckland_Reference,53,6)</f>
        <v>468.51053669999999</v>
      </c>
      <c r="G23" s="4">
        <f ca="1">OFFSET(Auckland_Reference,54,6)</f>
        <v>459.35218421000002</v>
      </c>
      <c r="H23" s="4">
        <f ca="1">OFFSET(Auckland_Reference,55,6)</f>
        <v>447.02881789999998</v>
      </c>
      <c r="I23" s="1">
        <f ca="1">OFFSET(Auckland_Reference,55,6)*('Updated Population'!I15/'Updated Population'!H15)</f>
        <v>461.780752885727</v>
      </c>
      <c r="J23" s="1">
        <f ca="1">OFFSET(Auckland_Reference,55,6)*('Updated Population'!J15/'Updated Population'!H15)</f>
        <v>475.60659548051404</v>
      </c>
      <c r="K23" s="1">
        <f ca="1">OFFSET(Auckland_Reference,55,6)*('Updated Population'!K15/'Updated Population'!H15)</f>
        <v>488.89998162282598</v>
      </c>
    </row>
    <row r="24" spans="1:11" x14ac:dyDescent="0.2">
      <c r="A24" t="str">
        <f ca="1">OFFSET(Auckland_Reference,56,2)</f>
        <v>Local Ferry</v>
      </c>
      <c r="B24" s="4">
        <f ca="1">OFFSET(Auckland_Reference,56,6)</f>
        <v>0</v>
      </c>
      <c r="C24" s="4">
        <f ca="1">$B24*('Updated Population'!C$15/'Updated Population'!$B$15)*('Total Distance Tables Sup #1'!C178/'Total Distance Tables Sup #1'!$B178)</f>
        <v>0</v>
      </c>
      <c r="D24" s="4">
        <f ca="1">$B24*('Updated Population'!D$15/'Updated Population'!$B$15)*('Total Distance Tables Sup #1'!D178/'Total Distance Tables Sup #1'!$B178)</f>
        <v>0</v>
      </c>
      <c r="E24" s="4">
        <f ca="1">$B24*('Updated Population'!E$15/'Updated Population'!$B$15)*('Total Distance Tables Sup #1'!E178/'Total Distance Tables Sup #1'!$B178)</f>
        <v>0</v>
      </c>
      <c r="F24" s="4">
        <f ca="1">$B24*('Updated Population'!F$15/'Updated Population'!$B$15)*('Total Distance Tables Sup #1'!F178/'Total Distance Tables Sup #1'!$B178)</f>
        <v>0</v>
      </c>
      <c r="G24" s="4">
        <f ca="1">$B24*('Updated Population'!G$15/'Updated Population'!$B$15)*('Total Distance Tables Sup #1'!G178/'Total Distance Tables Sup #1'!$B178)</f>
        <v>0</v>
      </c>
      <c r="H24" s="4">
        <f ca="1">$B24*('Updated Population'!H$15/'Updated Population'!$B$15)*('Total Distance Tables Sup #1'!H178/'Total Distance Tables Sup #1'!$B178)</f>
        <v>0</v>
      </c>
      <c r="I24" s="1">
        <f ca="1">$B24*('Updated Population'!I$15/'Updated Population'!$B$15)*('Total Distance Tables Sup #1'!I178/'Total Distance Tables Sup #1'!$B178)</f>
        <v>0</v>
      </c>
      <c r="J24" s="1">
        <f ca="1">$B24*('Updated Population'!J$15/'Updated Population'!$B$15)*('Total Distance Tables Sup #1'!J178/'Total Distance Tables Sup #1'!$B178)</f>
        <v>0</v>
      </c>
      <c r="K24" s="1">
        <f ca="1">$B24*('Updated Population'!K$15/'Updated Population'!$B$15)*('Total Distance Tables Sup #1'!K178/'Total Distance Tables Sup #1'!$B178)</f>
        <v>0</v>
      </c>
    </row>
    <row r="25" spans="1:11" x14ac:dyDescent="0.2">
      <c r="A25" t="str">
        <f ca="1">OFFSET(Auckland_Reference,63,2)</f>
        <v>Other Household Travel</v>
      </c>
      <c r="B25" s="4">
        <f ca="1">OFFSET(Auckland_Reference,63,6)</f>
        <v>1.8241938706</v>
      </c>
      <c r="C25" s="4">
        <f ca="1">$B25*('Updated Population'!C$15/'Updated Population'!$B$15)*('Total Distance Tables Sup #1'!C179/'Total Distance Tables Sup #1'!$B179)</f>
        <v>1.8495215817601347</v>
      </c>
      <c r="D25" s="4">
        <f ca="1">$B25*('Updated Population'!D$15/'Updated Population'!$B$15)*('Total Distance Tables Sup #1'!D179/'Total Distance Tables Sup #1'!$B179)</f>
        <v>1.7982646479603315</v>
      </c>
      <c r="E25" s="4">
        <f ca="1">$B25*('Updated Population'!E$15/'Updated Population'!$B$15)*('Total Distance Tables Sup #1'!E179/'Total Distance Tables Sup #1'!$B179)</f>
        <v>2.0927025757444655</v>
      </c>
      <c r="F25" s="4">
        <f ca="1">$B25*('Updated Population'!F$15/'Updated Population'!$B$15)*('Total Distance Tables Sup #1'!F179/'Total Distance Tables Sup #1'!$B179)</f>
        <v>2.258965654469395</v>
      </c>
      <c r="G25" s="4">
        <f ca="1">$B25*('Updated Population'!G$15/'Updated Population'!$B$15)*('Total Distance Tables Sup #1'!G179/'Total Distance Tables Sup #1'!$B179)</f>
        <v>2.2692845657386984</v>
      </c>
      <c r="H25" s="4">
        <f ca="1">$B25*('Updated Population'!H$15/'Updated Population'!$B$15)*('Total Distance Tables Sup #1'!H179/'Total Distance Tables Sup #1'!$B179)</f>
        <v>2.2278792473707836</v>
      </c>
      <c r="I25" s="1">
        <f ca="1">$B25*('Updated Population'!I$15/'Updated Population'!$B$15)*('Total Distance Tables Sup #1'!I179/'Total Distance Tables Sup #1'!$B179)</f>
        <v>2.3013991827692579</v>
      </c>
      <c r="J25" s="1">
        <f ca="1">$B25*('Updated Population'!J$15/'Updated Population'!$B$15)*('Total Distance Tables Sup #1'!J179/'Total Distance Tables Sup #1'!$B179)</f>
        <v>2.3703037065067667</v>
      </c>
      <c r="K25" s="1">
        <f ca="1">$B25*('Updated Population'!K$15/'Updated Population'!$B$15)*('Total Distance Tables Sup #1'!K179/'Total Distance Tables Sup #1'!$B179)</f>
        <v>2.4365546011423072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OFFSET(Waikato_Reference,0,6)</f>
        <v>52.675735545000002</v>
      </c>
      <c r="C27" s="4">
        <f ca="1">$B27*('Updated Population'!C$26/'Updated Population'!$B$26)*('Total Distance Tables Sup #1'!C170/'Total Distance Tables Sup #1'!$B170)</f>
        <v>56.825472234650697</v>
      </c>
      <c r="D27" s="4">
        <f ca="1">$B27*('Updated Population'!D$26/'Updated Population'!$B$26)*('Total Distance Tables Sup #1'!D170/'Total Distance Tables Sup #1'!$B170)</f>
        <v>58.763171674250373</v>
      </c>
      <c r="E27" s="4">
        <f ca="1">$B27*('Updated Population'!E$26/'Updated Population'!$B$26)*('Total Distance Tables Sup #1'!E170/'Total Distance Tables Sup #1'!$B170)</f>
        <v>59.598751990680391</v>
      </c>
      <c r="F27" s="4">
        <f ca="1">$B27*('Updated Population'!F$26/'Updated Population'!$B$26)*('Total Distance Tables Sup #1'!F170/'Total Distance Tables Sup #1'!$B170)</f>
        <v>59.788149522812745</v>
      </c>
      <c r="G27" s="4">
        <f ca="1">$B27*('Updated Population'!G$26/'Updated Population'!$B$26)*('Total Distance Tables Sup #1'!G170/'Total Distance Tables Sup #1'!$B170)</f>
        <v>59.77828474945445</v>
      </c>
      <c r="H27" s="4">
        <f ca="1">$B27*('Updated Population'!H$26/'Updated Population'!$B$26)*('Total Distance Tables Sup #1'!H170/'Total Distance Tables Sup #1'!$B170)</f>
        <v>59.532159827606108</v>
      </c>
      <c r="I27" s="1">
        <f ca="1">$B27*('Updated Population'!I$26/'Updated Population'!$B$26)*('Total Distance Tables Sup #1'!I170/'Total Distance Tables Sup #1'!$B170)</f>
        <v>60.530927342544487</v>
      </c>
      <c r="J27" s="1">
        <f ca="1">$B27*('Updated Population'!J$26/'Updated Population'!$B$26)*('Total Distance Tables Sup #1'!J170/'Total Distance Tables Sup #1'!$B170)</f>
        <v>61.3460409706043</v>
      </c>
      <c r="K27" s="1">
        <f ca="1">$B27*('Updated Population'!K$26/'Updated Population'!$B$26)*('Total Distance Tables Sup #1'!K170/'Total Distance Tables Sup #1'!$B170)</f>
        <v>62.033771761540429</v>
      </c>
    </row>
    <row r="28" spans="1:11" x14ac:dyDescent="0.2">
      <c r="A28" t="str">
        <f ca="1">OFFSET(Waikato_Reference,7,2)</f>
        <v>Cyclist</v>
      </c>
      <c r="B28" s="4">
        <f ca="1">OFFSET(Waikato_Reference,7,6)</f>
        <v>21.829422874999999</v>
      </c>
      <c r="C28" s="4">
        <f ca="1">$B28*('Updated Population'!C$26/'Updated Population'!$B$26)*('Total Distance Tables Sup #1'!C171/'Total Distance Tables Sup #1'!$B171)</f>
        <v>24.412190265996497</v>
      </c>
      <c r="D28" s="4">
        <f ca="1">$B28*('Updated Population'!D$26/'Updated Population'!$B$26)*('Total Distance Tables Sup #1'!D171/'Total Distance Tables Sup #1'!$B171)</f>
        <v>25.618122099047266</v>
      </c>
      <c r="E28" s="4">
        <f ca="1">$B28*('Updated Population'!E$26/'Updated Population'!$B$26)*('Total Distance Tables Sup #1'!E171/'Total Distance Tables Sup #1'!$B171)</f>
        <v>26.1923975009048</v>
      </c>
      <c r="F28" s="4">
        <f ca="1">$B28*('Updated Population'!F$26/'Updated Population'!$B$26)*('Total Distance Tables Sup #1'!F171/'Total Distance Tables Sup #1'!$B171)</f>
        <v>27.066723676240191</v>
      </c>
      <c r="G28" s="4">
        <f ca="1">$B28*('Updated Population'!G$26/'Updated Population'!$B$26)*('Total Distance Tables Sup #1'!G171/'Total Distance Tables Sup #1'!$B171)</f>
        <v>28.312035959625799</v>
      </c>
      <c r="H28" s="4">
        <f ca="1">$B28*('Updated Population'!H$26/'Updated Population'!$B$26)*('Total Distance Tables Sup #1'!H171/'Total Distance Tables Sup #1'!$B171)</f>
        <v>29.567130442314593</v>
      </c>
      <c r="I28" s="1">
        <f ca="1">$B28*('Updated Population'!I$26/'Updated Population'!$B$26)*('Total Distance Tables Sup #1'!I171/'Total Distance Tables Sup #1'!$B171)</f>
        <v>30.063176436299099</v>
      </c>
      <c r="J28" s="1">
        <f ca="1">$B28*('Updated Population'!J$26/'Updated Population'!$B$26)*('Total Distance Tables Sup #1'!J171/'Total Distance Tables Sup #1'!$B171)</f>
        <v>30.468009236519073</v>
      </c>
      <c r="K28" s="1">
        <f ca="1">$B28*('Updated Population'!K$26/'Updated Population'!$B$26)*('Total Distance Tables Sup #1'!K171/'Total Distance Tables Sup #1'!$B171)</f>
        <v>30.809576316626508</v>
      </c>
    </row>
    <row r="29" spans="1:11" x14ac:dyDescent="0.2">
      <c r="A29" t="str">
        <f ca="1">OFFSET(Waikato_Reference,14,2)</f>
        <v>Light Vehicle Driver</v>
      </c>
      <c r="B29" s="4">
        <f ca="1">OFFSET(Waikato_Reference,14,6)</f>
        <v>3709.9843593000001</v>
      </c>
      <c r="C29" s="4">
        <f ca="1">$B29*('Updated Population'!C$26/'Updated Population'!$B$26)*('Total Distance Tables Sup #1'!C172/'Total Distance Tables Sup #1'!$B172)</f>
        <v>4131.6583858497379</v>
      </c>
      <c r="D29" s="4">
        <f ca="1">$B29*('Updated Population'!D$26/'Updated Population'!$B$26)*('Total Distance Tables Sup #1'!D172/'Total Distance Tables Sup #1'!$B172)</f>
        <v>4360.7855453466727</v>
      </c>
      <c r="E29" s="4">
        <f ca="1">$B29*('Updated Population'!E$26/'Updated Population'!$B$26)*('Total Distance Tables Sup #1'!E172/'Total Distance Tables Sup #1'!$B172)</f>
        <v>4562.8094553705869</v>
      </c>
      <c r="F29" s="4">
        <f ca="1">$B29*('Updated Population'!F$26/'Updated Population'!$B$26)*('Total Distance Tables Sup #1'!F172/'Total Distance Tables Sup #1'!$B172)</f>
        <v>4738.6145769030918</v>
      </c>
      <c r="G29" s="4">
        <f ca="1">$B29*('Updated Population'!G$26/'Updated Population'!$B$26)*('Total Distance Tables Sup #1'!G172/'Total Distance Tables Sup #1'!$B172)</f>
        <v>4859.5909068354467</v>
      </c>
      <c r="H29" s="4">
        <f ca="1">$B29*('Updated Population'!H$26/'Updated Population'!$B$26)*('Total Distance Tables Sup #1'!H172/'Total Distance Tables Sup #1'!$B172)</f>
        <v>4956.7185816449437</v>
      </c>
      <c r="I29" s="1">
        <f ca="1">$B29*('Updated Population'!I$26/'Updated Population'!$B$26)*('Total Distance Tables Sup #1'!I172/'Total Distance Tables Sup #1'!$B172)</f>
        <v>5039.8771553364486</v>
      </c>
      <c r="J29" s="1">
        <f ca="1">$B29*('Updated Population'!J$26/'Updated Population'!$B$26)*('Total Distance Tables Sup #1'!J172/'Total Distance Tables Sup #1'!$B172)</f>
        <v>5107.7444875154924</v>
      </c>
      <c r="K29" s="1">
        <f ca="1">$B29*('Updated Population'!K$26/'Updated Population'!$B$26)*('Total Distance Tables Sup #1'!K172/'Total Distance Tables Sup #1'!$B172)</f>
        <v>5165.0057728522579</v>
      </c>
    </row>
    <row r="30" spans="1:11" x14ac:dyDescent="0.2">
      <c r="A30" t="str">
        <f ca="1">OFFSET(Waikato_Reference,21,2)</f>
        <v>Light Vehicle Passenger</v>
      </c>
      <c r="B30" s="4">
        <f ca="1">OFFSET(Waikato_Reference,21,6)</f>
        <v>1955.0668243</v>
      </c>
      <c r="C30" s="4">
        <f ca="1">$B30*('Updated Population'!C$26/'Updated Population'!$B$26)*('Total Distance Tables Sup #1'!C173/'Total Distance Tables Sup #1'!$B173)</f>
        <v>2095.3154930109881</v>
      </c>
      <c r="D30" s="4">
        <f ca="1">$B30*('Updated Population'!D$26/'Updated Population'!$B$26)*('Total Distance Tables Sup #1'!D173/'Total Distance Tables Sup #1'!$B173)</f>
        <v>2165.2526026413716</v>
      </c>
      <c r="E30" s="4">
        <f ca="1">$B30*('Updated Population'!E$26/'Updated Population'!$B$26)*('Total Distance Tables Sup #1'!E173/'Total Distance Tables Sup #1'!$B173)</f>
        <v>2219.9000348074469</v>
      </c>
      <c r="F30" s="4">
        <f ca="1">$B30*('Updated Population'!F$26/'Updated Population'!$B$26)*('Total Distance Tables Sup #1'!F173/'Total Distance Tables Sup #1'!$B173)</f>
        <v>2255.8657424095836</v>
      </c>
      <c r="G30" s="4">
        <f ca="1">$B30*('Updated Population'!G$26/'Updated Population'!$B$26)*('Total Distance Tables Sup #1'!G173/'Total Distance Tables Sup #1'!$B173)</f>
        <v>2274.0544180824454</v>
      </c>
      <c r="H30" s="4">
        <f ca="1">$B30*('Updated Population'!H$26/'Updated Population'!$B$26)*('Total Distance Tables Sup #1'!H173/'Total Distance Tables Sup #1'!$B173)</f>
        <v>2279.7622602183601</v>
      </c>
      <c r="I30" s="1">
        <f ca="1">$B30*('Updated Population'!I$26/'Updated Population'!$B$26)*('Total Distance Tables Sup #1'!I173/'Total Distance Tables Sup #1'!$B173)</f>
        <v>2318.0096964592458</v>
      </c>
      <c r="J30" s="1">
        <f ca="1">$B30*('Updated Population'!J$26/'Updated Population'!$B$26)*('Total Distance Tables Sup #1'!J173/'Total Distance Tables Sup #1'!$B173)</f>
        <v>2349.224174355254</v>
      </c>
      <c r="K30" s="1">
        <f ca="1">$B30*('Updated Population'!K$26/'Updated Population'!$B$26)*('Total Distance Tables Sup #1'!K173/'Total Distance Tables Sup #1'!$B173)</f>
        <v>2375.5605731505698</v>
      </c>
    </row>
    <row r="31" spans="1:11" x14ac:dyDescent="0.2">
      <c r="A31" t="str">
        <f ca="1">OFFSET(Waikato_Reference,28,2)</f>
        <v>Taxi/Vehicle Share</v>
      </c>
      <c r="B31" s="4">
        <f ca="1">OFFSET(Waikato_Reference,28,6)</f>
        <v>2.4426175743999998</v>
      </c>
      <c r="C31" s="4">
        <f ca="1">$B31*('Updated Population'!C$26/'Updated Population'!$B$26)*('Total Distance Tables Sup #1'!C174/'Total Distance Tables Sup #1'!$B174)</f>
        <v>2.8473902773142123</v>
      </c>
      <c r="D31" s="4">
        <f ca="1">$B31*('Updated Population'!D$26/'Updated Population'!$B$26)*('Total Distance Tables Sup #1'!D174/'Total Distance Tables Sup #1'!$B174)</f>
        <v>3.1671341098117445</v>
      </c>
      <c r="E31" s="4">
        <f ca="1">$B31*('Updated Population'!E$26/'Updated Population'!$B$26)*('Total Distance Tables Sup #1'!E174/'Total Distance Tables Sup #1'!$B174)</f>
        <v>3.452680285866216</v>
      </c>
      <c r="F31" s="4">
        <f ca="1">$B31*('Updated Population'!F$26/'Updated Population'!$B$26)*('Total Distance Tables Sup #1'!F174/'Total Distance Tables Sup #1'!$B174)</f>
        <v>3.6969162045746602</v>
      </c>
      <c r="G31" s="4">
        <f ca="1">$B31*('Updated Population'!G$26/'Updated Population'!$B$26)*('Total Distance Tables Sup #1'!G174/'Total Distance Tables Sup #1'!$B174)</f>
        <v>3.877116540956588</v>
      </c>
      <c r="H31" s="4">
        <f ca="1">$B31*('Updated Population'!H$26/'Updated Population'!$B$26)*('Total Distance Tables Sup #1'!H174/'Total Distance Tables Sup #1'!$B174)</f>
        <v>4.0406854629095355</v>
      </c>
      <c r="I31" s="1">
        <f ca="1">$B31*('Updated Population'!I$26/'Updated Population'!$B$26)*('Total Distance Tables Sup #1'!I174/'Total Distance Tables Sup #1'!$B174)</f>
        <v>4.1084758032923547</v>
      </c>
      <c r="J31" s="1">
        <f ca="1">$B31*('Updated Population'!J$26/'Updated Population'!$B$26)*('Total Distance Tables Sup #1'!J174/'Total Distance Tables Sup #1'!$B174)</f>
        <v>4.1638008208468733</v>
      </c>
      <c r="K31" s="1">
        <f ca="1">$B31*('Updated Population'!K$26/'Updated Population'!$B$26)*('Total Distance Tables Sup #1'!K174/'Total Distance Tables Sup #1'!$B174)</f>
        <v>4.2104798564702755</v>
      </c>
    </row>
    <row r="32" spans="1:11" x14ac:dyDescent="0.2">
      <c r="A32" t="str">
        <f ca="1">OFFSET(Waikato_Reference,35,2)</f>
        <v>Motorcyclist</v>
      </c>
      <c r="B32" s="4">
        <f ca="1">OFFSET(Waikato_Reference,35,6)</f>
        <v>38.030338682999997</v>
      </c>
      <c r="C32" s="4">
        <f ca="1">$B32*('Updated Population'!C$26/'Updated Population'!$B$26)*('Total Distance Tables Sup #1'!C175/'Total Distance Tables Sup #1'!$B175)</f>
        <v>42.033891206945732</v>
      </c>
      <c r="D32" s="4">
        <f ca="1">$B32*('Updated Population'!D$26/'Updated Population'!$B$26)*('Total Distance Tables Sup #1'!D175/'Total Distance Tables Sup #1'!$B175)</f>
        <v>43.930897491001936</v>
      </c>
      <c r="E32" s="4">
        <f ca="1">$B32*('Updated Population'!E$26/'Updated Population'!$B$26)*('Total Distance Tables Sup #1'!E175/'Total Distance Tables Sup #1'!$B175)</f>
        <v>44.87993322093461</v>
      </c>
      <c r="F32" s="4">
        <f ca="1">$B32*('Updated Population'!F$26/'Updated Population'!$B$26)*('Total Distance Tables Sup #1'!F175/'Total Distance Tables Sup #1'!$B175)</f>
        <v>45.295257794482573</v>
      </c>
      <c r="G32" s="4">
        <f ca="1">$B32*('Updated Population'!G$26/'Updated Population'!$B$26)*('Total Distance Tables Sup #1'!G175/'Total Distance Tables Sup #1'!$B175)</f>
        <v>44.824523777767773</v>
      </c>
      <c r="H32" s="4">
        <f ca="1">$B32*('Updated Population'!H$26/'Updated Population'!$B$26)*('Total Distance Tables Sup #1'!H175/'Total Distance Tables Sup #1'!$B175)</f>
        <v>44.088432161467388</v>
      </c>
      <c r="I32" s="1">
        <f ca="1">$B32*('Updated Population'!I$26/'Updated Population'!$B$26)*('Total Distance Tables Sup #1'!I175/'Total Distance Tables Sup #1'!$B175)</f>
        <v>44.828101173224262</v>
      </c>
      <c r="J32" s="1">
        <f ca="1">$B32*('Updated Population'!J$26/'Updated Population'!$B$26)*('Total Distance Tables Sup #1'!J175/'Total Distance Tables Sup #1'!$B175)</f>
        <v>45.431759464787511</v>
      </c>
      <c r="K32" s="1">
        <f ca="1">$B32*('Updated Population'!K$26/'Updated Population'!$B$26)*('Total Distance Tables Sup #1'!K175/'Total Distance Tables Sup #1'!$B175)</f>
        <v>45.94108034965619</v>
      </c>
    </row>
    <row r="33" spans="1:11" x14ac:dyDescent="0.2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Distance Tables Sup #1'!C176/'Total Distance Tables Sup #1'!$B176)</f>
        <v>0</v>
      </c>
      <c r="D33" s="4">
        <f ca="1">$B33*('Updated Population'!D$26/'Updated Population'!$B$26)*('Total Distance Tables Sup #1'!D176/'Total Distance Tables Sup #1'!$B176)</f>
        <v>0</v>
      </c>
      <c r="E33" s="4">
        <f ca="1">$B33*('Updated Population'!E$26/'Updated Population'!$B$26)*('Total Distance Tables Sup #1'!E176/'Total Distance Tables Sup #1'!$B176)</f>
        <v>0</v>
      </c>
      <c r="F33" s="4">
        <f ca="1">$B33*('Updated Population'!F$26/'Updated Population'!$B$26)*('Total Distance Tables Sup #1'!F176/'Total Distance Tables Sup #1'!$B176)</f>
        <v>0</v>
      </c>
      <c r="G33" s="4">
        <f ca="1">$B33*('Updated Population'!G$26/'Updated Population'!$B$26)*('Total Distance Tables Sup #1'!G176/'Total Distance Tables Sup #1'!$B176)</f>
        <v>0</v>
      </c>
      <c r="H33" s="4">
        <f ca="1">$B33*('Updated Population'!H$26/'Updated Population'!$B$26)*('Total Distance Tables Sup #1'!H176/'Total Distance Tables Sup #1'!$B176)</f>
        <v>0</v>
      </c>
      <c r="I33" s="1">
        <f ca="1">$B33*('Updated Population'!I$26/'Updated Population'!$B$26)*('Total Distance Tables Sup #1'!I176/'Total Distance Tables Sup #1'!$B176)</f>
        <v>0</v>
      </c>
      <c r="J33" s="1">
        <f ca="1">$B33*('Updated Population'!J$26/'Updated Population'!$B$26)*('Total Distance Tables Sup #1'!J176/'Total Distance Tables Sup #1'!$B176)</f>
        <v>0</v>
      </c>
      <c r="K33" s="1">
        <f ca="1">$B33*('Updated Population'!K$26/'Updated Population'!$B$26)*('Total Distance Tables Sup #1'!K176/'Total Distance Tables Sup #1'!$B176)</f>
        <v>0</v>
      </c>
    </row>
    <row r="34" spans="1:11" x14ac:dyDescent="0.2">
      <c r="A34" t="str">
        <f ca="1">OFFSET(Waikato_Reference,49,2)</f>
        <v>Local Bus</v>
      </c>
      <c r="B34" s="4">
        <f ca="1">OFFSET(Waikato_Reference,49,6)</f>
        <v>54.303948532</v>
      </c>
      <c r="C34" s="4">
        <f ca="1">$B34*('Updated Population'!C$26/'Updated Population'!$B$26)*('Total Distance Tables Sup #1'!C177/'Total Distance Tables Sup #1'!$B177)</f>
        <v>54.123628421331716</v>
      </c>
      <c r="D34" s="4">
        <f ca="1">$B34*('Updated Population'!D$26/'Updated Population'!$B$26)*('Total Distance Tables Sup #1'!D177/'Total Distance Tables Sup #1'!$B177)</f>
        <v>53.581376145454634</v>
      </c>
      <c r="E34" s="4">
        <f ca="1">$B34*('Updated Population'!E$26/'Updated Population'!$B$26)*('Total Distance Tables Sup #1'!E177/'Total Distance Tables Sup #1'!$B177)</f>
        <v>53.227014018877128</v>
      </c>
      <c r="F34" s="4">
        <f ca="1">$B34*('Updated Population'!F$26/'Updated Population'!$B$26)*('Total Distance Tables Sup #1'!F177/'Total Distance Tables Sup #1'!$B177)</f>
        <v>51.888136169485676</v>
      </c>
      <c r="G34" s="4">
        <f ca="1">$B34*('Updated Population'!G$26/'Updated Population'!$B$26)*('Total Distance Tables Sup #1'!G177/'Total Distance Tables Sup #1'!$B177)</f>
        <v>51.022964331015629</v>
      </c>
      <c r="H34" s="4">
        <f ca="1">$B34*('Updated Population'!H$26/'Updated Population'!$B$26)*('Total Distance Tables Sup #1'!H177/'Total Distance Tables Sup #1'!$B177)</f>
        <v>49.951836461324014</v>
      </c>
      <c r="I34" s="1">
        <f ca="1">$B34*('Updated Population'!I$26/'Updated Population'!$B$26)*('Total Distance Tables Sup #1'!I177/'Total Distance Tables Sup #1'!$B177)</f>
        <v>50.789875459296837</v>
      </c>
      <c r="J34" s="1">
        <f ca="1">$B34*('Updated Population'!J$26/'Updated Population'!$B$26)*('Total Distance Tables Sup #1'!J177/'Total Distance Tables Sup #1'!$B177)</f>
        <v>51.473815413166271</v>
      </c>
      <c r="K34" s="1">
        <f ca="1">$B34*('Updated Population'!K$26/'Updated Population'!$B$26)*('Total Distance Tables Sup #1'!K177/'Total Distance Tables Sup #1'!$B177)</f>
        <v>52.050871849514948</v>
      </c>
    </row>
    <row r="35" spans="1:11" x14ac:dyDescent="0.2">
      <c r="A35" t="str">
        <f ca="1">OFFSET(Waikato_Reference,56,2)</f>
        <v>Local Ferry</v>
      </c>
      <c r="B35" s="4">
        <f ca="1">OFFSET(Waikato_Reference,56,6)</f>
        <v>0</v>
      </c>
      <c r="C35" s="4">
        <f ca="1">$B35*('Updated Population'!C$26/'Updated Population'!$B$26)*('Total Distance Tables Sup #1'!C178/'Total Distance Tables Sup #1'!$B178)</f>
        <v>0</v>
      </c>
      <c r="D35" s="4">
        <f ca="1">$B35*('Updated Population'!D$26/'Updated Population'!$B$26)*('Total Distance Tables Sup #1'!D178/'Total Distance Tables Sup #1'!$B178)</f>
        <v>0</v>
      </c>
      <c r="E35" s="4">
        <f ca="1">$B35*('Updated Population'!E$26/'Updated Population'!$B$26)*('Total Distance Tables Sup #1'!E178/'Total Distance Tables Sup #1'!$B178)</f>
        <v>0</v>
      </c>
      <c r="F35" s="4">
        <f ca="1">$B35*('Updated Population'!F$26/'Updated Population'!$B$26)*('Total Distance Tables Sup #1'!F178/'Total Distance Tables Sup #1'!$B178)</f>
        <v>0</v>
      </c>
      <c r="G35" s="4">
        <f ca="1">$B35*('Updated Population'!G$26/'Updated Population'!$B$26)*('Total Distance Tables Sup #1'!G178/'Total Distance Tables Sup #1'!$B178)</f>
        <v>0</v>
      </c>
      <c r="H35" s="4">
        <f ca="1">$B35*('Updated Population'!H$26/'Updated Population'!$B$26)*('Total Distance Tables Sup #1'!H178/'Total Distance Tables Sup #1'!$B178)</f>
        <v>0</v>
      </c>
      <c r="I35" s="1">
        <f ca="1">$B35*('Updated Population'!I$26/'Updated Population'!$B$26)*('Total Distance Tables Sup #1'!I178/'Total Distance Tables Sup #1'!$B178)</f>
        <v>0</v>
      </c>
      <c r="J35" s="1">
        <f ca="1">$B35*('Updated Population'!J$26/'Updated Population'!$B$26)*('Total Distance Tables Sup #1'!J178/'Total Distance Tables Sup #1'!$B178)</f>
        <v>0</v>
      </c>
      <c r="K35" s="1">
        <f ca="1">$B35*('Updated Population'!K$26/'Updated Population'!$B$26)*('Total Distance Tables Sup #1'!K178/'Total Distance Tables Sup #1'!$B178)</f>
        <v>0</v>
      </c>
    </row>
    <row r="36" spans="1:11" x14ac:dyDescent="0.2">
      <c r="A36" t="str">
        <f ca="1">OFFSET(Waikato_Reference,63,2)</f>
        <v>Other Household Travel</v>
      </c>
      <c r="B36" s="4">
        <f ca="1">OFFSET(Waikato_Reference,63,6)</f>
        <v>0</v>
      </c>
      <c r="C36" s="4">
        <f ca="1">$B36*('Updated Population'!C$26/'Updated Population'!$B$26)*('Total Distance Tables Sup #1'!C179/'Total Distance Tables Sup #1'!$B179)</f>
        <v>0</v>
      </c>
      <c r="D36" s="4">
        <f ca="1">$B36*('Updated Population'!D$26/'Updated Population'!$B$26)*('Total Distance Tables Sup #1'!D179/'Total Distance Tables Sup #1'!$B179)</f>
        <v>0</v>
      </c>
      <c r="E36" s="4">
        <f ca="1">$B36*('Updated Population'!E$26/'Updated Population'!$B$26)*('Total Distance Tables Sup #1'!E179/'Total Distance Tables Sup #1'!$B179)</f>
        <v>0</v>
      </c>
      <c r="F36" s="4">
        <f ca="1">$B36*('Updated Population'!F$26/'Updated Population'!$B$26)*('Total Distance Tables Sup #1'!F179/'Total Distance Tables Sup #1'!$B179)</f>
        <v>0</v>
      </c>
      <c r="G36" s="4">
        <f ca="1">$B36*('Updated Population'!G$26/'Updated Population'!$B$26)*('Total Distance Tables Sup #1'!G179/'Total Distance Tables Sup #1'!$B179)</f>
        <v>0</v>
      </c>
      <c r="H36" s="4">
        <f ca="1">$B36*('Updated Population'!H$26/'Updated Population'!$B$26)*('Total Distance Tables Sup #1'!H179/'Total Distance Tables Sup #1'!$B179)</f>
        <v>0</v>
      </c>
      <c r="I36" s="1">
        <f ca="1">$B36*('Updated Population'!I$26/'Updated Population'!$B$26)*('Total Distance Tables Sup #1'!I179/'Total Distance Tables Sup #1'!$B179)</f>
        <v>0</v>
      </c>
      <c r="J36" s="1">
        <f ca="1">$B36*('Updated Population'!J$26/'Updated Population'!$B$26)*('Total Distance Tables Sup #1'!J179/'Total Distance Tables Sup #1'!$B179)</f>
        <v>0</v>
      </c>
      <c r="K36" s="1">
        <f ca="1">$B36*('Updated Population'!K$26/'Updated Population'!$B$26)*('Total Distance Tables Sup #1'!K179/'Total Distance Tables Sup #1'!$B179)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OFFSET(BOP_Reference,0,6)</f>
        <v>35.579183637</v>
      </c>
      <c r="C38" s="4">
        <f ca="1">$B38*('Updated Population'!C$37/'Updated Population'!$B$37)*('Total Distance Tables Sup #1'!C170/'Total Distance Tables Sup #1'!$B170)</f>
        <v>37.808163709104669</v>
      </c>
      <c r="D38" s="4">
        <f ca="1">$B38*('Updated Population'!D$37/'Updated Population'!$B$37)*('Total Distance Tables Sup #1'!D170/'Total Distance Tables Sup #1'!$B170)</f>
        <v>38.747426806460702</v>
      </c>
      <c r="E38" s="4">
        <f ca="1">$B38*('Updated Population'!E$37/'Updated Population'!$B$37)*('Total Distance Tables Sup #1'!E170/'Total Distance Tables Sup #1'!$B170)</f>
        <v>39.009419141406987</v>
      </c>
      <c r="F38" s="4">
        <f ca="1">$B38*('Updated Population'!F$37/'Updated Population'!$B$37)*('Total Distance Tables Sup #1'!F170/'Total Distance Tables Sup #1'!$B170)</f>
        <v>38.849825790608705</v>
      </c>
      <c r="G38" s="4">
        <f ca="1">$B38*('Updated Population'!G$37/'Updated Population'!$B$37)*('Total Distance Tables Sup #1'!G170/'Total Distance Tables Sup #1'!$B170)</f>
        <v>38.552763905368302</v>
      </c>
      <c r="H38" s="4">
        <f ca="1">$B38*('Updated Population'!H$37/'Updated Population'!$B$37)*('Total Distance Tables Sup #1'!H170/'Total Distance Tables Sup #1'!$B170)</f>
        <v>38.112686463182712</v>
      </c>
      <c r="I38" s="1">
        <f ca="1">$B38*('Updated Population'!I$37/'Updated Population'!$B$37)*('Total Distance Tables Sup #1'!I170/'Total Distance Tables Sup #1'!$B170)</f>
        <v>38.466090116915545</v>
      </c>
      <c r="J38" s="1">
        <f ca="1">$B38*('Updated Population'!J$37/'Updated Population'!$B$37)*('Total Distance Tables Sup #1'!J170/'Total Distance Tables Sup #1'!$B170)</f>
        <v>38.694228119267514</v>
      </c>
      <c r="K38" s="1">
        <f ca="1">$B38*('Updated Population'!K$37/'Updated Population'!$B$37)*('Total Distance Tables Sup #1'!K170/'Total Distance Tables Sup #1'!$B170)</f>
        <v>38.834887188887762</v>
      </c>
    </row>
    <row r="39" spans="1:11" x14ac:dyDescent="0.2">
      <c r="A39" t="str">
        <f ca="1">OFFSET(BOP_Reference,7,2)</f>
        <v>Cyclist</v>
      </c>
      <c r="B39" s="4">
        <f ca="1">OFFSET(BOP_Reference,7,6)</f>
        <v>8.5028812633000008</v>
      </c>
      <c r="C39" s="4">
        <f ca="1">$B39*('Updated Population'!C$37/'Updated Population'!$B$37)*('Total Distance Tables Sup #1'!C171/'Total Distance Tables Sup #1'!$B171)</f>
        <v>9.3667249506878054</v>
      </c>
      <c r="D39" s="4">
        <f ca="1">$B39*('Updated Population'!D$37/'Updated Population'!$B$37)*('Total Distance Tables Sup #1'!D171/'Total Distance Tables Sup #1'!$B171)</f>
        <v>9.7414458253278031</v>
      </c>
      <c r="E39" s="4">
        <f ca="1">$B39*('Updated Population'!E$37/'Updated Population'!$B$37)*('Total Distance Tables Sup #1'!E171/'Total Distance Tables Sup #1'!$B171)</f>
        <v>9.8865794601528503</v>
      </c>
      <c r="F39" s="4">
        <f ca="1">$B39*('Updated Population'!F$37/'Updated Population'!$B$37)*('Total Distance Tables Sup #1'!F171/'Total Distance Tables Sup #1'!$B171)</f>
        <v>10.142573022599082</v>
      </c>
      <c r="G39" s="4">
        <f ca="1">$B39*('Updated Population'!G$37/'Updated Population'!$B$37)*('Total Distance Tables Sup #1'!G171/'Total Distance Tables Sup #1'!$B171)</f>
        <v>10.52983729689338</v>
      </c>
      <c r="H39" s="4">
        <f ca="1">$B39*('Updated Population'!H$37/'Updated Population'!$B$37)*('Total Distance Tables Sup #1'!H171/'Total Distance Tables Sup #1'!$B171)</f>
        <v>10.91605186721721</v>
      </c>
      <c r="I39" s="1">
        <f ca="1">$B39*('Updated Population'!I$37/'Updated Population'!$B$37)*('Total Distance Tables Sup #1'!I171/'Total Distance Tables Sup #1'!$B171)</f>
        <v>11.017272037512432</v>
      </c>
      <c r="J39" s="1">
        <f ca="1">$B39*('Updated Population'!J$37/'Updated Population'!$B$37)*('Total Distance Tables Sup #1'!J171/'Total Distance Tables Sup #1'!$B171)</f>
        <v>11.082614224003617</v>
      </c>
      <c r="K39" s="1">
        <f ca="1">$B39*('Updated Population'!K$37/'Updated Population'!$B$37)*('Total Distance Tables Sup #1'!K171/'Total Distance Tables Sup #1'!$B171)</f>
        <v>11.122901116428595</v>
      </c>
    </row>
    <row r="40" spans="1:11" x14ac:dyDescent="0.2">
      <c r="A40" t="str">
        <f ca="1">OFFSET(BOP_Reference,14,2)</f>
        <v>Light Vehicle Driver</v>
      </c>
      <c r="B40" s="4">
        <f ca="1">OFFSET(BOP_Reference,14,6)</f>
        <v>1972.0747595</v>
      </c>
      <c r="C40" s="4">
        <f ca="1">$B40*('Updated Population'!C$37/'Updated Population'!$B$37)*('Total Distance Tables Sup #1'!C172/'Total Distance Tables Sup #1'!$B172)</f>
        <v>2163.3802608840947</v>
      </c>
      <c r="D40" s="4">
        <f ca="1">$B40*('Updated Population'!D$37/'Updated Population'!$B$37)*('Total Distance Tables Sup #1'!D172/'Total Distance Tables Sup #1'!$B172)</f>
        <v>2262.9152714359279</v>
      </c>
      <c r="E40" s="4">
        <f ca="1">$B40*('Updated Population'!E$37/'Updated Population'!$B$37)*('Total Distance Tables Sup #1'!E172/'Total Distance Tables Sup #1'!$B172)</f>
        <v>2350.3393754611434</v>
      </c>
      <c r="F40" s="4">
        <f ca="1">$B40*('Updated Population'!F$37/'Updated Population'!$B$37)*('Total Distance Tables Sup #1'!F172/'Total Distance Tables Sup #1'!$B172)</f>
        <v>2423.211243197914</v>
      </c>
      <c r="G40" s="4">
        <f ca="1">$B40*('Updated Population'!G$37/'Updated Population'!$B$37)*('Total Distance Tables Sup #1'!G172/'Total Distance Tables Sup #1'!$B172)</f>
        <v>2466.4806097760811</v>
      </c>
      <c r="H40" s="4">
        <f ca="1">$B40*('Updated Population'!H$37/'Updated Population'!$B$37)*('Total Distance Tables Sup #1'!H172/'Total Distance Tables Sup #1'!$B172)</f>
        <v>2497.3425174652461</v>
      </c>
      <c r="I40" s="1">
        <f ca="1">$B40*('Updated Population'!I$37/'Updated Population'!$B$37)*('Total Distance Tables Sup #1'!I172/'Total Distance Tables Sup #1'!$B172)</f>
        <v>2520.4993728904637</v>
      </c>
      <c r="J40" s="1">
        <f ca="1">$B40*('Updated Population'!J$37/'Updated Population'!$B$37)*('Total Distance Tables Sup #1'!J172/'Total Distance Tables Sup #1'!$B172)</f>
        <v>2535.4481677930098</v>
      </c>
      <c r="K40" s="1">
        <f ca="1">$B40*('Updated Population'!K$37/'Updated Population'!$B$37)*('Total Distance Tables Sup #1'!K172/'Total Distance Tables Sup #1'!$B172)</f>
        <v>2544.6648855746098</v>
      </c>
    </row>
    <row r="41" spans="1:11" x14ac:dyDescent="0.2">
      <c r="A41" t="str">
        <f ca="1">OFFSET(BOP_Reference,21,2)</f>
        <v>Light Vehicle Passenger</v>
      </c>
      <c r="B41" s="4">
        <f ca="1">OFFSET(BOP_Reference,21,6)</f>
        <v>1385.2330090999999</v>
      </c>
      <c r="C41" s="4">
        <f ca="1">$B41*('Updated Population'!C$37/'Updated Population'!$B$37)*('Total Distance Tables Sup #1'!C173/'Total Distance Tables Sup #1'!$B173)</f>
        <v>1462.4054971214155</v>
      </c>
      <c r="D41" s="4">
        <f ca="1">$B41*('Updated Population'!D$37/'Updated Population'!$B$37)*('Total Distance Tables Sup #1'!D173/'Total Distance Tables Sup #1'!$B173)</f>
        <v>1497.6904583702221</v>
      </c>
      <c r="E41" s="4">
        <f ca="1">$B41*('Updated Population'!E$37/'Updated Population'!$B$37)*('Total Distance Tables Sup #1'!E173/'Total Distance Tables Sup #1'!$B173)</f>
        <v>1524.1987158396844</v>
      </c>
      <c r="F41" s="4">
        <f ca="1">$B41*('Updated Population'!F$37/'Updated Population'!$B$37)*('Total Distance Tables Sup #1'!F173/'Total Distance Tables Sup #1'!$B173)</f>
        <v>1537.6697410395786</v>
      </c>
      <c r="G41" s="4">
        <f ca="1">$B41*('Updated Population'!G$37/'Updated Population'!$B$37)*('Total Distance Tables Sup #1'!G173/'Total Distance Tables Sup #1'!$B173)</f>
        <v>1538.4690996594325</v>
      </c>
      <c r="H41" s="4">
        <f ca="1">$B41*('Updated Population'!H$37/'Updated Population'!$B$37)*('Total Distance Tables Sup #1'!H173/'Total Distance Tables Sup #1'!$B173)</f>
        <v>1531.0287231157045</v>
      </c>
      <c r="I41" s="1">
        <f ca="1">$B41*('Updated Population'!I$37/'Updated Population'!$B$37)*('Total Distance Tables Sup #1'!I173/'Total Distance Tables Sup #1'!$B173)</f>
        <v>1545.2253383357227</v>
      </c>
      <c r="J41" s="1">
        <f ca="1">$B41*('Updated Population'!J$37/'Updated Population'!$B$37)*('Total Distance Tables Sup #1'!J173/'Total Distance Tables Sup #1'!$B173)</f>
        <v>1554.3898939430142</v>
      </c>
      <c r="K41" s="1">
        <f ca="1">$B41*('Updated Population'!K$37/'Updated Population'!$B$37)*('Total Distance Tables Sup #1'!K173/'Total Distance Tables Sup #1'!$B173)</f>
        <v>1560.0403241734668</v>
      </c>
    </row>
    <row r="42" spans="1:11" x14ac:dyDescent="0.2">
      <c r="A42" t="str">
        <f ca="1">OFFSET(BOP_Reference,28,2)</f>
        <v>Taxi/Vehicle Share</v>
      </c>
      <c r="B42" s="4">
        <f ca="1">OFFSET(BOP_Reference,28,6)</f>
        <v>0.98369936449999995</v>
      </c>
      <c r="C42" s="4">
        <f ca="1">$B42*('Updated Population'!C$37/'Updated Population'!$B$37)*('Total Distance Tables Sup #1'!C174/'Total Distance Tables Sup #1'!$B174)</f>
        <v>1.1295645965988315</v>
      </c>
      <c r="D42" s="4">
        <f ca="1">$B42*('Updated Population'!D$37/'Updated Population'!$B$37)*('Total Distance Tables Sup #1'!D174/'Total Distance Tables Sup #1'!$B174)</f>
        <v>1.2451613592877786</v>
      </c>
      <c r="E42" s="4">
        <f ca="1">$B42*('Updated Population'!E$37/'Updated Population'!$B$37)*('Total Distance Tables Sup #1'!E174/'Total Distance Tables Sup #1'!$B174)</f>
        <v>1.3474424523285928</v>
      </c>
      <c r="F42" s="4">
        <f ca="1">$B42*('Updated Population'!F$37/'Updated Population'!$B$37)*('Total Distance Tables Sup #1'!F174/'Total Distance Tables Sup #1'!$B174)</f>
        <v>1.4323036991469063</v>
      </c>
      <c r="G42" s="4">
        <f ca="1">$B42*('Updated Population'!G$37/'Updated Population'!$B$37)*('Total Distance Tables Sup #1'!G174/'Total Distance Tables Sup #1'!$B174)</f>
        <v>1.4908792414686689</v>
      </c>
      <c r="H42" s="4">
        <f ca="1">$B42*('Updated Population'!H$37/'Updated Population'!$B$37)*('Total Distance Tables Sup #1'!H174/'Total Distance Tables Sup #1'!$B174)</f>
        <v>1.5423911024742145</v>
      </c>
      <c r="I42" s="1">
        <f ca="1">$B42*('Updated Population'!I$37/'Updated Population'!$B$37)*('Total Distance Tables Sup #1'!I174/'Total Distance Tables Sup #1'!$B174)</f>
        <v>1.5566930764803231</v>
      </c>
      <c r="J42" s="1">
        <f ca="1">$B42*('Updated Population'!J$37/'Updated Population'!$B$37)*('Total Distance Tables Sup #1'!J174/'Total Distance Tables Sup #1'!$B174)</f>
        <v>1.5659256459373156</v>
      </c>
      <c r="K42" s="1">
        <f ca="1">$B42*('Updated Population'!K$37/'Updated Population'!$B$37)*('Total Distance Tables Sup #1'!K174/'Total Distance Tables Sup #1'!$B174)</f>
        <v>1.5716180102809878</v>
      </c>
    </row>
    <row r="43" spans="1:11" x14ac:dyDescent="0.2">
      <c r="A43" t="str">
        <f ca="1">OFFSET(BOP_Reference,35,2)</f>
        <v>Motorcyclist</v>
      </c>
      <c r="B43" s="4">
        <f ca="1">OFFSET(BOP_Reference,35,6)</f>
        <v>35.608960758999999</v>
      </c>
      <c r="C43" s="4">
        <f ca="1">$B43*('Updated Population'!C$37/'Updated Population'!$B$37)*('Total Distance Tables Sup #1'!C175/'Total Distance Tables Sup #1'!$B175)</f>
        <v>38.769112809909977</v>
      </c>
      <c r="D43" s="4">
        <f ca="1">$B43*('Updated Population'!D$37/'Updated Population'!$B$37)*('Total Distance Tables Sup #1'!D175/'Total Distance Tables Sup #1'!$B175)</f>
        <v>40.156092847813333</v>
      </c>
      <c r="E43" s="4">
        <f ca="1">$B43*('Updated Population'!E$37/'Updated Population'!$B$37)*('Total Distance Tables Sup #1'!E175/'Total Distance Tables Sup #1'!$B175)</f>
        <v>40.721920870730997</v>
      </c>
      <c r="F43" s="4">
        <f ca="1">$B43*('Updated Population'!F$37/'Updated Population'!$B$37)*('Total Distance Tables Sup #1'!F175/'Total Distance Tables Sup #1'!$B175)</f>
        <v>40.800965021286437</v>
      </c>
      <c r="G43" s="4">
        <f ca="1">$B43*('Updated Population'!G$37/'Updated Population'!$B$37)*('Total Distance Tables Sup #1'!G175/'Total Distance Tables Sup #1'!$B175)</f>
        <v>40.074811586305465</v>
      </c>
      <c r="H43" s="4">
        <f ca="1">$B43*('Updated Population'!H$37/'Updated Population'!$B$37)*('Total Distance Tables Sup #1'!H175/'Total Distance Tables Sup #1'!$B175)</f>
        <v>39.127879628992602</v>
      </c>
      <c r="I43" s="1">
        <f ca="1">$B43*('Updated Population'!I$37/'Updated Population'!$B$37)*('Total Distance Tables Sup #1'!I175/'Total Distance Tables Sup #1'!$B175)</f>
        <v>39.490696761735592</v>
      </c>
      <c r="J43" s="1">
        <f ca="1">$B43*('Updated Population'!J$37/'Updated Population'!$B$37)*('Total Distance Tables Sup #1'!J175/'Total Distance Tables Sup #1'!$B175)</f>
        <v>39.724911589479362</v>
      </c>
      <c r="K43" s="1">
        <f ca="1">$B43*('Updated Population'!K$37/'Updated Population'!$B$37)*('Total Distance Tables Sup #1'!K175/'Total Distance Tables Sup #1'!$B175)</f>
        <v>39.869317341357913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Distance Tables Sup #1'!C176/'Total Distance Tables Sup #1'!$B176)</f>
        <v>0</v>
      </c>
      <c r="D44" s="4">
        <f ca="1">$B44*('Updated Population'!D$37/'Updated Population'!$B$37)*('Total Distance Tables Sup #1'!D176/'Total Distance Tables Sup #1'!$B176)</f>
        <v>0</v>
      </c>
      <c r="E44" s="4">
        <f ca="1">$B44*('Updated Population'!E$37/'Updated Population'!$B$37)*('Total Distance Tables Sup #1'!E176/'Total Distance Tables Sup #1'!$B176)</f>
        <v>0</v>
      </c>
      <c r="F44" s="4">
        <f ca="1">$B44*('Updated Population'!F$37/'Updated Population'!$B$37)*('Total Distance Tables Sup #1'!F176/'Total Distance Tables Sup #1'!$B176)</f>
        <v>0</v>
      </c>
      <c r="G44" s="4">
        <f ca="1">$B44*('Updated Population'!G$37/'Updated Population'!$B$37)*('Total Distance Tables Sup #1'!G176/'Total Distance Tables Sup #1'!$B176)</f>
        <v>0</v>
      </c>
      <c r="H44" s="4">
        <f ca="1">$B44*('Updated Population'!H$37/'Updated Population'!$B$37)*('Total Distance Tables Sup #1'!H176/'Total Distance Tables Sup #1'!$B176)</f>
        <v>0</v>
      </c>
      <c r="I44" s="1">
        <f ca="1">$B44*('Updated Population'!I$37/'Updated Population'!$B$37)*('Total Distance Tables Sup #1'!I176/'Total Distance Tables Sup #1'!$B176)</f>
        <v>0</v>
      </c>
      <c r="J44" s="1">
        <f ca="1">$B44*('Updated Population'!J$37/'Updated Population'!$B$37)*('Total Distance Tables Sup #1'!J176/'Total Distance Tables Sup #1'!$B176)</f>
        <v>0</v>
      </c>
      <c r="K44" s="1">
        <f ca="1">$B44*('Updated Population'!K$37/'Updated Population'!$B$37)*('Total Distance Tables Sup #1'!K176/'Total Distance Tables Sup #1'!$B176)</f>
        <v>0</v>
      </c>
    </row>
    <row r="45" spans="1:11" x14ac:dyDescent="0.2">
      <c r="A45" t="str">
        <f ca="1">OFFSET(BOP_Reference,42,2)</f>
        <v>Local Bus</v>
      </c>
      <c r="B45" s="4">
        <f ca="1">OFFSET(BOP_Reference,42,6)</f>
        <v>52.669440211999998</v>
      </c>
      <c r="C45" s="4">
        <f ca="1">$B45*('Updated Population'!C$37/'Updated Population'!$B$37)*('Total Distance Tables Sup #1'!C177/'Total Distance Tables Sup #1'!$B177)</f>
        <v>51.709621427128283</v>
      </c>
      <c r="D45" s="4">
        <f ca="1">$B45*('Updated Population'!D$37/'Updated Population'!$B$37)*('Total Distance Tables Sup #1'!D177/'Total Distance Tables Sup #1'!$B177)</f>
        <v>50.733336519270395</v>
      </c>
      <c r="E45" s="4">
        <f ca="1">$B45*('Updated Population'!E$37/'Updated Population'!$B$37)*('Total Distance Tables Sup #1'!E177/'Total Distance Tables Sup #1'!$B177)</f>
        <v>50.027217080322671</v>
      </c>
      <c r="F45" s="4">
        <f ca="1">$B45*('Updated Population'!F$37/'Updated Population'!$B$37)*('Total Distance Tables Sup #1'!F177/'Total Distance Tables Sup #1'!$B177)</f>
        <v>48.415448348102139</v>
      </c>
      <c r="G45" s="4">
        <f ca="1">$B45*('Updated Population'!G$37/'Updated Population'!$B$37)*('Total Distance Tables Sup #1'!G177/'Total Distance Tables Sup #1'!$B177)</f>
        <v>47.251943839999868</v>
      </c>
      <c r="H45" s="4">
        <f ca="1">$B45*('Updated Population'!H$37/'Updated Population'!$B$37)*('Total Distance Tables Sup #1'!H177/'Total Distance Tables Sup #1'!$B177)</f>
        <v>45.920996711029666</v>
      </c>
      <c r="I45" s="1">
        <f ca="1">$B45*('Updated Population'!I$37/'Updated Population'!$B$37)*('Total Distance Tables Sup #1'!I177/'Total Distance Tables Sup #1'!$B177)</f>
        <v>46.346803693605089</v>
      </c>
      <c r="J45" s="1">
        <f ca="1">$B45*('Updated Population'!J$37/'Updated Population'!$B$37)*('Total Distance Tables Sup #1'!J177/'Total Distance Tables Sup #1'!$B177)</f>
        <v>46.621681311213756</v>
      </c>
      <c r="K45" s="1">
        <f ca="1">$B45*('Updated Population'!K$37/'Updated Population'!$B$37)*('Total Distance Tables Sup #1'!K177/'Total Distance Tables Sup #1'!$B177)</f>
        <v>46.79115781032246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Distance Tables Sup #1'!C178/'Total Distance Tables Sup #1'!$B178)</f>
        <v>0</v>
      </c>
      <c r="D46" s="4">
        <f ca="1">$B46*('Updated Population'!D$37/'Updated Population'!$B$37)*('Total Distance Tables Sup #1'!D178/'Total Distance Tables Sup #1'!$B178)</f>
        <v>0</v>
      </c>
      <c r="E46" s="4">
        <f ca="1">$B46*('Updated Population'!E$37/'Updated Population'!$B$37)*('Total Distance Tables Sup #1'!E178/'Total Distance Tables Sup #1'!$B178)</f>
        <v>0</v>
      </c>
      <c r="F46" s="4">
        <f ca="1">$B46*('Updated Population'!F$37/'Updated Population'!$B$37)*('Total Distance Tables Sup #1'!F178/'Total Distance Tables Sup #1'!$B178)</f>
        <v>0</v>
      </c>
      <c r="G46" s="4">
        <f ca="1">$B46*('Updated Population'!G$37/'Updated Population'!$B$37)*('Total Distance Tables Sup #1'!G178/'Total Distance Tables Sup #1'!$B178)</f>
        <v>0</v>
      </c>
      <c r="H46" s="4">
        <f ca="1">$B46*('Updated Population'!H$37/'Updated Population'!$B$37)*('Total Distance Tables Sup #1'!H178/'Total Distance Tables Sup #1'!$B178)</f>
        <v>0</v>
      </c>
      <c r="I46" s="1">
        <f ca="1">$B46*('Updated Population'!I$37/'Updated Population'!$B$37)*('Total Distance Tables Sup #1'!I178/'Total Distance Tables Sup #1'!$B178)</f>
        <v>0</v>
      </c>
      <c r="J46" s="1">
        <f ca="1">$B46*('Updated Population'!J$37/'Updated Population'!$B$37)*('Total Distance Tables Sup #1'!J178/'Total Distance Tables Sup #1'!$B178)</f>
        <v>0</v>
      </c>
      <c r="K46" s="1">
        <f ca="1">$B46*('Updated Population'!K$37/'Updated Population'!$B$37)*('Total Distance Tables Sup #1'!K178/'Total Distance Tables Sup #1'!$B178)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OFFSET(BOP_Reference,49,6)</f>
        <v>0</v>
      </c>
      <c r="C47" s="4">
        <f ca="1">$B47*('Updated Population'!C$37/'Updated Population'!$B$37)*('Total Distance Tables Sup #1'!C179/'Total Distance Tables Sup #1'!$B179)</f>
        <v>0</v>
      </c>
      <c r="D47" s="4">
        <f ca="1">$B47*('Updated Population'!D$37/'Updated Population'!$B$37)*('Total Distance Tables Sup #1'!D179/'Total Distance Tables Sup #1'!$B179)</f>
        <v>0</v>
      </c>
      <c r="E47" s="4">
        <f ca="1">$B47*('Updated Population'!E$37/'Updated Population'!$B$37)*('Total Distance Tables Sup #1'!E179/'Total Distance Tables Sup #1'!$B179)</f>
        <v>0</v>
      </c>
      <c r="F47" s="4">
        <f ca="1">$B47*('Updated Population'!F$37/'Updated Population'!$B$37)*('Total Distance Tables Sup #1'!F179/'Total Distance Tables Sup #1'!$B179)</f>
        <v>0</v>
      </c>
      <c r="G47" s="4">
        <f ca="1">$B47*('Updated Population'!G$37/'Updated Population'!$B$37)*('Total Distance Tables Sup #1'!G179/'Total Distance Tables Sup #1'!$B179)</f>
        <v>0</v>
      </c>
      <c r="H47" s="4">
        <f ca="1">$B47*('Updated Population'!H$37/'Updated Population'!$B$37)*('Total Distance Tables Sup #1'!H179/'Total Distance Tables Sup #1'!$B179)</f>
        <v>0</v>
      </c>
      <c r="I47" s="1">
        <f ca="1">$B47*('Updated Population'!I$37/'Updated Population'!$B$37)*('Total Distance Tables Sup #1'!I179/'Total Distance Tables Sup #1'!$B179)</f>
        <v>0</v>
      </c>
      <c r="J47" s="1">
        <f ca="1">$B47*('Updated Population'!J$37/'Updated Population'!$B$37)*('Total Distance Tables Sup #1'!J179/'Total Distance Tables Sup #1'!$B179)</f>
        <v>0</v>
      </c>
      <c r="K47" s="1">
        <f ca="1">$B47*('Updated Population'!K$37/'Updated Population'!$B$37)*('Total Distance Tables Sup #1'!K179/'Total Distance Tables Sup #1'!$B179)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OFFSET(Gisborne_Reference,0,6)</f>
        <v>7.5635235767999998</v>
      </c>
      <c r="C49" s="4">
        <f ca="1">$B49*('Updated Population'!C$48/'Updated Population'!$B$48)*('Total Distance Tables Sup #1'!C170/'Total Distance Tables Sup #1'!$B170)</f>
        <v>7.6847039583907399</v>
      </c>
      <c r="D49" s="4">
        <f ca="1">$B49*('Updated Population'!D$48/'Updated Population'!$B$48)*('Total Distance Tables Sup #1'!D170/'Total Distance Tables Sup #1'!$B170)</f>
        <v>7.6789970467466082</v>
      </c>
      <c r="E49" s="4">
        <f ca="1">$B49*('Updated Population'!E$48/'Updated Population'!$B$48)*('Total Distance Tables Sup #1'!E170/'Total Distance Tables Sup #1'!$B170)</f>
        <v>7.5801393241822801</v>
      </c>
      <c r="F49" s="4">
        <f ca="1">$B49*('Updated Population'!F$48/'Updated Population'!$B$48)*('Total Distance Tables Sup #1'!F170/'Total Distance Tables Sup #1'!$B170)</f>
        <v>7.4084349409903432</v>
      </c>
      <c r="G49" s="4">
        <f ca="1">$B49*('Updated Population'!G$48/'Updated Population'!$B$48)*('Total Distance Tables Sup #1'!G170/'Total Distance Tables Sup #1'!$B170)</f>
        <v>7.2097374490570107</v>
      </c>
      <c r="H49" s="4">
        <f ca="1">$B49*('Updated Population'!H$48/'Updated Population'!$B$48)*('Total Distance Tables Sup #1'!H170/'Total Distance Tables Sup #1'!$B170)</f>
        <v>6.9948137948655909</v>
      </c>
      <c r="I49" s="1">
        <f ca="1">$B49*('Updated Population'!I$48/'Updated Population'!$B$48)*('Total Distance Tables Sup #1'!I170/'Total Distance Tables Sup #1'!$B170)</f>
        <v>6.9291639911784175</v>
      </c>
      <c r="J49" s="1">
        <f ca="1">$B49*('Updated Population'!J$48/'Updated Population'!$B$48)*('Total Distance Tables Sup #1'!J170/'Total Distance Tables Sup #1'!$B170)</f>
        <v>6.8422806339218907</v>
      </c>
      <c r="K49" s="1">
        <f ca="1">$B49*('Updated Population'!K$48/'Updated Population'!$B$48)*('Total Distance Tables Sup #1'!K170/'Total Distance Tables Sup #1'!$B170)</f>
        <v>6.7419665628967005</v>
      </c>
    </row>
    <row r="50" spans="1:11" x14ac:dyDescent="0.2">
      <c r="A50" t="str">
        <f ca="1">OFFSET(Gisborne_Reference,7,2)</f>
        <v>Cyclist</v>
      </c>
      <c r="B50" s="4">
        <f ca="1">OFFSET(Gisborne_Reference,7,6)</f>
        <v>3.8031873472000002</v>
      </c>
      <c r="C50" s="4">
        <f ca="1">$B50*('Updated Population'!C$48/'Updated Population'!$B$48)*('Total Distance Tables Sup #1'!C171/'Total Distance Tables Sup #1'!$B171)</f>
        <v>4.0057398730888814</v>
      </c>
      <c r="D50" s="4">
        <f ca="1">$B50*('Updated Population'!D$48/'Updated Population'!$B$48)*('Total Distance Tables Sup #1'!D171/'Total Distance Tables Sup #1'!$B171)</f>
        <v>4.0619864716650245</v>
      </c>
      <c r="E50" s="4">
        <f ca="1">$B50*('Updated Population'!E$48/'Updated Population'!$B$48)*('Total Distance Tables Sup #1'!E171/'Total Distance Tables Sup #1'!$B171)</f>
        <v>4.0421012203812117</v>
      </c>
      <c r="F50" s="4">
        <f ca="1">$B50*('Updated Population'!F$48/'Updated Population'!$B$48)*('Total Distance Tables Sup #1'!F171/'Total Distance Tables Sup #1'!$B171)</f>
        <v>4.0694803692978203</v>
      </c>
      <c r="G50" s="4">
        <f ca="1">$B50*('Updated Population'!G$48/'Updated Population'!$B$48)*('Total Distance Tables Sup #1'!G171/'Total Distance Tables Sup #1'!$B171)</f>
        <v>4.1432296948513487</v>
      </c>
      <c r="H50" s="4">
        <f ca="1">$B50*('Updated Population'!H$48/'Updated Population'!$B$48)*('Total Distance Tables Sup #1'!H171/'Total Distance Tables Sup #1'!$B171)</f>
        <v>4.2152720153951915</v>
      </c>
      <c r="I50" s="1">
        <f ca="1">$B50*('Updated Population'!I$48/'Updated Population'!$B$48)*('Total Distance Tables Sup #1'!I171/'Total Distance Tables Sup #1'!$B171)</f>
        <v>4.1757095926611001</v>
      </c>
      <c r="J50" s="1">
        <f ca="1">$B50*('Updated Population'!J$48/'Updated Population'!$B$48)*('Total Distance Tables Sup #1'!J171/'Total Distance Tables Sup #1'!$B171)</f>
        <v>4.1233512318544339</v>
      </c>
      <c r="K50" s="1">
        <f ca="1">$B50*('Updated Population'!K$48/'Updated Population'!$B$48)*('Total Distance Tables Sup #1'!K171/'Total Distance Tables Sup #1'!$B171)</f>
        <v>4.062899144244434</v>
      </c>
    </row>
    <row r="51" spans="1:11" x14ac:dyDescent="0.2">
      <c r="A51" t="str">
        <f ca="1">OFFSET(Gisborne_Reference,14,2)</f>
        <v>Light Vehicle Driver</v>
      </c>
      <c r="B51" s="4">
        <f ca="1">OFFSET(Gisborne_Reference,14,6)</f>
        <v>241.40144318</v>
      </c>
      <c r="C51" s="4">
        <f ca="1">$B51*('Updated Population'!C$48/'Updated Population'!$B$48)*('Total Distance Tables Sup #1'!C172/'Total Distance Tables Sup #1'!$B172)</f>
        <v>253.19942852486713</v>
      </c>
      <c r="D51" s="4">
        <f ca="1">$B51*('Updated Population'!D$48/'Updated Population'!$B$48)*('Total Distance Tables Sup #1'!D172/'Total Distance Tables Sup #1'!$B172)</f>
        <v>258.2368579149026</v>
      </c>
      <c r="E51" s="4">
        <f ca="1">$B51*('Updated Population'!E$48/'Updated Population'!$B$48)*('Total Distance Tables Sup #1'!E172/'Total Distance Tables Sup #1'!$B172)</f>
        <v>262.98233820104122</v>
      </c>
      <c r="F51" s="4">
        <f ca="1">$B51*('Updated Population'!F$48/'Updated Population'!$B$48)*('Total Distance Tables Sup #1'!F172/'Total Distance Tables Sup #1'!$B172)</f>
        <v>266.082904492789</v>
      </c>
      <c r="G51" s="4">
        <f ca="1">$B51*('Updated Population'!G$48/'Updated Population'!$B$48)*('Total Distance Tables Sup #1'!G172/'Total Distance Tables Sup #1'!$B172)</f>
        <v>265.60114201769727</v>
      </c>
      <c r="H51" s="4">
        <f ca="1">$B51*('Updated Population'!H$48/'Updated Population'!$B$48)*('Total Distance Tables Sup #1'!H172/'Total Distance Tables Sup #1'!$B172)</f>
        <v>263.92042893354278</v>
      </c>
      <c r="I51" s="1">
        <f ca="1">$B51*('Updated Population'!I$48/'Updated Population'!$B$48)*('Total Distance Tables Sup #1'!I172/'Total Distance Tables Sup #1'!$B172)</f>
        <v>261.44340454709811</v>
      </c>
      <c r="J51" s="1">
        <f ca="1">$B51*('Updated Population'!J$48/'Updated Population'!$B$48)*('Total Distance Tables Sup #1'!J172/'Total Distance Tables Sup #1'!$B172)</f>
        <v>258.16521965371891</v>
      </c>
      <c r="K51" s="1">
        <f ca="1">$B51*('Updated Population'!K$48/'Updated Population'!$B$48)*('Total Distance Tables Sup #1'!K172/'Total Distance Tables Sup #1'!$B172)</f>
        <v>254.38028220871195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OFFSET(Gisborne_Reference,21,6)</f>
        <v>174.74236519999999</v>
      </c>
      <c r="C52" s="4">
        <f ca="1">$B52*('Updated Population'!C$48/'Updated Population'!$B$48)*('Total Distance Tables Sup #1'!C173/'Total Distance Tables Sup #1'!$B173)</f>
        <v>176.38293279565158</v>
      </c>
      <c r="D52" s="4">
        <f ca="1">$B52*('Updated Population'!D$48/'Updated Population'!$B$48)*('Total Distance Tables Sup #1'!D173/'Total Distance Tables Sup #1'!$B173)</f>
        <v>176.12900788192047</v>
      </c>
      <c r="E52" s="4">
        <f ca="1">$B52*('Updated Population'!E$48/'Updated Population'!$B$48)*('Total Distance Tables Sup #1'!E173/'Total Distance Tables Sup #1'!$B173)</f>
        <v>175.75046699767145</v>
      </c>
      <c r="F52" s="4">
        <f ca="1">$B52*('Updated Population'!F$48/'Updated Population'!$B$48)*('Total Distance Tables Sup #1'!F173/'Total Distance Tables Sup #1'!$B173)</f>
        <v>173.99936193058372</v>
      </c>
      <c r="G52" s="4">
        <f ca="1">$B52*('Updated Population'!G$48/'Updated Population'!$B$48)*('Total Distance Tables Sup #1'!G173/'Total Distance Tables Sup #1'!$B173)</f>
        <v>170.72609252228668</v>
      </c>
      <c r="H52" s="4">
        <f ca="1">$B52*('Updated Population'!H$48/'Updated Population'!$B$48)*('Total Distance Tables Sup #1'!H173/'Total Distance Tables Sup #1'!$B173)</f>
        <v>166.73897444514407</v>
      </c>
      <c r="I52" s="1">
        <f ca="1">$B52*('Updated Population'!I$48/'Updated Population'!$B$48)*('Total Distance Tables Sup #1'!I173/'Total Distance Tables Sup #1'!$B173)</f>
        <v>165.17404630547588</v>
      </c>
      <c r="J52" s="1">
        <f ca="1">$B52*('Updated Population'!J$48/'Updated Population'!$B$48)*('Total Distance Tables Sup #1'!J173/'Total Distance Tables Sup #1'!$B173)</f>
        <v>163.10296302718504</v>
      </c>
      <c r="K52" s="1">
        <f ca="1">$B52*('Updated Population'!K$48/'Updated Population'!$B$48)*('Total Distance Tables Sup #1'!K173/'Total Distance Tables Sup #1'!$B173)</f>
        <v>160.71172491625273</v>
      </c>
    </row>
    <row r="53" spans="1:11" x14ac:dyDescent="0.2">
      <c r="A53" t="str">
        <f ca="1">OFFSET(Gisborne_Reference,28,2)</f>
        <v>Taxi/Vehicle Share</v>
      </c>
      <c r="B53" s="4">
        <f ca="1">OFFSET(Gisborne_Reference,28,6)</f>
        <v>0.1174510768</v>
      </c>
      <c r="C53" s="4">
        <f ca="1">$B53*('Updated Population'!C$48/'Updated Population'!$B$48)*('Total Distance Tables Sup #1'!C174/'Total Distance Tables Sup #1'!$B174)</f>
        <v>0.1289493195652531</v>
      </c>
      <c r="D53" s="4">
        <f ca="1">$B53*('Updated Population'!D$48/'Updated Population'!$B$48)*('Total Distance Tables Sup #1'!D174/'Total Distance Tables Sup #1'!$B174)</f>
        <v>0.13859695690865764</v>
      </c>
      <c r="E53" s="4">
        <f ca="1">$B53*('Updated Population'!E$48/'Updated Population'!$B$48)*('Total Distance Tables Sup #1'!E174/'Total Distance Tables Sup #1'!$B174)</f>
        <v>0.14705654438859947</v>
      </c>
      <c r="F53" s="4">
        <f ca="1">$B53*('Updated Population'!F$48/'Updated Population'!$B$48)*('Total Distance Tables Sup #1'!F174/'Total Distance Tables Sup #1'!$B174)</f>
        <v>0.1534047951891917</v>
      </c>
      <c r="G53" s="4">
        <f ca="1">$B53*('Updated Population'!G$48/'Updated Population'!$B$48)*('Total Distance Tables Sup #1'!G174/'Total Distance Tables Sup #1'!$B174)</f>
        <v>0.15659317318583882</v>
      </c>
      <c r="H53" s="4">
        <f ca="1">$B53*('Updated Population'!H$48/'Updated Population'!$B$48)*('Total Distance Tables Sup #1'!H174/'Total Distance Tables Sup #1'!$B174)</f>
        <v>0.15898916664031035</v>
      </c>
      <c r="I53" s="1">
        <f ca="1">$B53*('Updated Population'!I$48/'Updated Population'!$B$48)*('Total Distance Tables Sup #1'!I174/'Total Distance Tables Sup #1'!$B174)</f>
        <v>0.15749697429832332</v>
      </c>
      <c r="J53" s="1">
        <f ca="1">$B53*('Updated Population'!J$48/'Updated Population'!$B$48)*('Total Distance Tables Sup #1'!J174/'Total Distance Tables Sup #1'!$B174)</f>
        <v>0.15552215224154933</v>
      </c>
      <c r="K53" s="1">
        <f ca="1">$B53*('Updated Population'!K$48/'Updated Population'!$B$48)*('Total Distance Tables Sup #1'!K174/'Total Distance Tables Sup #1'!$B174)</f>
        <v>0.15324205572685742</v>
      </c>
    </row>
    <row r="54" spans="1:11" x14ac:dyDescent="0.2">
      <c r="A54" t="str">
        <f ca="1">OFFSET(Gisborne_Reference,35,2)</f>
        <v>Motorcyclist</v>
      </c>
      <c r="B54" s="4">
        <f ca="1">OFFSET(Gisborne_Reference,35,6)</f>
        <v>0.95186353219999997</v>
      </c>
      <c r="C54" s="4">
        <f ca="1">$B54*('Updated Population'!C$48/'Updated Population'!$B$48)*('Total Distance Tables Sup #1'!C175/'Total Distance Tables Sup #1'!$B175)</f>
        <v>0.99086530738068568</v>
      </c>
      <c r="D54" s="4">
        <f ca="1">$B54*('Updated Population'!D$48/'Updated Population'!$B$48)*('Total Distance Tables Sup #1'!D175/'Total Distance Tables Sup #1'!$B175)</f>
        <v>1.0006916757107296</v>
      </c>
      <c r="E54" s="4">
        <f ca="1">$B54*('Updated Population'!E$48/'Updated Population'!$B$48)*('Total Distance Tables Sup #1'!E175/'Total Distance Tables Sup #1'!$B175)</f>
        <v>0.99500018967794623</v>
      </c>
      <c r="F54" s="4">
        <f ca="1">$B54*('Updated Population'!F$48/'Updated Population'!$B$48)*('Total Distance Tables Sup #1'!F175/'Total Distance Tables Sup #1'!$B175)</f>
        <v>0.97835176800464452</v>
      </c>
      <c r="G54" s="4">
        <f ca="1">$B54*('Updated Population'!G$48/'Updated Population'!$B$48)*('Total Distance Tables Sup #1'!G175/'Total Distance Tables Sup #1'!$B175)</f>
        <v>0.94237254189455011</v>
      </c>
      <c r="H54" s="4">
        <f ca="1">$B54*('Updated Population'!H$48/'Updated Population'!$B$48)*('Total Distance Tables Sup #1'!H175/'Total Distance Tables Sup #1'!$B175)</f>
        <v>0.90298412014262008</v>
      </c>
      <c r="I54" s="1">
        <f ca="1">$B54*('Updated Population'!I$48/'Updated Population'!$B$48)*('Total Distance Tables Sup #1'!I175/'Total Distance Tables Sup #1'!$B175)</f>
        <v>0.89450916541780501</v>
      </c>
      <c r="J54" s="1">
        <f ca="1">$B54*('Updated Population'!J$48/'Updated Population'!$B$48)*('Total Distance Tables Sup #1'!J175/'Total Distance Tables Sup #1'!$B175)</f>
        <v>0.883293099599883</v>
      </c>
      <c r="K54" s="1">
        <f ca="1">$B54*('Updated Population'!K$48/'Updated Population'!$B$48)*('Total Distance Tables Sup #1'!K175/'Total Distance Tables Sup #1'!$B175)</f>
        <v>0.87034321761316091</v>
      </c>
    </row>
    <row r="55" spans="1:11" x14ac:dyDescent="0.2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Distance Tables Sup #1'!C176/'Total Distance Tables Sup #1'!$B176)</f>
        <v>0</v>
      </c>
      <c r="D55" s="4">
        <f ca="1">$B55*('Updated Population'!D$48/'Updated Population'!$B$48)*('Total Distance Tables Sup #1'!D176/'Total Distance Tables Sup #1'!$B176)</f>
        <v>0</v>
      </c>
      <c r="E55" s="4">
        <f ca="1">$B55*('Updated Population'!E$48/'Updated Population'!$B$48)*('Total Distance Tables Sup #1'!E176/'Total Distance Tables Sup #1'!$B176)</f>
        <v>0</v>
      </c>
      <c r="F55" s="4">
        <f ca="1">$B55*('Updated Population'!F$48/'Updated Population'!$B$48)*('Total Distance Tables Sup #1'!F176/'Total Distance Tables Sup #1'!$B176)</f>
        <v>0</v>
      </c>
      <c r="G55" s="4">
        <f ca="1">$B55*('Updated Population'!G$48/'Updated Population'!$B$48)*('Total Distance Tables Sup #1'!G176/'Total Distance Tables Sup #1'!$B176)</f>
        <v>0</v>
      </c>
      <c r="H55" s="4">
        <f ca="1">$B55*('Updated Population'!H$48/'Updated Population'!$B$48)*('Total Distance Tables Sup #1'!H176/'Total Distance Tables Sup #1'!$B176)</f>
        <v>0</v>
      </c>
      <c r="I55" s="1">
        <f ca="1">$B55*('Updated Population'!I$48/'Updated Population'!$B$48)*('Total Distance Tables Sup #1'!I176/'Total Distance Tables Sup #1'!$B176)</f>
        <v>0</v>
      </c>
      <c r="J55" s="1">
        <f ca="1">$B55*('Updated Population'!J$48/'Updated Population'!$B$48)*('Total Distance Tables Sup #1'!J176/'Total Distance Tables Sup #1'!$B176)</f>
        <v>0</v>
      </c>
      <c r="K55" s="1">
        <f ca="1">$B55*('Updated Population'!K$48/'Updated Population'!$B$48)*('Total Distance Tables Sup #1'!K176/'Total Distance Tables Sup #1'!$B176)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OFFSET(Gisborne_Reference,49,6)</f>
        <v>4.8778387282000004</v>
      </c>
      <c r="C56" s="4">
        <f ca="1">$B56*('Updated Population'!C$48/'Updated Population'!$B$48)*('Total Distance Tables Sup #1'!C177/'Total Distance Tables Sup #1'!$B177)</f>
        <v>4.5788188708928761</v>
      </c>
      <c r="D56" s="4">
        <f ca="1">$B56*('Updated Population'!D$48/'Updated Population'!$B$48)*('Total Distance Tables Sup #1'!D177/'Total Distance Tables Sup #1'!$B177)</f>
        <v>4.3802168138072197</v>
      </c>
      <c r="E56" s="4">
        <f ca="1">$B56*('Updated Population'!E$48/'Updated Population'!$B$48)*('Total Distance Tables Sup #1'!E177/'Total Distance Tables Sup #1'!$B177)</f>
        <v>4.2350115391807828</v>
      </c>
      <c r="F56" s="4">
        <f ca="1">$B56*('Updated Population'!F$48/'Updated Population'!$B$48)*('Total Distance Tables Sup #1'!F177/'Total Distance Tables Sup #1'!$B177)</f>
        <v>4.0221837082952971</v>
      </c>
      <c r="G56" s="4">
        <f ca="1">$B56*('Updated Population'!G$48/'Updated Population'!$B$48)*('Total Distance Tables Sup #1'!G177/'Total Distance Tables Sup #1'!$B177)</f>
        <v>3.849675817871733</v>
      </c>
      <c r="H56" s="4">
        <f ca="1">$B56*('Updated Population'!H$48/'Updated Population'!$B$48)*('Total Distance Tables Sup #1'!H177/'Total Distance Tables Sup #1'!$B177)</f>
        <v>3.6716261175755949</v>
      </c>
      <c r="I56" s="1">
        <f ca="1">$B56*('Updated Population'!I$48/'Updated Population'!$B$48)*('Total Distance Tables Sup #1'!I177/'Total Distance Tables Sup #1'!$B177)</f>
        <v>3.6371660817689997</v>
      </c>
      <c r="J56" s="1">
        <f ca="1">$B56*('Updated Population'!J$48/'Updated Population'!$B$48)*('Total Distance Tables Sup #1'!J177/'Total Distance Tables Sup #1'!$B177)</f>
        <v>3.5915604069017322</v>
      </c>
      <c r="K56" s="1">
        <f ca="1">$B56*('Updated Population'!K$48/'Updated Population'!$B$48)*('Total Distance Tables Sup #1'!K177/'Total Distance Tables Sup #1'!$B177)</f>
        <v>3.5389048575278843</v>
      </c>
    </row>
    <row r="57" spans="1:11" x14ac:dyDescent="0.2">
      <c r="A57" t="str">
        <f ca="1">OFFSET(Gisborne_Reference,56,2)</f>
        <v>Local Ferry</v>
      </c>
      <c r="B57" s="4">
        <f ca="1">OFFSET(Gisborne_Reference,56,6)</f>
        <v>0</v>
      </c>
      <c r="C57" s="4">
        <f ca="1">$B57*('Updated Population'!C$48/'Updated Population'!$B$48)*('Total Distance Tables Sup #1'!C178/'Total Distance Tables Sup #1'!$B178)</f>
        <v>0</v>
      </c>
      <c r="D57" s="4">
        <f ca="1">$B57*('Updated Population'!D$48/'Updated Population'!$B$48)*('Total Distance Tables Sup #1'!D178/'Total Distance Tables Sup #1'!$B178)</f>
        <v>0</v>
      </c>
      <c r="E57" s="4">
        <f ca="1">$B57*('Updated Population'!E$48/'Updated Population'!$B$48)*('Total Distance Tables Sup #1'!E178/'Total Distance Tables Sup #1'!$B178)</f>
        <v>0</v>
      </c>
      <c r="F57" s="4">
        <f ca="1">$B57*('Updated Population'!F$48/'Updated Population'!$B$48)*('Total Distance Tables Sup #1'!F178/'Total Distance Tables Sup #1'!$B178)</f>
        <v>0</v>
      </c>
      <c r="G57" s="4">
        <f ca="1">$B57*('Updated Population'!G$48/'Updated Population'!$B$48)*('Total Distance Tables Sup #1'!G178/'Total Distance Tables Sup #1'!$B178)</f>
        <v>0</v>
      </c>
      <c r="H57" s="4">
        <f ca="1">$B57*('Updated Population'!H$48/'Updated Population'!$B$48)*('Total Distance Tables Sup #1'!H178/'Total Distance Tables Sup #1'!$B178)</f>
        <v>0</v>
      </c>
      <c r="I57" s="1">
        <f ca="1">$B57*('Updated Population'!I$48/'Updated Population'!$B$48)*('Total Distance Tables Sup #1'!I178/'Total Distance Tables Sup #1'!$B178)</f>
        <v>0</v>
      </c>
      <c r="J57" s="1">
        <f ca="1">$B57*('Updated Population'!J$48/'Updated Population'!$B$48)*('Total Distance Tables Sup #1'!J178/'Total Distance Tables Sup #1'!$B178)</f>
        <v>0</v>
      </c>
      <c r="K57" s="1">
        <f ca="1">$B57*('Updated Population'!K$48/'Updated Population'!$B$48)*('Total Distance Tables Sup #1'!K178/'Total Distance Tables Sup #1'!$B178)</f>
        <v>0</v>
      </c>
    </row>
    <row r="58" spans="1:11" x14ac:dyDescent="0.2">
      <c r="A58" t="str">
        <f ca="1">OFFSET(Gisborne_Reference,63,2)</f>
        <v>Other Household Travel</v>
      </c>
      <c r="B58" s="4">
        <f ca="1">OFFSET(Gisborne_Reference,63,6)</f>
        <v>0</v>
      </c>
      <c r="C58" s="4">
        <f ca="1">$B58*('Updated Population'!C$48/'Updated Population'!$B$48)*('Total Distance Tables Sup #1'!C179/'Total Distance Tables Sup #1'!$B179)</f>
        <v>0</v>
      </c>
      <c r="D58" s="4">
        <f ca="1">$B58*('Updated Population'!D$48/'Updated Population'!$B$48)*('Total Distance Tables Sup #1'!D179/'Total Distance Tables Sup #1'!$B179)</f>
        <v>0</v>
      </c>
      <c r="E58" s="4">
        <f ca="1">$B58*('Updated Population'!E$48/'Updated Population'!$B$48)*('Total Distance Tables Sup #1'!E179/'Total Distance Tables Sup #1'!$B179)</f>
        <v>0</v>
      </c>
      <c r="F58" s="4">
        <f ca="1">$B58*('Updated Population'!F$48/'Updated Population'!$B$48)*('Total Distance Tables Sup #1'!F179/'Total Distance Tables Sup #1'!$B179)</f>
        <v>0</v>
      </c>
      <c r="G58" s="4">
        <f ca="1">$B58*('Updated Population'!G$48/'Updated Population'!$B$48)*('Total Distance Tables Sup #1'!G179/'Total Distance Tables Sup #1'!$B179)</f>
        <v>0</v>
      </c>
      <c r="H58" s="4">
        <f ca="1">$B58*('Updated Population'!H$48/'Updated Population'!$B$48)*('Total Distance Tables Sup #1'!H179/'Total Distance Tables Sup #1'!$B179)</f>
        <v>0</v>
      </c>
      <c r="I58" s="1">
        <f ca="1">$B58*('Updated Population'!I$48/'Updated Population'!$B$48)*('Total Distance Tables Sup #1'!I179/'Total Distance Tables Sup #1'!$B179)</f>
        <v>0</v>
      </c>
      <c r="J58" s="1">
        <f ca="1">$B58*('Updated Population'!J$48/'Updated Population'!$B$48)*('Total Distance Tables Sup #1'!J179/'Total Distance Tables Sup #1'!$B179)</f>
        <v>0</v>
      </c>
      <c r="K58" s="1">
        <f ca="1">$B58*('Updated Population'!K$48/'Updated Population'!$B$48)*('Total Distance Tables Sup #1'!K179/'Total Distance Tables Sup #1'!$B179)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OFFSET(Hawkes_Bay_Reference,0,6)</f>
        <v>22.691613215</v>
      </c>
      <c r="C60" s="4">
        <f ca="1">$B60*('Updated Population'!C$59/'Updated Population'!$B$59)*('Total Distance Tables Sup #1'!C170/'Total Distance Tables Sup #1'!$B170)</f>
        <v>23.930567959564161</v>
      </c>
      <c r="D60" s="4">
        <f ca="1">$B60*('Updated Population'!D$59/'Updated Population'!$B$59)*('Total Distance Tables Sup #1'!D170/'Total Distance Tables Sup #1'!$B170)</f>
        <v>24.511752840494061</v>
      </c>
      <c r="E60" s="4">
        <f ca="1">$B60*('Updated Population'!E$59/'Updated Population'!$B$59)*('Total Distance Tables Sup #1'!E170/'Total Distance Tables Sup #1'!$B170)</f>
        <v>24.683040904985305</v>
      </c>
      <c r="F60" s="4">
        <f ca="1">$B60*('Updated Population'!F$59/'Updated Population'!$B$59)*('Total Distance Tables Sup #1'!F170/'Total Distance Tables Sup #1'!$B170)</f>
        <v>24.59204014382567</v>
      </c>
      <c r="G60" s="4">
        <f ca="1">$B60*('Updated Population'!G$59/'Updated Population'!$B$59)*('Total Distance Tables Sup #1'!G170/'Total Distance Tables Sup #1'!$B170)</f>
        <v>24.436487521891948</v>
      </c>
      <c r="H60" s="4">
        <f ca="1">$B60*('Updated Population'!H$59/'Updated Population'!$B$59)*('Total Distance Tables Sup #1'!H170/'Total Distance Tables Sup #1'!$B170)</f>
        <v>24.216208287009291</v>
      </c>
      <c r="I60" s="1">
        <f ca="1">$B60*('Updated Population'!I$59/'Updated Population'!$B$59)*('Total Distance Tables Sup #1'!I170/'Total Distance Tables Sup #1'!$B170)</f>
        <v>24.518171267523282</v>
      </c>
      <c r="J60" s="1">
        <f ca="1">$B60*('Updated Population'!J$59/'Updated Population'!$B$59)*('Total Distance Tables Sup #1'!J170/'Total Distance Tables Sup #1'!$B170)</f>
        <v>24.760180511333282</v>
      </c>
      <c r="K60" s="1">
        <f ca="1">$B60*('Updated Population'!K$59/'Updated Population'!$B$59)*('Total Distance Tables Sup #1'!K170/'Total Distance Tables Sup #1'!$B170)</f>
        <v>24.966356926846693</v>
      </c>
    </row>
    <row r="61" spans="1:11" x14ac:dyDescent="0.2">
      <c r="A61" t="str">
        <f ca="1">OFFSET(Hawkes_Bay_Reference,7,2)</f>
        <v>Cyclist</v>
      </c>
      <c r="B61" s="4">
        <f ca="1">OFFSET(Hawkes_Bay_Reference,7,6)</f>
        <v>9.5482363540000001</v>
      </c>
      <c r="C61" s="4">
        <f ca="1">$B61*('Updated Population'!C$59/'Updated Population'!$B$59)*('Total Distance Tables Sup #1'!C171/'Total Distance Tables Sup #1'!$B171)</f>
        <v>10.438614083405472</v>
      </c>
      <c r="D61" s="4">
        <f ca="1">$B61*('Updated Population'!D$59/'Updated Population'!$B$59)*('Total Distance Tables Sup #1'!D171/'Total Distance Tables Sup #1'!$B171)</f>
        <v>10.850320707383856</v>
      </c>
      <c r="E61" s="4">
        <f ca="1">$B61*('Updated Population'!E$59/'Updated Population'!$B$59)*('Total Distance Tables Sup #1'!E171/'Total Distance Tables Sup #1'!$B171)</f>
        <v>11.014451972870798</v>
      </c>
      <c r="F61" s="4">
        <f ca="1">$B61*('Updated Population'!F$59/'Updated Population'!$B$59)*('Total Distance Tables Sup #1'!F171/'Total Distance Tables Sup #1'!$B171)</f>
        <v>11.30423766188126</v>
      </c>
      <c r="G61" s="4">
        <f ca="1">$B61*('Updated Population'!G$59/'Updated Population'!$B$59)*('Total Distance Tables Sup #1'!G171/'Total Distance Tables Sup #1'!$B171)</f>
        <v>11.751480275962066</v>
      </c>
      <c r="H61" s="4">
        <f ca="1">$B61*('Updated Population'!H$59/'Updated Population'!$B$59)*('Total Distance Tables Sup #1'!H171/'Total Distance Tables Sup #1'!$B171)</f>
        <v>12.212085179826937</v>
      </c>
      <c r="I61" s="1">
        <f ca="1">$B61*('Updated Population'!I$59/'Updated Population'!$B$59)*('Total Distance Tables Sup #1'!I171/'Total Distance Tables Sup #1'!$B171)</f>
        <v>12.36436325719917</v>
      </c>
      <c r="J61" s="1">
        <f ca="1">$B61*('Updated Population'!J$59/'Updated Population'!$B$59)*('Total Distance Tables Sup #1'!J171/'Total Distance Tables Sup #1'!$B171)</f>
        <v>12.486407033197688</v>
      </c>
      <c r="K61" s="1">
        <f ca="1">$B61*('Updated Population'!K$59/'Updated Population'!$B$59)*('Total Distance Tables Sup #1'!K171/'Total Distance Tables Sup #1'!$B171)</f>
        <v>12.590380533858063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OFFSET(Hawkes_Bay_Reference,14,6)</f>
        <v>1001.7566771</v>
      </c>
      <c r="C62" s="4">
        <f ca="1">$B62*('Updated Population'!C$59/'Updated Population'!$B$59)*('Total Distance Tables Sup #1'!C172/'Total Distance Tables Sup #1'!$B172)</f>
        <v>1090.6107197188339</v>
      </c>
      <c r="D62" s="4">
        <f ca="1">$B62*('Updated Population'!D$59/'Updated Population'!$B$59)*('Total Distance Tables Sup #1'!D172/'Total Distance Tables Sup #1'!$B172)</f>
        <v>1140.1691174468342</v>
      </c>
      <c r="E62" s="4">
        <f ca="1">$B62*('Updated Population'!E$59/'Updated Population'!$B$59)*('Total Distance Tables Sup #1'!E172/'Total Distance Tables Sup #1'!$B172)</f>
        <v>1184.4840955488169</v>
      </c>
      <c r="F62" s="4">
        <f ca="1">$B62*('Updated Population'!F$59/'Updated Population'!$B$59)*('Total Distance Tables Sup #1'!F172/'Total Distance Tables Sup #1'!$B172)</f>
        <v>1221.7046777131181</v>
      </c>
      <c r="G62" s="4">
        <f ca="1">$B62*('Updated Population'!G$59/'Updated Population'!$B$59)*('Total Distance Tables Sup #1'!G172/'Total Distance Tables Sup #1'!$B172)</f>
        <v>1245.1751526889611</v>
      </c>
      <c r="H62" s="4">
        <f ca="1">$B62*('Updated Population'!H$59/'Updated Population'!$B$59)*('Total Distance Tables Sup #1'!H172/'Total Distance Tables Sup #1'!$B172)</f>
        <v>1263.8169343773193</v>
      </c>
      <c r="I62" s="1">
        <f ca="1">$B62*('Updated Population'!I$59/'Updated Population'!$B$59)*('Total Distance Tables Sup #1'!I172/'Total Distance Tables Sup #1'!$B172)</f>
        <v>1279.576045952741</v>
      </c>
      <c r="J62" s="1">
        <f ca="1">$B62*('Updated Population'!J$59/'Updated Population'!$B$59)*('Total Distance Tables Sup #1'!J172/'Total Distance Tables Sup #1'!$B172)</f>
        <v>1292.206238796226</v>
      </c>
      <c r="K62" s="1">
        <f ca="1">$B62*('Updated Population'!K$59/'Updated Population'!$B$59)*('Total Distance Tables Sup #1'!K172/'Total Distance Tables Sup #1'!$B172)</f>
        <v>1302.966356247596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OFFSET(Hawkes_Bay_Reference,21,6)</f>
        <v>607.82570181000006</v>
      </c>
      <c r="C63" s="4">
        <f ca="1">$B63*('Updated Population'!C$59/'Updated Population'!$B$59)*('Total Distance Tables Sup #1'!C173/'Total Distance Tables Sup #1'!$B173)</f>
        <v>636.82787835861939</v>
      </c>
      <c r="D63" s="4">
        <f ca="1">$B63*('Updated Population'!D$59/'Updated Population'!$B$59)*('Total Distance Tables Sup #1'!D173/'Total Distance Tables Sup #1'!$B173)</f>
        <v>651.83908881032471</v>
      </c>
      <c r="E63" s="4">
        <f ca="1">$B63*('Updated Population'!E$59/'Updated Population'!$B$59)*('Total Distance Tables Sup #1'!E173/'Total Distance Tables Sup #1'!$B173)</f>
        <v>663.52548130766161</v>
      </c>
      <c r="F63" s="4">
        <f ca="1">$B63*('Updated Population'!F$59/'Updated Population'!$B$59)*('Total Distance Tables Sup #1'!F173/'Total Distance Tables Sup #1'!$B173)</f>
        <v>669.66158525111928</v>
      </c>
      <c r="G63" s="4">
        <f ca="1">$B63*('Updated Population'!G$59/'Updated Population'!$B$59)*('Total Distance Tables Sup #1'!G173/'Total Distance Tables Sup #1'!$B173)</f>
        <v>670.9016732884586</v>
      </c>
      <c r="H63" s="4">
        <f ca="1">$B63*('Updated Population'!H$59/'Updated Population'!$B$59)*('Total Distance Tables Sup #1'!H173/'Total Distance Tables Sup #1'!$B173)</f>
        <v>669.2783162911096</v>
      </c>
      <c r="I63" s="1">
        <f ca="1">$B63*('Updated Population'!I$59/'Updated Population'!$B$59)*('Total Distance Tables Sup #1'!I173/'Total Distance Tables Sup #1'!$B173)</f>
        <v>677.623853824707</v>
      </c>
      <c r="J63" s="1">
        <f ca="1">$B63*('Updated Population'!J$59/'Updated Population'!$B$59)*('Total Distance Tables Sup #1'!J173/'Total Distance Tables Sup #1'!$B173)</f>
        <v>684.3124128800456</v>
      </c>
      <c r="K63" s="1">
        <f ca="1">$B63*('Updated Population'!K$59/'Updated Population'!$B$59)*('Total Distance Tables Sup #1'!K173/'Total Distance Tables Sup #1'!$B173)</f>
        <v>690.01063791173954</v>
      </c>
    </row>
    <row r="64" spans="1:11" x14ac:dyDescent="0.2">
      <c r="A64" t="str">
        <f ca="1">OFFSET(Hawkes_Bay_Reference,28,2)</f>
        <v>Taxi/Vehicle Share</v>
      </c>
      <c r="B64" s="4">
        <f ca="1">OFFSET(Hawkes_Bay_Reference,28,6)</f>
        <v>1.7589425135000001</v>
      </c>
      <c r="C64" s="4">
        <f ca="1">$B64*('Updated Population'!C$59/'Updated Population'!$B$59)*('Total Distance Tables Sup #1'!C174/'Total Distance Tables Sup #1'!$B174)</f>
        <v>2.0044644356778911</v>
      </c>
      <c r="D64" s="4">
        <f ca="1">$B64*('Updated Population'!D$59/'Updated Population'!$B$59)*('Total Distance Tables Sup #1'!D174/'Total Distance Tables Sup #1'!$B174)</f>
        <v>2.2083962395925485</v>
      </c>
      <c r="E64" s="4">
        <f ca="1">$B64*('Updated Population'!E$59/'Updated Population'!$B$59)*('Total Distance Tables Sup #1'!E174/'Total Distance Tables Sup #1'!$B174)</f>
        <v>2.3903377329917985</v>
      </c>
      <c r="F64" s="4">
        <f ca="1">$B64*('Updated Population'!F$59/'Updated Population'!$B$59)*('Total Distance Tables Sup #1'!F174/'Total Distance Tables Sup #1'!$B174)</f>
        <v>2.5419116919729992</v>
      </c>
      <c r="G64" s="4">
        <f ca="1">$B64*('Updated Population'!G$59/'Updated Population'!$B$59)*('Total Distance Tables Sup #1'!G174/'Total Distance Tables Sup #1'!$B174)</f>
        <v>2.6493881642428807</v>
      </c>
      <c r="H64" s="4">
        <f ca="1">$B64*('Updated Population'!H$59/'Updated Population'!$B$59)*('Total Distance Tables Sup #1'!H174/'Total Distance Tables Sup #1'!$B174)</f>
        <v>2.7475838458219966</v>
      </c>
      <c r="I64" s="1">
        <f ca="1">$B64*('Updated Population'!I$59/'Updated Population'!$B$59)*('Total Distance Tables Sup #1'!I174/'Total Distance Tables Sup #1'!$B174)</f>
        <v>2.7818447258682575</v>
      </c>
      <c r="J64" s="1">
        <f ca="1">$B64*('Updated Population'!J$59/'Updated Population'!$B$59)*('Total Distance Tables Sup #1'!J174/'Total Distance Tables Sup #1'!$B174)</f>
        <v>2.8093032231255952</v>
      </c>
      <c r="K64" s="1">
        <f ca="1">$B64*('Updated Population'!K$59/'Updated Population'!$B$59)*('Total Distance Tables Sup #1'!K174/'Total Distance Tables Sup #1'!$B174)</f>
        <v>2.8326961086649063</v>
      </c>
    </row>
    <row r="65" spans="1:11" x14ac:dyDescent="0.2">
      <c r="A65" t="str">
        <f ca="1">OFFSET(Hawkes_Bay_Reference,35,2)</f>
        <v>Motorcyclist</v>
      </c>
      <c r="B65" s="4">
        <f ca="1">OFFSET(Hawkes_Bay_Reference,35,6)</f>
        <v>3.0321841239</v>
      </c>
      <c r="C65" s="4">
        <f ca="1">$B65*('Updated Population'!C$59/'Updated Population'!$B$59)*('Total Distance Tables Sup #1'!C175/'Total Distance Tables Sup #1'!$B175)</f>
        <v>3.276273591960678</v>
      </c>
      <c r="D65" s="4">
        <f ca="1">$B65*('Updated Population'!D$59/'Updated Population'!$B$59)*('Total Distance Tables Sup #1'!D175/'Total Distance Tables Sup #1'!$B175)</f>
        <v>3.3916406295478905</v>
      </c>
      <c r="E65" s="4">
        <f ca="1">$B65*('Updated Population'!E$59/'Updated Population'!$B$59)*('Total Distance Tables Sup #1'!E175/'Total Distance Tables Sup #1'!$B175)</f>
        <v>3.4402049162323283</v>
      </c>
      <c r="F65" s="4">
        <f ca="1">$B65*('Updated Population'!F$59/'Updated Population'!$B$59)*('Total Distance Tables Sup #1'!F175/'Total Distance Tables Sup #1'!$B175)</f>
        <v>3.4482821630481433</v>
      </c>
      <c r="G65" s="4">
        <f ca="1">$B65*('Updated Population'!G$59/'Updated Population'!$B$59)*('Total Distance Tables Sup #1'!G175/'Total Distance Tables Sup #1'!$B175)</f>
        <v>3.3914204029949002</v>
      </c>
      <c r="H65" s="4">
        <f ca="1">$B65*('Updated Population'!H$59/'Updated Population'!$B$59)*('Total Distance Tables Sup #1'!H175/'Total Distance Tables Sup #1'!$B175)</f>
        <v>3.3193249640620088</v>
      </c>
      <c r="I65" s="1">
        <f ca="1">$B65*('Updated Population'!I$59/'Updated Population'!$B$59)*('Total Distance Tables Sup #1'!I175/'Total Distance Tables Sup #1'!$B175)</f>
        <v>3.3607151456942153</v>
      </c>
      <c r="J65" s="1">
        <f ca="1">$B65*('Updated Population'!J$59/'Updated Population'!$B$59)*('Total Distance Tables Sup #1'!J175/'Total Distance Tables Sup #1'!$B175)</f>
        <v>3.3938874456262091</v>
      </c>
      <c r="K65" s="1">
        <f ca="1">$B65*('Updated Population'!K$59/'Updated Population'!$B$59)*('Total Distance Tables Sup #1'!K175/'Total Distance Tables Sup #1'!$B175)</f>
        <v>3.4221481260309776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Distance Tables Sup #1'!C176/'Total Distance Tables Sup #1'!$B176)</f>
        <v>0</v>
      </c>
      <c r="D66" s="4">
        <f ca="1">$B66*('Updated Population'!D$59/'Updated Population'!$B$59)*('Total Distance Tables Sup #1'!D176/'Total Distance Tables Sup #1'!$B176)</f>
        <v>0</v>
      </c>
      <c r="E66" s="4">
        <f ca="1">$B66*('Updated Population'!E$59/'Updated Population'!$B$59)*('Total Distance Tables Sup #1'!E176/'Total Distance Tables Sup #1'!$B176)</f>
        <v>0</v>
      </c>
      <c r="F66" s="4">
        <f ca="1">$B66*('Updated Population'!F$59/'Updated Population'!$B$59)*('Total Distance Tables Sup #1'!F176/'Total Distance Tables Sup #1'!$B176)</f>
        <v>0</v>
      </c>
      <c r="G66" s="4">
        <f ca="1">$B66*('Updated Population'!G$59/'Updated Population'!$B$59)*('Total Distance Tables Sup #1'!G176/'Total Distance Tables Sup #1'!$B176)</f>
        <v>0</v>
      </c>
      <c r="H66" s="4">
        <f ca="1">$B66*('Updated Population'!H$59/'Updated Population'!$B$59)*('Total Distance Tables Sup #1'!H176/'Total Distance Tables Sup #1'!$B176)</f>
        <v>0</v>
      </c>
      <c r="I66" s="1">
        <f ca="1">$B66*('Updated Population'!I$59/'Updated Population'!$B$59)*('Total Distance Tables Sup #1'!I176/'Total Distance Tables Sup #1'!$B176)</f>
        <v>0</v>
      </c>
      <c r="J66" s="1">
        <f ca="1">$B66*('Updated Population'!J$59/'Updated Population'!$B$59)*('Total Distance Tables Sup #1'!J176/'Total Distance Tables Sup #1'!$B176)</f>
        <v>0</v>
      </c>
      <c r="K66" s="1">
        <f ca="1">$B66*('Updated Population'!K$59/'Updated Population'!$B$59)*('Total Distance Tables Sup #1'!K176/'Total Distance Tables Sup #1'!$B176)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OFFSET(Hawkes_Bay_Reference,42,6)</f>
        <v>39.591997026999998</v>
      </c>
      <c r="C67" s="4">
        <f ca="1">$B67*('Updated Population'!C$59/'Updated Population'!$B$59)*('Total Distance Tables Sup #1'!C177/'Total Distance Tables Sup #1'!$B177)</f>
        <v>38.576079845114734</v>
      </c>
      <c r="D67" s="4">
        <f ca="1">$B67*('Updated Population'!D$59/'Updated Population'!$B$59)*('Total Distance Tables Sup #1'!D177/'Total Distance Tables Sup #1'!$B177)</f>
        <v>37.827203829389056</v>
      </c>
      <c r="E67" s="4">
        <f ca="1">$B67*('Updated Population'!E$59/'Updated Population'!$B$59)*('Total Distance Tables Sup #1'!E177/'Total Distance Tables Sup #1'!$B177)</f>
        <v>37.309105451624127</v>
      </c>
      <c r="F67" s="4">
        <f ca="1">$B67*('Updated Population'!F$59/'Updated Population'!$B$59)*('Total Distance Tables Sup #1'!F177/'Total Distance Tables Sup #1'!$B177)</f>
        <v>36.121747602969187</v>
      </c>
      <c r="G67" s="4">
        <f ca="1">$B67*('Updated Population'!G$59/'Updated Population'!$B$59)*('Total Distance Tables Sup #1'!G177/'Total Distance Tables Sup #1'!$B177)</f>
        <v>35.300613542420976</v>
      </c>
      <c r="H67" s="4">
        <f ca="1">$B67*('Updated Population'!H$59/'Updated Population'!$B$59)*('Total Distance Tables Sup #1'!H177/'Total Distance Tables Sup #1'!$B177)</f>
        <v>34.38960594139462</v>
      </c>
      <c r="I67" s="1">
        <f ca="1">$B67*('Updated Population'!I$59/'Updated Population'!$B$59)*('Total Distance Tables Sup #1'!I177/'Total Distance Tables Sup #1'!$B177)</f>
        <v>34.818425671787168</v>
      </c>
      <c r="J67" s="1">
        <f ca="1">$B67*('Updated Population'!J$59/'Updated Population'!$B$59)*('Total Distance Tables Sup #1'!J177/'Total Distance Tables Sup #1'!$B177)</f>
        <v>35.162104683388065</v>
      </c>
      <c r="K67" s="1">
        <f ca="1">$B67*('Updated Population'!K$59/'Updated Population'!$B$59)*('Total Distance Tables Sup #1'!K177/'Total Distance Tables Sup #1'!$B177)</f>
        <v>35.454897246116346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Distance Tables Sup #1'!C178/'Total Distance Tables Sup #1'!$B178)</f>
        <v>0</v>
      </c>
      <c r="D68" s="4">
        <f ca="1">$B68*('Updated Population'!D$59/'Updated Population'!$B$59)*('Total Distance Tables Sup #1'!D178/'Total Distance Tables Sup #1'!$B178)</f>
        <v>0</v>
      </c>
      <c r="E68" s="4">
        <f ca="1">$B68*('Updated Population'!E$59/'Updated Population'!$B$59)*('Total Distance Tables Sup #1'!E178/'Total Distance Tables Sup #1'!$B178)</f>
        <v>0</v>
      </c>
      <c r="F68" s="4">
        <f ca="1">$B68*('Updated Population'!F$59/'Updated Population'!$B$59)*('Total Distance Tables Sup #1'!F178/'Total Distance Tables Sup #1'!$B178)</f>
        <v>0</v>
      </c>
      <c r="G68" s="4">
        <f ca="1">$B68*('Updated Population'!G$59/'Updated Population'!$B$59)*('Total Distance Tables Sup #1'!G178/'Total Distance Tables Sup #1'!$B178)</f>
        <v>0</v>
      </c>
      <c r="H68" s="4">
        <f ca="1">$B68*('Updated Population'!H$59/'Updated Population'!$B$59)*('Total Distance Tables Sup #1'!H178/'Total Distance Tables Sup #1'!$B178)</f>
        <v>0</v>
      </c>
      <c r="I68" s="1">
        <f ca="1">$B68*('Updated Population'!I$59/'Updated Population'!$B$59)*('Total Distance Tables Sup #1'!I178/'Total Distance Tables Sup #1'!$B178)</f>
        <v>0</v>
      </c>
      <c r="J68" s="1">
        <f ca="1">$B68*('Updated Population'!J$59/'Updated Population'!$B$59)*('Total Distance Tables Sup #1'!J178/'Total Distance Tables Sup #1'!$B178)</f>
        <v>0</v>
      </c>
      <c r="K68" s="1">
        <f ca="1">$B68*('Updated Population'!K$59/'Updated Population'!$B$59)*('Total Distance Tables Sup #1'!K178/'Total Distance Tables Sup #1'!$B178)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OFFSET(Hawkes_Bay_Reference,49,6)</f>
        <v>0</v>
      </c>
      <c r="C69" s="4">
        <f ca="1">$B69*('Updated Population'!C$59/'Updated Population'!$B$59)*('Total Distance Tables Sup #1'!C179/'Total Distance Tables Sup #1'!$B179)</f>
        <v>0</v>
      </c>
      <c r="D69" s="4">
        <f ca="1">$B69*('Updated Population'!D$59/'Updated Population'!$B$59)*('Total Distance Tables Sup #1'!D179/'Total Distance Tables Sup #1'!$B179)</f>
        <v>0</v>
      </c>
      <c r="E69" s="4">
        <f ca="1">$B69*('Updated Population'!E$59/'Updated Population'!$B$59)*('Total Distance Tables Sup #1'!E179/'Total Distance Tables Sup #1'!$B179)</f>
        <v>0</v>
      </c>
      <c r="F69" s="4">
        <f ca="1">$B69*('Updated Population'!F$59/'Updated Population'!$B$59)*('Total Distance Tables Sup #1'!F179/'Total Distance Tables Sup #1'!$B179)</f>
        <v>0</v>
      </c>
      <c r="G69" s="4">
        <f ca="1">$B69*('Updated Population'!G$59/'Updated Population'!$B$59)*('Total Distance Tables Sup #1'!G179/'Total Distance Tables Sup #1'!$B179)</f>
        <v>0</v>
      </c>
      <c r="H69" s="4">
        <f ca="1">$B69*('Updated Population'!H$59/'Updated Population'!$B$59)*('Total Distance Tables Sup #1'!H179/'Total Distance Tables Sup #1'!$B179)</f>
        <v>0</v>
      </c>
      <c r="I69" s="1">
        <f ca="1">$B69*('Updated Population'!I$59/'Updated Population'!$B$59)*('Total Distance Tables Sup #1'!I179/'Total Distance Tables Sup #1'!$B179)</f>
        <v>0</v>
      </c>
      <c r="J69" s="1">
        <f ca="1">$B69*('Updated Population'!J$59/'Updated Population'!$B$59)*('Total Distance Tables Sup #1'!J179/'Total Distance Tables Sup #1'!$B179)</f>
        <v>0</v>
      </c>
      <c r="K69" s="1">
        <f ca="1">$B69*('Updated Population'!K$59/'Updated Population'!$B$59)*('Total Distance Tables Sup #1'!K179/'Total Distance Tables Sup #1'!$B179)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OFFSET(Taranaki_Reference,0,6)</f>
        <v>16.820589198</v>
      </c>
      <c r="C71" s="4">
        <f ca="1">$B71*('Updated Population'!C$70/'Updated Population'!$B$70)*('Total Distance Tables Sup #1'!C170/'Total Distance Tables Sup #1'!$B170)</f>
        <v>17.899450740366515</v>
      </c>
      <c r="D71" s="4">
        <f ca="1">$B71*('Updated Population'!D$70/'Updated Population'!$B$70)*('Total Distance Tables Sup #1'!D170/'Total Distance Tables Sup #1'!$B170)</f>
        <v>18.488616690258041</v>
      </c>
      <c r="E71" s="4">
        <f ca="1">$B71*('Updated Population'!E$70/'Updated Population'!$B$70)*('Total Distance Tables Sup #1'!E170/'Total Distance Tables Sup #1'!$B170)</f>
        <v>18.752853612279498</v>
      </c>
      <c r="F71" s="4">
        <f ca="1">$B71*('Updated Population'!F$70/'Updated Population'!$B$70)*('Total Distance Tables Sup #1'!F170/'Total Distance Tables Sup #1'!$B170)</f>
        <v>18.839455244464407</v>
      </c>
      <c r="G71" s="4">
        <f ca="1">$B71*('Updated Population'!G$70/'Updated Population'!$B$70)*('Total Distance Tables Sup #1'!G170/'Total Distance Tables Sup #1'!$B170)</f>
        <v>18.883690469604353</v>
      </c>
      <c r="H71" s="4">
        <f ca="1">$B71*('Updated Population'!H$70/'Updated Population'!$B$70)*('Total Distance Tables Sup #1'!H170/'Total Distance Tables Sup #1'!$B170)</f>
        <v>18.874944046811521</v>
      </c>
      <c r="I71" s="1">
        <f ca="1">$B71*('Updated Population'!I$70/'Updated Population'!$B$70)*('Total Distance Tables Sup #1'!I170/'Total Distance Tables Sup #1'!$B170)</f>
        <v>19.271620791468589</v>
      </c>
      <c r="J71" s="1">
        <f ca="1">$B71*('Updated Population'!J$70/'Updated Population'!$B$70)*('Total Distance Tables Sup #1'!J170/'Total Distance Tables Sup #1'!$B170)</f>
        <v>19.6224183777253</v>
      </c>
      <c r="K71" s="1">
        <f ca="1">$B71*('Updated Population'!K$70/'Updated Population'!$B$70)*('Total Distance Tables Sup #1'!K170/'Total Distance Tables Sup #1'!$B170)</f>
        <v>19.945239254093657</v>
      </c>
    </row>
    <row r="72" spans="1:11" x14ac:dyDescent="0.2">
      <c r="A72" t="str">
        <f ca="1">OFFSET(Taranaki_Reference,7,2)</f>
        <v>Cyclist</v>
      </c>
      <c r="B72" s="4">
        <f ca="1">OFFSET(Taranaki_Reference,7,6)</f>
        <v>5.5737915155</v>
      </c>
      <c r="C72" s="4">
        <f ca="1">$B72*('Updated Population'!C$70/'Updated Population'!$B$70)*('Total Distance Tables Sup #1'!C171/'Total Distance Tables Sup #1'!$B171)</f>
        <v>6.1486711684181472</v>
      </c>
      <c r="D72" s="4">
        <f ca="1">$B72*('Updated Population'!D$70/'Updated Population'!$B$70)*('Total Distance Tables Sup #1'!D171/'Total Distance Tables Sup #1'!$B171)</f>
        <v>6.4450212263259923</v>
      </c>
      <c r="E72" s="4">
        <f ca="1">$B72*('Updated Population'!E$70/'Updated Population'!$B$70)*('Total Distance Tables Sup #1'!E171/'Total Distance Tables Sup #1'!$B171)</f>
        <v>6.5899682366934744</v>
      </c>
      <c r="F72" s="4">
        <f ca="1">$B72*('Updated Population'!F$70/'Updated Population'!$B$70)*('Total Distance Tables Sup #1'!F171/'Total Distance Tables Sup #1'!$B171)</f>
        <v>6.819723838168593</v>
      </c>
      <c r="G72" s="4">
        <f ca="1">$B72*('Updated Population'!G$70/'Updated Population'!$B$70)*('Total Distance Tables Sup #1'!G171/'Total Distance Tables Sup #1'!$B171)</f>
        <v>7.1514218214568626</v>
      </c>
      <c r="H72" s="4">
        <f ca="1">$B72*('Updated Population'!H$70/'Updated Population'!$B$70)*('Total Distance Tables Sup #1'!H171/'Total Distance Tables Sup #1'!$B171)</f>
        <v>7.4958533532982168</v>
      </c>
      <c r="I72" s="1">
        <f ca="1">$B72*('Updated Population'!I$70/'Updated Population'!$B$70)*('Total Distance Tables Sup #1'!I171/'Total Distance Tables Sup #1'!$B171)</f>
        <v>7.6533865729590911</v>
      </c>
      <c r="J72" s="1">
        <f ca="1">$B72*('Updated Population'!J$70/'Updated Population'!$B$70)*('Total Distance Tables Sup #1'!J171/'Total Distance Tables Sup #1'!$B171)</f>
        <v>7.7926996886297832</v>
      </c>
      <c r="K72" s="1">
        <f ca="1">$B72*('Updated Population'!K$70/'Updated Population'!$B$70)*('Total Distance Tables Sup #1'!K171/'Total Distance Tables Sup #1'!$B171)</f>
        <v>7.9209023440993338</v>
      </c>
    </row>
    <row r="73" spans="1:11" x14ac:dyDescent="0.2">
      <c r="A73" t="str">
        <f ca="1">OFFSET(Taranaki_Reference,14,2)</f>
        <v>Light Vehicle Driver</v>
      </c>
      <c r="B73" s="4">
        <f ca="1">OFFSET(Taranaki_Reference,14,6)</f>
        <v>933.36875414999997</v>
      </c>
      <c r="C73" s="4">
        <f ca="1">$B73*('Updated Population'!C$70/'Updated Population'!$B$70)*('Total Distance Tables Sup #1'!C172/'Total Distance Tables Sup #1'!$B172)</f>
        <v>1025.3488311812062</v>
      </c>
      <c r="D73" s="4">
        <f ca="1">$B73*('Updated Population'!D$70/'Updated Population'!$B$70)*('Total Distance Tables Sup #1'!D172/'Total Distance Tables Sup #1'!$B172)</f>
        <v>1080.9721465010728</v>
      </c>
      <c r="E73" s="4">
        <f ca="1">$B73*('Updated Population'!E$70/'Updated Population'!$B$70)*('Total Distance Tables Sup #1'!E172/'Total Distance Tables Sup #1'!$B172)</f>
        <v>1131.1315457433207</v>
      </c>
      <c r="F73" s="4">
        <f ca="1">$B73*('Updated Population'!F$70/'Updated Population'!$B$70)*('Total Distance Tables Sup #1'!F172/'Total Distance Tables Sup #1'!$B172)</f>
        <v>1176.4004950171518</v>
      </c>
      <c r="G73" s="4">
        <f ca="1">$B73*('Updated Population'!G$70/'Updated Population'!$B$70)*('Total Distance Tables Sup #1'!G172/'Total Distance Tables Sup #1'!$B172)</f>
        <v>1209.466150435539</v>
      </c>
      <c r="H73" s="4">
        <f ca="1">$B73*('Updated Population'!H$70/'Updated Population'!$B$70)*('Total Distance Tables Sup #1'!H172/'Total Distance Tables Sup #1'!$B172)</f>
        <v>1238.1660169138363</v>
      </c>
      <c r="I73" s="1">
        <f ca="1">$B73*('Updated Population'!I$70/'Updated Population'!$B$70)*('Total Distance Tables Sup #1'!I172/'Total Distance Tables Sup #1'!$B172)</f>
        <v>1264.1873743131634</v>
      </c>
      <c r="J73" s="1">
        <f ca="1">$B73*('Updated Population'!J$70/'Updated Population'!$B$70)*('Total Distance Tables Sup #1'!J172/'Total Distance Tables Sup #1'!$B172)</f>
        <v>1287.1991326018897</v>
      </c>
      <c r="K73" s="1">
        <f ca="1">$B73*('Updated Population'!K$70/'Updated Population'!$B$70)*('Total Distance Tables Sup #1'!K172/'Total Distance Tables Sup #1'!$B172)</f>
        <v>1308.3756636516421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OFFSET(Taranaki_Reference,21,6)</f>
        <v>656.25872372000003</v>
      </c>
      <c r="C74" s="4">
        <f ca="1">$B74*('Updated Population'!C$70/'Updated Population'!$B$70)*('Total Distance Tables Sup #1'!C173/'Total Distance Tables Sup #1'!$B173)</f>
        <v>693.79148100671159</v>
      </c>
      <c r="D74" s="4">
        <f ca="1">$B74*('Updated Population'!D$70/'Updated Population'!$B$70)*('Total Distance Tables Sup #1'!D173/'Total Distance Tables Sup #1'!$B173)</f>
        <v>716.12798801792542</v>
      </c>
      <c r="E74" s="4">
        <f ca="1">$B74*('Updated Population'!E$70/'Updated Population'!$B$70)*('Total Distance Tables Sup #1'!E173/'Total Distance Tables Sup #1'!$B173)</f>
        <v>734.25430839444175</v>
      </c>
      <c r="F74" s="4">
        <f ca="1">$B74*('Updated Population'!F$70/'Updated Population'!$B$70)*('Total Distance Tables Sup #1'!F173/'Total Distance Tables Sup #1'!$B173)</f>
        <v>747.22151041114398</v>
      </c>
      <c r="G74" s="4">
        <f ca="1">$B74*('Updated Population'!G$70/'Updated Population'!$B$70)*('Total Distance Tables Sup #1'!G173/'Total Distance Tables Sup #1'!$B173)</f>
        <v>755.13945906566641</v>
      </c>
      <c r="H74" s="4">
        <f ca="1">$B74*('Updated Population'!H$70/'Updated Population'!$B$70)*('Total Distance Tables Sup #1'!H173/'Total Distance Tables Sup #1'!$B173)</f>
        <v>759.81258295504392</v>
      </c>
      <c r="I74" s="1">
        <f ca="1">$B74*('Updated Population'!I$70/'Updated Population'!$B$70)*('Total Distance Tables Sup #1'!I173/'Total Distance Tables Sup #1'!$B173)</f>
        <v>775.78084125602663</v>
      </c>
      <c r="J74" s="1">
        <f ca="1">$B74*('Updated Population'!J$70/'Updated Population'!$B$70)*('Total Distance Tables Sup #1'!J173/'Total Distance Tables Sup #1'!$B173)</f>
        <v>789.90222987826894</v>
      </c>
      <c r="K74" s="1">
        <f ca="1">$B74*('Updated Population'!K$70/'Updated Population'!$B$70)*('Total Distance Tables Sup #1'!K173/'Total Distance Tables Sup #1'!$B173)</f>
        <v>802.8974135088497</v>
      </c>
    </row>
    <row r="75" spans="1:11" x14ac:dyDescent="0.2">
      <c r="A75" t="str">
        <f ca="1">OFFSET(Taranaki_Reference,28,2)</f>
        <v>Taxi/Vehicle Share</v>
      </c>
      <c r="B75" s="4">
        <f ca="1">OFFSET(Taranaki_Reference,28,6)</f>
        <v>1.1335038904000001</v>
      </c>
      <c r="C75" s="4">
        <f ca="1">$B75*('Updated Population'!C$70/'Updated Population'!$B$70)*('Total Distance Tables Sup #1'!C174/'Total Distance Tables Sup #1'!$B174)</f>
        <v>1.3034086252774282</v>
      </c>
      <c r="D75" s="4">
        <f ca="1">$B75*('Updated Population'!D$70/'Updated Population'!$B$70)*('Total Distance Tables Sup #1'!D174/'Total Distance Tables Sup #1'!$B174)</f>
        <v>1.448113445288354</v>
      </c>
      <c r="E75" s="4">
        <f ca="1">$B75*('Updated Population'!E$70/'Updated Population'!$B$70)*('Total Distance Tables Sup #1'!E174/'Total Distance Tables Sup #1'!$B174)</f>
        <v>1.5787868657355719</v>
      </c>
      <c r="F75" s="4">
        <f ca="1">$B75*('Updated Population'!F$70/'Updated Population'!$B$70)*('Total Distance Tables Sup #1'!F174/'Total Distance Tables Sup #1'!$B174)</f>
        <v>1.6928940455731938</v>
      </c>
      <c r="G75" s="4">
        <f ca="1">$B75*('Updated Population'!G$70/'Updated Population'!$B$70)*('Total Distance Tables Sup #1'!G174/'Total Distance Tables Sup #1'!$B174)</f>
        <v>1.7798738443787128</v>
      </c>
      <c r="H75" s="4">
        <f ca="1">$B75*('Updated Population'!H$70/'Updated Population'!$B$70)*('Total Distance Tables Sup #1'!H174/'Total Distance Tables Sup #1'!$B174)</f>
        <v>1.8617699697202139</v>
      </c>
      <c r="I75" s="1">
        <f ca="1">$B75*('Updated Population'!I$70/'Updated Population'!$B$70)*('Total Distance Tables Sup #1'!I174/'Total Distance Tables Sup #1'!$B174)</f>
        <v>1.9008970182061484</v>
      </c>
      <c r="J75" s="1">
        <f ca="1">$B75*('Updated Population'!J$70/'Updated Population'!$B$70)*('Total Distance Tables Sup #1'!J174/'Total Distance Tables Sup #1'!$B174)</f>
        <v>1.9354986790070137</v>
      </c>
      <c r="K75" s="1">
        <f ca="1">$B75*('Updated Population'!K$70/'Updated Population'!$B$70)*('Total Distance Tables Sup #1'!K174/'Total Distance Tables Sup #1'!$B174)</f>
        <v>1.9673407979415543</v>
      </c>
    </row>
    <row r="76" spans="1:11" x14ac:dyDescent="0.2">
      <c r="A76" t="str">
        <f ca="1">OFFSET(Taranaki_Reference,35,2)</f>
        <v>Motorcyclist</v>
      </c>
      <c r="B76" s="4">
        <f ca="1">OFFSET(Taranaki_Reference,35,6)</f>
        <v>7.0100687938000004</v>
      </c>
      <c r="C76" s="4">
        <f ca="1">$B76*('Updated Population'!C$70/'Updated Population'!$B$70)*('Total Distance Tables Sup #1'!C175/'Total Distance Tables Sup #1'!$B175)</f>
        <v>7.64289226917405</v>
      </c>
      <c r="D76" s="4">
        <f ca="1">$B76*('Updated Population'!D$70/'Updated Population'!$B$70)*('Total Distance Tables Sup #1'!D175/'Total Distance Tables Sup #1'!$B175)</f>
        <v>7.978674674920561</v>
      </c>
      <c r="E76" s="4">
        <f ca="1">$B76*('Updated Population'!E$70/'Updated Population'!$B$70)*('Total Distance Tables Sup #1'!E175/'Total Distance Tables Sup #1'!$B175)</f>
        <v>8.1516193407450661</v>
      </c>
      <c r="F76" s="4">
        <f ca="1">$B76*('Updated Population'!F$70/'Updated Population'!$B$70)*('Total Distance Tables Sup #1'!F175/'Total Distance Tables Sup #1'!$B175)</f>
        <v>8.2388663092151067</v>
      </c>
      <c r="G76" s="4">
        <f ca="1">$B76*('Updated Population'!G$70/'Updated Population'!$B$70)*('Total Distance Tables Sup #1'!G175/'Total Distance Tables Sup #1'!$B175)</f>
        <v>8.1737358607163735</v>
      </c>
      <c r="H76" s="4">
        <f ca="1">$B76*('Updated Population'!H$70/'Updated Population'!$B$70)*('Total Distance Tables Sup #1'!H175/'Total Distance Tables Sup #1'!$B175)</f>
        <v>8.0690086319969012</v>
      </c>
      <c r="I76" s="1">
        <f ca="1">$B76*('Updated Population'!I$70/'Updated Population'!$B$70)*('Total Distance Tables Sup #1'!I175/'Total Distance Tables Sup #1'!$B175)</f>
        <v>8.2385873109488514</v>
      </c>
      <c r="J76" s="1">
        <f ca="1">$B76*('Updated Population'!J$70/'Updated Population'!$B$70)*('Total Distance Tables Sup #1'!J175/'Total Distance Tables Sup #1'!$B175)</f>
        <v>8.3885527224790248</v>
      </c>
      <c r="K76" s="1">
        <f ca="1">$B76*('Updated Population'!K$70/'Updated Population'!$B$70)*('Total Distance Tables Sup #1'!K175/'Total Distance Tables Sup #1'!$B175)</f>
        <v>8.5265581349212987</v>
      </c>
    </row>
    <row r="77" spans="1:11" x14ac:dyDescent="0.2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Distance Tables Sup #1'!C176/'Total Distance Tables Sup #1'!$B176)</f>
        <v>0</v>
      </c>
      <c r="D77" s="4">
        <f ca="1">$B77*('Updated Population'!D$70/'Updated Population'!$B$70)*('Total Distance Tables Sup #1'!D176/'Total Distance Tables Sup #1'!$B176)</f>
        <v>0</v>
      </c>
      <c r="E77" s="4">
        <f ca="1">$B77*('Updated Population'!E$70/'Updated Population'!$B$70)*('Total Distance Tables Sup #1'!E176/'Total Distance Tables Sup #1'!$B176)</f>
        <v>0</v>
      </c>
      <c r="F77" s="4">
        <f ca="1">$B77*('Updated Population'!F$70/'Updated Population'!$B$70)*('Total Distance Tables Sup #1'!F176/'Total Distance Tables Sup #1'!$B176)</f>
        <v>0</v>
      </c>
      <c r="G77" s="4">
        <f ca="1">$B77*('Updated Population'!G$70/'Updated Population'!$B$70)*('Total Distance Tables Sup #1'!G176/'Total Distance Tables Sup #1'!$B176)</f>
        <v>0</v>
      </c>
      <c r="H77" s="4">
        <f ca="1">$B77*('Updated Population'!H$70/'Updated Population'!$B$70)*('Total Distance Tables Sup #1'!H176/'Total Distance Tables Sup #1'!$B176)</f>
        <v>0</v>
      </c>
      <c r="I77" s="1">
        <f ca="1">$B77*('Updated Population'!I$70/'Updated Population'!$B$70)*('Total Distance Tables Sup #1'!I176/'Total Distance Tables Sup #1'!$B176)</f>
        <v>0</v>
      </c>
      <c r="J77" s="1">
        <f ca="1">$B77*('Updated Population'!J$70/'Updated Population'!$B$70)*('Total Distance Tables Sup #1'!J176/'Total Distance Tables Sup #1'!$B176)</f>
        <v>0</v>
      </c>
      <c r="K77" s="1">
        <f ca="1">$B77*('Updated Population'!K$70/'Updated Population'!$B$70)*('Total Distance Tables Sup #1'!K176/'Total Distance Tables Sup #1'!$B176)</f>
        <v>0</v>
      </c>
    </row>
    <row r="78" spans="1:11" x14ac:dyDescent="0.2">
      <c r="A78" t="str">
        <f ca="1">OFFSET(Taranaki_Reference,49,2)</f>
        <v>Local Bus</v>
      </c>
      <c r="B78" s="4">
        <f ca="1">OFFSET(Taranaki_Reference,49,6)</f>
        <v>14.084735078</v>
      </c>
      <c r="C78" s="4">
        <f ca="1">$B78*('Updated Population'!C$70/'Updated Population'!$B$70)*('Total Distance Tables Sup #1'!C177/'Total Distance Tables Sup #1'!$B177)</f>
        <v>13.847463616228403</v>
      </c>
      <c r="D78" s="4">
        <f ca="1">$B78*('Updated Population'!D$70/'Updated Population'!$B$70)*('Total Distance Tables Sup #1'!D177/'Total Distance Tables Sup #1'!$B177)</f>
        <v>13.693035429188582</v>
      </c>
      <c r="E78" s="4">
        <f ca="1">$B78*('Updated Population'!E$70/'Updated Population'!$B$70)*('Total Distance Tables Sup #1'!E177/'Total Distance Tables Sup #1'!$B177)</f>
        <v>13.603447321355132</v>
      </c>
      <c r="F78" s="4">
        <f ca="1">$B78*('Updated Population'!F$70/'Updated Population'!$B$70)*('Total Distance Tables Sup #1'!F177/'Total Distance Tables Sup #1'!$B177)</f>
        <v>13.280302812141882</v>
      </c>
      <c r="G78" s="4">
        <f ca="1">$B78*('Updated Population'!G$70/'Updated Population'!$B$70)*('Total Distance Tables Sup #1'!G177/'Total Distance Tables Sup #1'!$B177)</f>
        <v>13.09169226798433</v>
      </c>
      <c r="H78" s="4">
        <f ca="1">$B78*('Updated Population'!H$70/'Updated Population'!$B$70)*('Total Distance Tables Sup #1'!H177/'Total Distance Tables Sup #1'!$B177)</f>
        <v>12.863885662971416</v>
      </c>
      <c r="I78" s="1">
        <f ca="1">$B78*('Updated Population'!I$70/'Updated Population'!$B$70)*('Total Distance Tables Sup #1'!I177/'Total Distance Tables Sup #1'!$B177)</f>
        <v>13.134233711462198</v>
      </c>
      <c r="J78" s="1">
        <f ca="1">$B78*('Updated Population'!J$70/'Updated Population'!$B$70)*('Total Distance Tables Sup #1'!J177/'Total Distance Tables Sup #1'!$B177)</f>
        <v>13.373313627633657</v>
      </c>
      <c r="K78" s="1">
        <f ca="1">$B78*('Updated Population'!K$70/'Updated Population'!$B$70)*('Total Distance Tables Sup #1'!K177/'Total Distance Tables Sup #1'!$B177)</f>
        <v>13.593326509945978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Distance Tables Sup #1'!C178/'Total Distance Tables Sup #1'!$B178)</f>
        <v>0</v>
      </c>
      <c r="D79" s="4">
        <f ca="1">$B79*('Updated Population'!D$70/'Updated Population'!$B$70)*('Total Distance Tables Sup #1'!D178/'Total Distance Tables Sup #1'!$B178)</f>
        <v>0</v>
      </c>
      <c r="E79" s="4">
        <f ca="1">$B79*('Updated Population'!E$70/'Updated Population'!$B$70)*('Total Distance Tables Sup #1'!E178/'Total Distance Tables Sup #1'!$B178)</f>
        <v>0</v>
      </c>
      <c r="F79" s="4">
        <f ca="1">$B79*('Updated Population'!F$70/'Updated Population'!$B$70)*('Total Distance Tables Sup #1'!F178/'Total Distance Tables Sup #1'!$B178)</f>
        <v>0</v>
      </c>
      <c r="G79" s="4">
        <f ca="1">$B79*('Updated Population'!G$70/'Updated Population'!$B$70)*('Total Distance Tables Sup #1'!G178/'Total Distance Tables Sup #1'!$B178)</f>
        <v>0</v>
      </c>
      <c r="H79" s="4">
        <f ca="1">$B79*('Updated Population'!H$70/'Updated Population'!$B$70)*('Total Distance Tables Sup #1'!H178/'Total Distance Tables Sup #1'!$B178)</f>
        <v>0</v>
      </c>
      <c r="I79" s="1">
        <f ca="1">$B79*('Updated Population'!I$70/'Updated Population'!$B$70)*('Total Distance Tables Sup #1'!I178/'Total Distance Tables Sup #1'!$B178)</f>
        <v>0</v>
      </c>
      <c r="J79" s="1">
        <f ca="1">$B79*('Updated Population'!J$70/'Updated Population'!$B$70)*('Total Distance Tables Sup #1'!J178/'Total Distance Tables Sup #1'!$B178)</f>
        <v>0</v>
      </c>
      <c r="K79" s="1">
        <f ca="1">$B79*('Updated Population'!K$70/'Updated Population'!$B$70)*('Total Distance Tables Sup #1'!K178/'Total Distance Tables Sup #1'!$B178)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OFFSET(Taranaki_Reference,56,6)</f>
        <v>0</v>
      </c>
      <c r="C80" s="4">
        <f ca="1">$B80*('Updated Population'!C$70/'Updated Population'!$B$70)*('Total Distance Tables Sup #1'!C179/'Total Distance Tables Sup #1'!$B179)</f>
        <v>0</v>
      </c>
      <c r="D80" s="4">
        <f ca="1">$B80*('Updated Population'!D$70/'Updated Population'!$B$70)*('Total Distance Tables Sup #1'!D179/'Total Distance Tables Sup #1'!$B179)</f>
        <v>0</v>
      </c>
      <c r="E80" s="4">
        <f ca="1">$B80*('Updated Population'!E$70/'Updated Population'!$B$70)*('Total Distance Tables Sup #1'!E179/'Total Distance Tables Sup #1'!$B179)</f>
        <v>0</v>
      </c>
      <c r="F80" s="4">
        <f ca="1">$B80*('Updated Population'!F$70/'Updated Population'!$B$70)*('Total Distance Tables Sup #1'!F179/'Total Distance Tables Sup #1'!$B179)</f>
        <v>0</v>
      </c>
      <c r="G80" s="4">
        <f ca="1">$B80*('Updated Population'!G$70/'Updated Population'!$B$70)*('Total Distance Tables Sup #1'!G179/'Total Distance Tables Sup #1'!$B179)</f>
        <v>0</v>
      </c>
      <c r="H80" s="4">
        <f ca="1">$B80*('Updated Population'!H$70/'Updated Population'!$B$70)*('Total Distance Tables Sup #1'!H179/'Total Distance Tables Sup #1'!$B179)</f>
        <v>0</v>
      </c>
      <c r="I80" s="1">
        <f ca="1">$B80*('Updated Population'!I$70/'Updated Population'!$B$70)*('Total Distance Tables Sup #1'!I179/'Total Distance Tables Sup #1'!$B179)</f>
        <v>0</v>
      </c>
      <c r="J80" s="1">
        <f ca="1">$B80*('Updated Population'!J$70/'Updated Population'!$B$70)*('Total Distance Tables Sup #1'!J179/'Total Distance Tables Sup #1'!$B179)</f>
        <v>0</v>
      </c>
      <c r="K80" s="1">
        <f ca="1">$B80*('Updated Population'!K$70/'Updated Population'!$B$70)*('Total Distance Tables Sup #1'!K179/'Total Distance Tables Sup #1'!$B179)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OFFSET(Manawatu_Reference,0,6)</f>
        <v>32.265609755</v>
      </c>
      <c r="C82" s="4">
        <f ca="1">$B82*('Updated Population'!C$81/'Updated Population'!$B$81)*('Total Distance Tables Sup #1'!C170/'Total Distance Tables Sup #1'!$B170)</f>
        <v>33.662265984175939</v>
      </c>
      <c r="D82" s="4">
        <f ca="1">$B82*('Updated Population'!D$81/'Updated Population'!$B$81)*('Total Distance Tables Sup #1'!D170/'Total Distance Tables Sup #1'!$B170)</f>
        <v>34.064154087212387</v>
      </c>
      <c r="E82" s="4">
        <f ca="1">$B82*('Updated Population'!E$81/'Updated Population'!$B$81)*('Total Distance Tables Sup #1'!E170/'Total Distance Tables Sup #1'!$B170)</f>
        <v>33.957252755850718</v>
      </c>
      <c r="F82" s="4">
        <f ca="1">$B82*('Updated Population'!F$81/'Updated Population'!$B$81)*('Total Distance Tables Sup #1'!F170/'Total Distance Tables Sup #1'!$B170)</f>
        <v>33.497033144023099</v>
      </c>
      <c r="G82" s="4">
        <f ca="1">$B82*('Updated Population'!G$81/'Updated Population'!$B$81)*('Total Distance Tables Sup #1'!G170/'Total Distance Tables Sup #1'!$B170)</f>
        <v>32.95366569131447</v>
      </c>
      <c r="H82" s="4">
        <f ca="1">$B82*('Updated Population'!H$81/'Updated Population'!$B$81)*('Total Distance Tables Sup #1'!H170/'Total Distance Tables Sup #1'!$B170)</f>
        <v>32.292589996428617</v>
      </c>
      <c r="I82" s="1">
        <f ca="1">$B82*('Updated Population'!I$81/'Updated Population'!$B$81)*('Total Distance Tables Sup #1'!I170/'Total Distance Tables Sup #1'!$B170)</f>
        <v>32.328416271311944</v>
      </c>
      <c r="J82" s="1">
        <f ca="1">$B82*('Updated Population'!J$81/'Updated Population'!$B$81)*('Total Distance Tables Sup #1'!J170/'Total Distance Tables Sup #1'!$B170)</f>
        <v>32.279313114876764</v>
      </c>
      <c r="K82" s="1">
        <f ca="1">$B82*('Updated Population'!K$81/'Updated Population'!$B$81)*('Total Distance Tables Sup #1'!K170/'Total Distance Tables Sup #1'!$B170)</f>
        <v>32.179643481821586</v>
      </c>
    </row>
    <row r="83" spans="1:11" x14ac:dyDescent="0.2">
      <c r="A83" t="str">
        <f ca="1">OFFSET(Manawatu_Reference,7,2)</f>
        <v>Cyclist</v>
      </c>
      <c r="B83" s="4">
        <f ca="1">OFFSET(Manawatu_Reference,7,6)</f>
        <v>20.722330986999999</v>
      </c>
      <c r="C83" s="4">
        <f ca="1">$B83*('Updated Population'!C$81/'Updated Population'!$B$81)*('Total Distance Tables Sup #1'!C171/'Total Distance Tables Sup #1'!$B171)</f>
        <v>22.411665088705252</v>
      </c>
      <c r="D83" s="4">
        <f ca="1">$B83*('Updated Population'!D$81/'Updated Population'!$B$81)*('Total Distance Tables Sup #1'!D171/'Total Distance Tables Sup #1'!$B171)</f>
        <v>23.014776171255978</v>
      </c>
      <c r="E83" s="4">
        <f ca="1">$B83*('Updated Population'!E$81/'Updated Population'!$B$81)*('Total Distance Tables Sup #1'!E171/'Total Distance Tables Sup #1'!$B171)</f>
        <v>23.127980830787024</v>
      </c>
      <c r="F83" s="4">
        <f ca="1">$B83*('Updated Population'!F$81/'Updated Population'!$B$81)*('Total Distance Tables Sup #1'!F171/'Total Distance Tables Sup #1'!$B171)</f>
        <v>23.501414606164811</v>
      </c>
      <c r="G83" s="4">
        <f ca="1">$B83*('Updated Population'!G$81/'Updated Population'!$B$81)*('Total Distance Tables Sup #1'!G171/'Total Distance Tables Sup #1'!$B171)</f>
        <v>24.18791687183392</v>
      </c>
      <c r="H83" s="4">
        <f ca="1">$B83*('Updated Population'!H$81/'Updated Population'!$B$81)*('Total Distance Tables Sup #1'!H171/'Total Distance Tables Sup #1'!$B171)</f>
        <v>24.855785984137047</v>
      </c>
      <c r="I83" s="1">
        <f ca="1">$B83*('Updated Population'!I$81/'Updated Population'!$B$81)*('Total Distance Tables Sup #1'!I171/'Total Distance Tables Sup #1'!$B171)</f>
        <v>24.883361667016842</v>
      </c>
      <c r="J83" s="1">
        <f ca="1">$B83*('Updated Population'!J$81/'Updated Population'!$B$81)*('Total Distance Tables Sup #1'!J171/'Total Distance Tables Sup #1'!$B171)</f>
        <v>24.845566694621212</v>
      </c>
      <c r="K83" s="1">
        <f ca="1">$B83*('Updated Population'!K$81/'Updated Population'!$B$81)*('Total Distance Tables Sup #1'!K171/'Total Distance Tables Sup #1'!$B171)</f>
        <v>24.768850424151395</v>
      </c>
    </row>
    <row r="84" spans="1:11" x14ac:dyDescent="0.2">
      <c r="A84" t="str">
        <f ca="1">OFFSET(Manawatu_Reference,14,2)</f>
        <v>Light Vehicle Driver</v>
      </c>
      <c r="B84" s="4">
        <f ca="1">OFFSET(Manawatu_Reference,14,6)</f>
        <v>1782.4745101999999</v>
      </c>
      <c r="C84" s="4">
        <f ca="1">$B84*('Updated Population'!C$81/'Updated Population'!$B$81)*('Total Distance Tables Sup #1'!C172/'Total Distance Tables Sup #1'!$B172)</f>
        <v>1919.7588613416835</v>
      </c>
      <c r="D84" s="4">
        <f ca="1">$B84*('Updated Population'!D$81/'Updated Population'!$B$81)*('Total Distance Tables Sup #1'!D172/'Total Distance Tables Sup #1'!$B172)</f>
        <v>1982.800825201685</v>
      </c>
      <c r="E84" s="4">
        <f ca="1">$B84*('Updated Population'!E$81/'Updated Population'!$B$81)*('Total Distance Tables Sup #1'!E172/'Total Distance Tables Sup #1'!$B172)</f>
        <v>2039.1524509562298</v>
      </c>
      <c r="F84" s="4">
        <f ca="1">$B84*('Updated Population'!F$81/'Updated Population'!$B$81)*('Total Distance Tables Sup #1'!F172/'Total Distance Tables Sup #1'!$B172)</f>
        <v>2082.4021249578345</v>
      </c>
      <c r="G84" s="4">
        <f ca="1">$B84*('Updated Population'!G$81/'Updated Population'!$B$81)*('Total Distance Tables Sup #1'!G172/'Total Distance Tables Sup #1'!$B172)</f>
        <v>2101.270551360738</v>
      </c>
      <c r="H84" s="4">
        <f ca="1">$B84*('Updated Population'!H$81/'Updated Population'!$B$81)*('Total Distance Tables Sup #1'!H172/'Total Distance Tables Sup #1'!$B172)</f>
        <v>2108.9558263644963</v>
      </c>
      <c r="I84" s="1">
        <f ca="1">$B84*('Updated Population'!I$81/'Updated Population'!$B$81)*('Total Distance Tables Sup #1'!I172/'Total Distance Tables Sup #1'!$B172)</f>
        <v>2111.2955591378809</v>
      </c>
      <c r="J84" s="1">
        <f ca="1">$B84*('Updated Population'!J$81/'Updated Population'!$B$81)*('Total Distance Tables Sup #1'!J172/'Total Distance Tables Sup #1'!$B172)</f>
        <v>2108.0887433368475</v>
      </c>
      <c r="K84" s="1">
        <f ca="1">$B84*('Updated Population'!K$81/'Updated Population'!$B$81)*('Total Distance Tables Sup #1'!K172/'Total Distance Tables Sup #1'!$B172)</f>
        <v>2101.5795456117171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OFFSET(Manawatu_Reference,21,6)</f>
        <v>885.65568203999999</v>
      </c>
      <c r="C85" s="4">
        <f ca="1">$B85*('Updated Population'!C$81/'Updated Population'!$B$81)*('Total Distance Tables Sup #1'!C173/'Total Distance Tables Sup #1'!$B173)</f>
        <v>917.95999914592335</v>
      </c>
      <c r="D85" s="4">
        <f ca="1">$B85*('Updated Population'!D$81/'Updated Population'!$B$81)*('Total Distance Tables Sup #1'!D173/'Total Distance Tables Sup #1'!$B173)</f>
        <v>928.27143940552605</v>
      </c>
      <c r="E85" s="4">
        <f ca="1">$B85*('Updated Population'!E$81/'Updated Population'!$B$81)*('Total Distance Tables Sup #1'!E173/'Total Distance Tables Sup #1'!$B173)</f>
        <v>935.41178794768871</v>
      </c>
      <c r="F85" s="4">
        <f ca="1">$B85*('Updated Population'!F$81/'Updated Population'!$B$81)*('Total Distance Tables Sup #1'!F173/'Total Distance Tables Sup #1'!$B173)</f>
        <v>934.71350811966488</v>
      </c>
      <c r="G85" s="4">
        <f ca="1">$B85*('Updated Population'!G$81/'Updated Population'!$B$81)*('Total Distance Tables Sup #1'!G173/'Total Distance Tables Sup #1'!$B173)</f>
        <v>927.11834403991429</v>
      </c>
      <c r="H85" s="4">
        <f ca="1">$B85*('Updated Population'!H$81/'Updated Population'!$B$81)*('Total Distance Tables Sup #1'!H173/'Total Distance Tables Sup #1'!$B173)</f>
        <v>914.56555024072406</v>
      </c>
      <c r="I85" s="1">
        <f ca="1">$B85*('Updated Population'!I$81/'Updated Population'!$B$81)*('Total Distance Tables Sup #1'!I173/'Total Distance Tables Sup #1'!$B173)</f>
        <v>915.58019405855862</v>
      </c>
      <c r="J85" s="1">
        <f ca="1">$B85*('Updated Population'!J$81/'Updated Population'!$B$81)*('Total Distance Tables Sup #1'!J173/'Total Distance Tables Sup #1'!$B173)</f>
        <v>914.1895327554962</v>
      </c>
      <c r="K85" s="1">
        <f ca="1">$B85*('Updated Population'!K$81/'Updated Population'!$B$81)*('Total Distance Tables Sup #1'!K173/'Total Distance Tables Sup #1'!$B173)</f>
        <v>911.3667671362789</v>
      </c>
    </row>
    <row r="86" spans="1:11" x14ac:dyDescent="0.2">
      <c r="A86" t="str">
        <f ca="1">OFFSET(Manawatu_Reference,28,2)</f>
        <v>Taxi/Vehicle Share</v>
      </c>
      <c r="B86" s="4">
        <f ca="1">OFFSET(Manawatu_Reference,28,6)</f>
        <v>5.6344181790999999</v>
      </c>
      <c r="C86" s="4">
        <f ca="1">$B86*('Updated Population'!C$81/'Updated Population'!$B$81)*('Total Distance Tables Sup #1'!C174/'Total Distance Tables Sup #1'!$B174)</f>
        <v>6.3520165723766446</v>
      </c>
      <c r="D86" s="4">
        <f ca="1">$B86*('Updated Population'!D$81/'Updated Population'!$B$81)*('Total Distance Tables Sup #1'!D174/'Total Distance Tables Sup #1'!$B174)</f>
        <v>6.9139011322366626</v>
      </c>
      <c r="E86" s="4">
        <f ca="1">$B86*('Updated Population'!E$81/'Updated Population'!$B$81)*('Total Distance Tables Sup #1'!E174/'Total Distance Tables Sup #1'!$B174)</f>
        <v>7.4082576414759238</v>
      </c>
      <c r="F86" s="4">
        <f ca="1">$B86*('Updated Population'!F$81/'Updated Population'!$B$81)*('Total Distance Tables Sup #1'!F174/'Total Distance Tables Sup #1'!$B174)</f>
        <v>7.8000101675870157</v>
      </c>
      <c r="G86" s="4">
        <f ca="1">$B86*('Updated Population'!G$81/'Updated Population'!$B$81)*('Total Distance Tables Sup #1'!G174/'Total Distance Tables Sup #1'!$B174)</f>
        <v>8.0488432305728548</v>
      </c>
      <c r="H86" s="4">
        <f ca="1">$B86*('Updated Population'!H$81/'Updated Population'!$B$81)*('Total Distance Tables Sup #1'!H174/'Total Distance Tables Sup #1'!$B174)</f>
        <v>8.2541169069157441</v>
      </c>
      <c r="I86" s="1">
        <f ca="1">$B86*('Updated Population'!I$81/'Updated Population'!$B$81)*('Total Distance Tables Sup #1'!I174/'Total Distance Tables Sup #1'!$B174)</f>
        <v>8.2632742480041763</v>
      </c>
      <c r="J86" s="1">
        <f ca="1">$B86*('Updated Population'!J$81/'Updated Population'!$B$81)*('Total Distance Tables Sup #1'!J174/'Total Distance Tables Sup #1'!$B174)</f>
        <v>8.2507232821708598</v>
      </c>
      <c r="K86" s="1">
        <f ca="1">$B86*('Updated Population'!K$81/'Updated Population'!$B$81)*('Total Distance Tables Sup #1'!K174/'Total Distance Tables Sup #1'!$B174)</f>
        <v>8.2252473199331515</v>
      </c>
    </row>
    <row r="87" spans="1:11" x14ac:dyDescent="0.2">
      <c r="A87" t="str">
        <f ca="1">OFFSET(Manawatu_Reference,35,2)</f>
        <v>Motorcyclist</v>
      </c>
      <c r="B87" s="4">
        <f ca="1">OFFSET(Manawatu_Reference,35,6)</f>
        <v>3.8744282972000001</v>
      </c>
      <c r="C87" s="4">
        <f ca="1">$B87*('Updated Population'!C$81/'Updated Population'!$B$81)*('Total Distance Tables Sup #1'!C175/'Total Distance Tables Sup #1'!$B175)</f>
        <v>4.1414083644954873</v>
      </c>
      <c r="D87" s="4">
        <f ca="1">$B87*('Updated Population'!D$81/'Updated Population'!$B$81)*('Total Distance Tables Sup #1'!D175/'Total Distance Tables Sup #1'!$B175)</f>
        <v>4.2355578993505452</v>
      </c>
      <c r="E87" s="4">
        <f ca="1">$B87*('Updated Population'!E$81/'Updated Population'!$B$81)*('Total Distance Tables Sup #1'!E175/'Total Distance Tables Sup #1'!$B175)</f>
        <v>4.2530036006210175</v>
      </c>
      <c r="F87" s="4">
        <f ca="1">$B87*('Updated Population'!F$81/'Updated Population'!$B$81)*('Total Distance Tables Sup #1'!F175/'Total Distance Tables Sup #1'!$B175)</f>
        <v>4.2207743387568071</v>
      </c>
      <c r="G87" s="4">
        <f ca="1">$B87*('Updated Population'!G$81/'Updated Population'!$B$81)*('Total Distance Tables Sup #1'!G175/'Total Distance Tables Sup #1'!$B175)</f>
        <v>4.1098326033279982</v>
      </c>
      <c r="H87" s="4">
        <f ca="1">$B87*('Updated Population'!H$81/'Updated Population'!$B$81)*('Total Distance Tables Sup #1'!H175/'Total Distance Tables Sup #1'!$B175)</f>
        <v>3.9776270583246065</v>
      </c>
      <c r="I87" s="1">
        <f ca="1">$B87*('Updated Population'!I$81/'Updated Population'!$B$81)*('Total Distance Tables Sup #1'!I175/'Total Distance Tables Sup #1'!$B175)</f>
        <v>3.9820399456275646</v>
      </c>
      <c r="J87" s="1">
        <f ca="1">$B87*('Updated Population'!J$81/'Updated Population'!$B$81)*('Total Distance Tables Sup #1'!J175/'Total Distance Tables Sup #1'!$B175)</f>
        <v>3.9759916836669325</v>
      </c>
      <c r="K87" s="1">
        <f ca="1">$B87*('Updated Population'!K$81/'Updated Population'!$B$81)*('Total Distance Tables Sup #1'!K175/'Total Distance Tables Sup #1'!$B175)</f>
        <v>3.9637149158580511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Distance Tables Sup #1'!C176/'Total Distance Tables Sup #1'!$B176)</f>
        <v>0</v>
      </c>
      <c r="D88" s="4">
        <f ca="1">$B88*('Updated Population'!D$81/'Updated Population'!$B$81)*('Total Distance Tables Sup #1'!D176/'Total Distance Tables Sup #1'!$B176)</f>
        <v>0</v>
      </c>
      <c r="E88" s="4">
        <f ca="1">$B88*('Updated Population'!E$81/'Updated Population'!$B$81)*('Total Distance Tables Sup #1'!E176/'Total Distance Tables Sup #1'!$B176)</f>
        <v>0</v>
      </c>
      <c r="F88" s="4">
        <f ca="1">$B88*('Updated Population'!F$81/'Updated Population'!$B$81)*('Total Distance Tables Sup #1'!F176/'Total Distance Tables Sup #1'!$B176)</f>
        <v>0</v>
      </c>
      <c r="G88" s="4">
        <f ca="1">$B88*('Updated Population'!G$81/'Updated Population'!$B$81)*('Total Distance Tables Sup #1'!G176/'Total Distance Tables Sup #1'!$B176)</f>
        <v>0</v>
      </c>
      <c r="H88" s="4">
        <f ca="1">$B88*('Updated Population'!H$81/'Updated Population'!$B$81)*('Total Distance Tables Sup #1'!H176/'Total Distance Tables Sup #1'!$B176)</f>
        <v>0</v>
      </c>
      <c r="I88" s="1">
        <f ca="1">$B88*('Updated Population'!I$81/'Updated Population'!$B$81)*('Total Distance Tables Sup #1'!I176/'Total Distance Tables Sup #1'!$B176)</f>
        <v>0</v>
      </c>
      <c r="J88" s="1">
        <f ca="1">$B88*('Updated Population'!J$81/'Updated Population'!$B$81)*('Total Distance Tables Sup #1'!J176/'Total Distance Tables Sup #1'!$B176)</f>
        <v>0</v>
      </c>
      <c r="K88" s="1">
        <f ca="1">$B88*('Updated Population'!K$81/'Updated Population'!$B$81)*('Total Distance Tables Sup #1'!K176/'Total Distance Tables Sup #1'!$B176)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OFFSET(Manawatu_Reference,42,6)</f>
        <v>39.768452936000003</v>
      </c>
      <c r="C89" s="4">
        <f ca="1">$B89*('Updated Population'!C$81/'Updated Population'!$B$81)*('Total Distance Tables Sup #1'!C177/'Total Distance Tables Sup #1'!$B177)</f>
        <v>38.332329871780644</v>
      </c>
      <c r="D89" s="4">
        <f ca="1">$B89*('Updated Population'!D$81/'Updated Population'!$B$81)*('Total Distance Tables Sup #1'!D177/'Total Distance Tables Sup #1'!$B177)</f>
        <v>37.135071387957048</v>
      </c>
      <c r="E89" s="4">
        <f ca="1">$B89*('Updated Population'!E$81/'Updated Population'!$B$81)*('Total Distance Tables Sup #1'!E177/'Total Distance Tables Sup #1'!$B177)</f>
        <v>36.258138562411759</v>
      </c>
      <c r="F89" s="4">
        <f ca="1">$B89*('Updated Population'!F$81/'Updated Population'!$B$81)*('Total Distance Tables Sup #1'!F177/'Total Distance Tables Sup #1'!$B177)</f>
        <v>34.756602844857099</v>
      </c>
      <c r="G89" s="4">
        <f ca="1">$B89*('Updated Population'!G$81/'Updated Population'!$B$81)*('Total Distance Tables Sup #1'!G177/'Total Distance Tables Sup #1'!$B177)</f>
        <v>33.628228369886351</v>
      </c>
      <c r="H89" s="4">
        <f ca="1">$B89*('Updated Population'!H$81/'Updated Population'!$B$81)*('Total Distance Tables Sup #1'!H177/'Total Distance Tables Sup #1'!$B177)</f>
        <v>32.395203943137609</v>
      </c>
      <c r="I89" s="1">
        <f ca="1">$B89*('Updated Population'!I$81/'Updated Population'!$B$81)*('Total Distance Tables Sup #1'!I177/'Total Distance Tables Sup #1'!$B177)</f>
        <v>32.43114406071556</v>
      </c>
      <c r="J89" s="1">
        <f ca="1">$B89*('Updated Population'!J$81/'Updated Population'!$B$81)*('Total Distance Tables Sup #1'!J177/'Total Distance Tables Sup #1'!$B177)</f>
        <v>32.381884872550565</v>
      </c>
      <c r="K89" s="1">
        <f ca="1">$B89*('Updated Population'!K$81/'Updated Population'!$B$81)*('Total Distance Tables Sup #1'!K177/'Total Distance Tables Sup #1'!$B177)</f>
        <v>32.281898526143621</v>
      </c>
    </row>
    <row r="90" spans="1:11" x14ac:dyDescent="0.2">
      <c r="A90" t="str">
        <f ca="1">OFFSET(Manawatu_Reference,49,2)</f>
        <v>Local Ferry</v>
      </c>
      <c r="B90" s="4">
        <f ca="1">OFFSET(Manawatu_Reference,49,6)</f>
        <v>0</v>
      </c>
      <c r="C90" s="4">
        <f ca="1">$B90*('Updated Population'!C$81/'Updated Population'!$B$81)*('Total Distance Tables Sup #1'!C178/'Total Distance Tables Sup #1'!$B178)</f>
        <v>0</v>
      </c>
      <c r="D90" s="4">
        <f ca="1">$B90*('Updated Population'!D$81/'Updated Population'!$B$81)*('Total Distance Tables Sup #1'!D178/'Total Distance Tables Sup #1'!$B178)</f>
        <v>0</v>
      </c>
      <c r="E90" s="4">
        <f ca="1">$B90*('Updated Population'!E$81/'Updated Population'!$B$81)*('Total Distance Tables Sup #1'!E178/'Total Distance Tables Sup #1'!$B178)</f>
        <v>0</v>
      </c>
      <c r="F90" s="4">
        <f ca="1">$B90*('Updated Population'!F$81/'Updated Population'!$B$81)*('Total Distance Tables Sup #1'!F178/'Total Distance Tables Sup #1'!$B178)</f>
        <v>0</v>
      </c>
      <c r="G90" s="4">
        <f ca="1">$B90*('Updated Population'!G$81/'Updated Population'!$B$81)*('Total Distance Tables Sup #1'!G178/'Total Distance Tables Sup #1'!$B178)</f>
        <v>0</v>
      </c>
      <c r="H90" s="4">
        <f ca="1">$B90*('Updated Population'!H$81/'Updated Population'!$B$81)*('Total Distance Tables Sup #1'!H178/'Total Distance Tables Sup #1'!$B178)</f>
        <v>0</v>
      </c>
      <c r="I90" s="1">
        <f ca="1">$B90*('Updated Population'!I$81/'Updated Population'!$B$81)*('Total Distance Tables Sup #1'!I178/'Total Distance Tables Sup #1'!$B178)</f>
        <v>0</v>
      </c>
      <c r="J90" s="1">
        <f ca="1">$B90*('Updated Population'!J$81/'Updated Population'!$B$81)*('Total Distance Tables Sup #1'!J178/'Total Distance Tables Sup #1'!$B178)</f>
        <v>0</v>
      </c>
      <c r="K90" s="1">
        <f ca="1">$B90*('Updated Population'!K$81/'Updated Population'!$B$81)*('Total Distance Tables Sup #1'!K178/'Total Distance Tables Sup #1'!$B178)</f>
        <v>0</v>
      </c>
    </row>
    <row r="91" spans="1:11" x14ac:dyDescent="0.2">
      <c r="A91" t="str">
        <f ca="1">OFFSET(Manawatu_Reference,56,2)</f>
        <v>Other Household Travel</v>
      </c>
      <c r="B91" s="4">
        <f ca="1">OFFSET(Manawatu_Reference,56,6)</f>
        <v>0</v>
      </c>
      <c r="C91" s="4">
        <f ca="1">$B91*('Updated Population'!C$81/'Updated Population'!$B$81)*('Total Distance Tables Sup #1'!C179/'Total Distance Tables Sup #1'!$B179)</f>
        <v>0</v>
      </c>
      <c r="D91" s="4">
        <f ca="1">$B91*('Updated Population'!D$81/'Updated Population'!$B$81)*('Total Distance Tables Sup #1'!D179/'Total Distance Tables Sup #1'!$B179)</f>
        <v>0</v>
      </c>
      <c r="E91" s="4">
        <f ca="1">$B91*('Updated Population'!E$81/'Updated Population'!$B$81)*('Total Distance Tables Sup #1'!E179/'Total Distance Tables Sup #1'!$B179)</f>
        <v>0</v>
      </c>
      <c r="F91" s="4">
        <f ca="1">$B91*('Updated Population'!F$81/'Updated Population'!$B$81)*('Total Distance Tables Sup #1'!F179/'Total Distance Tables Sup #1'!$B179)</f>
        <v>0</v>
      </c>
      <c r="G91" s="4">
        <f ca="1">$B91*('Updated Population'!G$81/'Updated Population'!$B$81)*('Total Distance Tables Sup #1'!G179/'Total Distance Tables Sup #1'!$B179)</f>
        <v>0</v>
      </c>
      <c r="H91" s="4">
        <f ca="1">$B91*('Updated Population'!H$81/'Updated Population'!$B$81)*('Total Distance Tables Sup #1'!H179/'Total Distance Tables Sup #1'!$B179)</f>
        <v>0</v>
      </c>
      <c r="I91" s="1">
        <f ca="1">$B91*('Updated Population'!I$81/'Updated Population'!$B$81)*('Total Distance Tables Sup #1'!I179/'Total Distance Tables Sup #1'!$B179)</f>
        <v>0</v>
      </c>
      <c r="J91" s="1">
        <f ca="1">$B91*('Updated Population'!J$81/'Updated Population'!$B$81)*('Total Distance Tables Sup #1'!J179/'Total Distance Tables Sup #1'!$B179)</f>
        <v>0</v>
      </c>
      <c r="K91" s="1">
        <f ca="1">$B91*('Updated Population'!K$81/'Updated Population'!$B$81)*('Total Distance Tables Sup #1'!K179/'Total Distance Tables Sup #1'!$B179)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OFFSET(Wellington_Reference,0,6)</f>
        <v>126.13499251</v>
      </c>
      <c r="C93" s="4">
        <f ca="1">$B93*('Updated Population'!C$92/'Updated Population'!$B$92)*('Total Distance Tables Sup #1'!C170/'Total Distance Tables Sup #1'!$B170)</f>
        <v>134.97136077107081</v>
      </c>
      <c r="D93" s="4">
        <f ca="1">$B93*('Updated Population'!D$92/'Updated Population'!$B$92)*('Total Distance Tables Sup #1'!D170/'Total Distance Tables Sup #1'!$B170)</f>
        <v>139.94182656454419</v>
      </c>
      <c r="E93" s="4">
        <f ca="1">$B93*('Updated Population'!E$92/'Updated Population'!$B$92)*('Total Distance Tables Sup #1'!E170/'Total Distance Tables Sup #1'!$B170)</f>
        <v>142.45075462708593</v>
      </c>
      <c r="F93" s="4">
        <f ca="1">$B93*('Updated Population'!F$92/'Updated Population'!$B$92)*('Total Distance Tables Sup #1'!F170/'Total Distance Tables Sup #1'!$B170)</f>
        <v>143.50093656394466</v>
      </c>
      <c r="G93" s="4">
        <f ca="1">$B93*('Updated Population'!G$92/'Updated Population'!$B$92)*('Total Distance Tables Sup #1'!G170/'Total Distance Tables Sup #1'!$B170)</f>
        <v>144.14038957336885</v>
      </c>
      <c r="H93" s="4">
        <f ca="1">$B93*('Updated Population'!H$92/'Updated Population'!$B$92)*('Total Distance Tables Sup #1'!H170/'Total Distance Tables Sup #1'!$B170)</f>
        <v>144.24828019925016</v>
      </c>
      <c r="I93" s="1">
        <f ca="1">$B93*('Updated Population'!I$92/'Updated Population'!$B$92)*('Total Distance Tables Sup #1'!I170/'Total Distance Tables Sup #1'!$B170)</f>
        <v>147.42926543980369</v>
      </c>
      <c r="J93" s="1">
        <f ca="1">$B93*('Updated Population'!J$92/'Updated Population'!$B$92)*('Total Distance Tables Sup #1'!J170/'Total Distance Tables Sup #1'!$B170)</f>
        <v>150.23633079236282</v>
      </c>
      <c r="K93" s="1">
        <f ca="1">$B93*('Updated Population'!K$92/'Updated Population'!$B$92)*('Total Distance Tables Sup #1'!K170/'Total Distance Tables Sup #1'!$B170)</f>
        <v>152.80492850582255</v>
      </c>
    </row>
    <row r="94" spans="1:11" x14ac:dyDescent="0.2">
      <c r="A94" t="str">
        <f ca="1">OFFSET(Wellington_Reference,7,2)</f>
        <v>Cyclist</v>
      </c>
      <c r="B94" s="4">
        <f ca="1">OFFSET(Wellington_Reference,7,6)</f>
        <v>52.092312808000003</v>
      </c>
      <c r="C94" s="4">
        <f ca="1">$B94*('Updated Population'!C$92/'Updated Population'!$B$92)*('Total Distance Tables Sup #1'!C171/'Total Distance Tables Sup #1'!$B171)</f>
        <v>57.784548962396791</v>
      </c>
      <c r="D94" s="4">
        <f ca="1">$B94*('Updated Population'!D$92/'Updated Population'!$B$92)*('Total Distance Tables Sup #1'!D171/'Total Distance Tables Sup #1'!$B171)</f>
        <v>60.798940299614983</v>
      </c>
      <c r="E94" s="4">
        <f ca="1">$B94*('Updated Population'!E$92/'Updated Population'!$B$92)*('Total Distance Tables Sup #1'!E171/'Total Distance Tables Sup #1'!$B171)</f>
        <v>62.389176084432663</v>
      </c>
      <c r="F94" s="4">
        <f ca="1">$B94*('Updated Population'!F$92/'Updated Population'!$B$92)*('Total Distance Tables Sup #1'!F171/'Total Distance Tables Sup #1'!$B171)</f>
        <v>64.741345576879809</v>
      </c>
      <c r="G94" s="4">
        <f ca="1">$B94*('Updated Population'!G$92/'Updated Population'!$B$92)*('Total Distance Tables Sup #1'!G171/'Total Distance Tables Sup #1'!$B171)</f>
        <v>68.033020340486402</v>
      </c>
      <c r="H94" s="4">
        <f ca="1">$B94*('Updated Population'!H$92/'Updated Population'!$B$92)*('Total Distance Tables Sup #1'!H171/'Total Distance Tables Sup #1'!$B171)</f>
        <v>71.396116726983095</v>
      </c>
      <c r="I94" s="1">
        <f ca="1">$B94*('Updated Population'!I$92/'Updated Population'!$B$92)*('Total Distance Tables Sup #1'!I171/'Total Distance Tables Sup #1'!$B171)</f>
        <v>72.970554863976218</v>
      </c>
      <c r="J94" s="1">
        <f ca="1">$B94*('Updated Population'!J$92/'Updated Population'!$B$92)*('Total Distance Tables Sup #1'!J171/'Total Distance Tables Sup #1'!$B171)</f>
        <v>74.359920236615352</v>
      </c>
      <c r="K94" s="1">
        <f ca="1">$B94*('Updated Population'!K$92/'Updated Population'!$B$92)*('Total Distance Tables Sup #1'!K171/'Total Distance Tables Sup #1'!$B171)</f>
        <v>75.63125533968568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OFFSET(Wellington_Reference,14,6)</f>
        <v>3481.4296611999998</v>
      </c>
      <c r="C95" s="4">
        <f ca="1">$B95*('Updated Population'!C$92/'Updated Population'!$B$92)*('Total Distance Tables Sup #1'!C172/'Total Distance Tables Sup #1'!$B172)</f>
        <v>3845.7721333725231</v>
      </c>
      <c r="D95" s="4">
        <f ca="1">$B95*('Updated Population'!D$92/'Updated Population'!$B$92)*('Total Distance Tables Sup #1'!D172/'Total Distance Tables Sup #1'!$B172)</f>
        <v>4069.7488456550727</v>
      </c>
      <c r="E95" s="4">
        <f ca="1">$B95*('Updated Population'!E$92/'Updated Population'!$B$92)*('Total Distance Tables Sup #1'!E172/'Total Distance Tables Sup #1'!$B172)</f>
        <v>4273.8619586037048</v>
      </c>
      <c r="F95" s="4">
        <f ca="1">$B95*('Updated Population'!F$92/'Updated Population'!$B$92)*('Total Distance Tables Sup #1'!F172/'Total Distance Tables Sup #1'!$B172)</f>
        <v>4457.0917986159211</v>
      </c>
      <c r="G95" s="4">
        <f ca="1">$B95*('Updated Population'!G$92/'Updated Population'!$B$92)*('Total Distance Tables Sup #1'!G172/'Total Distance Tables Sup #1'!$B172)</f>
        <v>4592.006796092167</v>
      </c>
      <c r="H95" s="4">
        <f ca="1">$B95*('Updated Population'!H$92/'Updated Population'!$B$92)*('Total Distance Tables Sup #1'!H172/'Total Distance Tables Sup #1'!$B172)</f>
        <v>4706.6709446084797</v>
      </c>
      <c r="I95" s="1">
        <f ca="1">$B95*('Updated Population'!I$92/'Updated Population'!$B$92)*('Total Distance Tables Sup #1'!I172/'Total Distance Tables Sup #1'!$B172)</f>
        <v>4810.463175519385</v>
      </c>
      <c r="J95" s="1">
        <f ca="1">$B95*('Updated Population'!J$92/'Updated Population'!$B$92)*('Total Distance Tables Sup #1'!J172/'Total Distance Tables Sup #1'!$B172)</f>
        <v>4902.0547904506539</v>
      </c>
      <c r="K95" s="1">
        <f ca="1">$B95*('Updated Population'!K$92/'Updated Population'!$B$92)*('Total Distance Tables Sup #1'!K172/'Total Distance Tables Sup #1'!$B172)</f>
        <v>4985.8654550189194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OFFSET(Wellington_Reference,21,6)</f>
        <v>2005.8850408000001</v>
      </c>
      <c r="C96" s="4">
        <f ca="1">$B96*('Updated Population'!C$92/'Updated Population'!$B$92)*('Total Distance Tables Sup #1'!C173/'Total Distance Tables Sup #1'!$B173)</f>
        <v>2132.3940076389977</v>
      </c>
      <c r="D96" s="4">
        <f ca="1">$B96*('Updated Population'!D$92/'Updated Population'!$B$92)*('Total Distance Tables Sup #1'!D173/'Total Distance Tables Sup #1'!$B173)</f>
        <v>2209.3795783506212</v>
      </c>
      <c r="E96" s="4">
        <f ca="1">$B96*('Updated Population'!E$92/'Updated Population'!$B$92)*('Total Distance Tables Sup #1'!E173/'Total Distance Tables Sup #1'!$B173)</f>
        <v>2273.4241176011406</v>
      </c>
      <c r="F96" s="4">
        <f ca="1">$B96*('Updated Population'!F$92/'Updated Population'!$B$92)*('Total Distance Tables Sup #1'!F173/'Total Distance Tables Sup #1'!$B173)</f>
        <v>2319.9163673434068</v>
      </c>
      <c r="G96" s="4">
        <f ca="1">$B96*('Updated Population'!G$92/'Updated Population'!$B$92)*('Total Distance Tables Sup #1'!G173/'Total Distance Tables Sup #1'!$B173)</f>
        <v>2349.4302245017539</v>
      </c>
      <c r="H96" s="4">
        <f ca="1">$B96*('Updated Population'!H$92/'Updated Population'!$B$92)*('Total Distance Tables Sup #1'!H173/'Total Distance Tables Sup #1'!$B173)</f>
        <v>2366.8352087496824</v>
      </c>
      <c r="I96" s="1">
        <f ca="1">$B96*('Updated Population'!I$92/'Updated Population'!$B$92)*('Total Distance Tables Sup #1'!I173/'Total Distance Tables Sup #1'!$B173)</f>
        <v>2419.0290224676382</v>
      </c>
      <c r="J96" s="1">
        <f ca="1">$B96*('Updated Population'!J$92/'Updated Population'!$B$92)*('Total Distance Tables Sup #1'!J173/'Total Distance Tables Sup #1'!$B173)</f>
        <v>2465.0875342261229</v>
      </c>
      <c r="K96" s="1">
        <f ca="1">$B96*('Updated Population'!K$92/'Updated Population'!$B$92)*('Total Distance Tables Sup #1'!K173/'Total Distance Tables Sup #1'!$B173)</f>
        <v>2507.233253377387</v>
      </c>
    </row>
    <row r="97" spans="1:11" x14ac:dyDescent="0.2">
      <c r="A97" t="str">
        <f ca="1">OFFSET(Wellington_Reference,28,2)</f>
        <v>Taxi/Vehicle Share</v>
      </c>
      <c r="B97" s="4">
        <f ca="1">OFFSET(Wellington_Reference,28,6)</f>
        <v>19.359252680000001</v>
      </c>
      <c r="C97" s="4">
        <f ca="1">$B97*('Updated Population'!C$92/'Updated Population'!$B$92)*('Total Distance Tables Sup #1'!C174/'Total Distance Tables Sup #1'!$B174)</f>
        <v>22.38482504867541</v>
      </c>
      <c r="D97" s="4">
        <f ca="1">$B97*('Updated Population'!D$92/'Updated Population'!$B$92)*('Total Distance Tables Sup #1'!D174/'Total Distance Tables Sup #1'!$B174)</f>
        <v>24.964156543281263</v>
      </c>
      <c r="E97" s="4">
        <f ca="1">$B97*('Updated Population'!E$92/'Updated Population'!$B$92)*('Total Distance Tables Sup #1'!E174/'Total Distance Tables Sup #1'!$B174)</f>
        <v>27.314426565185869</v>
      </c>
      <c r="F97" s="4">
        <f ca="1">$B97*('Updated Population'!F$92/'Updated Population'!$B$92)*('Total Distance Tables Sup #1'!F174/'Total Distance Tables Sup #1'!$B174)</f>
        <v>29.368878606781688</v>
      </c>
      <c r="G97" s="4">
        <f ca="1">$B97*('Updated Population'!G$92/'Updated Population'!$B$92)*('Total Distance Tables Sup #1'!G174/'Total Distance Tables Sup #1'!$B174)</f>
        <v>30.942773004316365</v>
      </c>
      <c r="H97" s="4">
        <f ca="1">$B97*('Updated Population'!H$92/'Updated Population'!$B$92)*('Total Distance Tables Sup #1'!H174/'Total Distance Tables Sup #1'!$B174)</f>
        <v>32.405757958232833</v>
      </c>
      <c r="I97" s="1">
        <f ca="1">$B97*('Updated Population'!I$92/'Updated Population'!$B$92)*('Total Distance Tables Sup #1'!I174/'Total Distance Tables Sup #1'!$B174)</f>
        <v>33.120374712288417</v>
      </c>
      <c r="J97" s="1">
        <f ca="1">$B97*('Updated Population'!J$92/'Updated Population'!$B$92)*('Total Distance Tables Sup #1'!J174/'Total Distance Tables Sup #1'!$B174)</f>
        <v>33.750989373775703</v>
      </c>
      <c r="K97" s="1">
        <f ca="1">$B97*('Updated Population'!K$92/'Updated Population'!$B$92)*('Total Distance Tables Sup #1'!K174/'Total Distance Tables Sup #1'!$B174)</f>
        <v>34.328031648938158</v>
      </c>
    </row>
    <row r="98" spans="1:11" x14ac:dyDescent="0.2">
      <c r="A98" t="str">
        <f ca="1">OFFSET(Wellington_Reference,35,2)</f>
        <v>Motorcyclist</v>
      </c>
      <c r="B98" s="4">
        <f ca="1">OFFSET(Wellington_Reference,35,6)</f>
        <v>24.444631151999999</v>
      </c>
      <c r="C98" s="4">
        <f ca="1">$B98*('Updated Population'!C$92/'Updated Population'!$B$92)*('Total Distance Tables Sup #1'!C175/'Total Distance Tables Sup #1'!$B175)</f>
        <v>26.799487391328825</v>
      </c>
      <c r="D98" s="4">
        <f ca="1">$B98*('Updated Population'!D$92/'Updated Population'!$B$92)*('Total Distance Tables Sup #1'!D175/'Total Distance Tables Sup #1'!$B175)</f>
        <v>28.082819206576971</v>
      </c>
      <c r="E98" s="4">
        <f ca="1">$B98*('Updated Population'!E$92/'Updated Population'!$B$92)*('Total Distance Tables Sup #1'!E175/'Total Distance Tables Sup #1'!$B175)</f>
        <v>28.794405012905411</v>
      </c>
      <c r="F98" s="4">
        <f ca="1">$B98*('Updated Population'!F$92/'Updated Population'!$B$92)*('Total Distance Tables Sup #1'!F175/'Total Distance Tables Sup #1'!$B175)</f>
        <v>29.182377937654159</v>
      </c>
      <c r="G98" s="4">
        <f ca="1">$B98*('Updated Population'!G$92/'Updated Population'!$B$92)*('Total Distance Tables Sup #1'!G175/'Total Distance Tables Sup #1'!$B175)</f>
        <v>29.012572897130049</v>
      </c>
      <c r="H98" s="4">
        <f ca="1">$B98*('Updated Population'!H$92/'Updated Population'!$B$92)*('Total Distance Tables Sup #1'!H175/'Total Distance Tables Sup #1'!$B175)</f>
        <v>28.675564650154087</v>
      </c>
      <c r="I98" s="1">
        <f ca="1">$B98*('Updated Population'!I$92/'Updated Population'!$B$92)*('Total Distance Tables Sup #1'!I175/'Total Distance Tables Sup #1'!$B175)</f>
        <v>29.307922608187837</v>
      </c>
      <c r="J98" s="1">
        <f ca="1">$B98*('Updated Population'!J$92/'Updated Population'!$B$92)*('Total Distance Tables Sup #1'!J175/'Total Distance Tables Sup #1'!$B175)</f>
        <v>29.865947867714894</v>
      </c>
      <c r="K98" s="1">
        <f ca="1">$B98*('Updated Population'!K$92/'Updated Population'!$B$92)*('Total Distance Tables Sup #1'!K175/'Total Distance Tables Sup #1'!$B175)</f>
        <v>30.376567402941319</v>
      </c>
    </row>
    <row r="99" spans="1:11" x14ac:dyDescent="0.2">
      <c r="A99" t="str">
        <f ca="1">OFFSET(Wellington_Reference,42,2)</f>
        <v>Local Train</v>
      </c>
      <c r="B99" s="4">
        <f ca="1">OFFSET(Wellington_Reference,42,6)</f>
        <v>251.12727889999999</v>
      </c>
      <c r="C99" s="4">
        <f ca="1">OFFSET(Wellington_Reference,43,6)</f>
        <v>272.30099767000002</v>
      </c>
      <c r="D99" s="4">
        <f ca="1">OFFSET(Wellington_Reference,44,6)</f>
        <v>287.57689847</v>
      </c>
      <c r="E99" s="4">
        <f ca="1">OFFSET(Wellington_Reference,45,6)</f>
        <v>299.35808040000001</v>
      </c>
      <c r="F99" s="4">
        <f ca="1">OFFSET(Wellington_Reference,46,6)</f>
        <v>304.57215048</v>
      </c>
      <c r="G99" s="4">
        <f ca="1">OFFSET(Wellington_Reference,47,6)</f>
        <v>311.21015441999998</v>
      </c>
      <c r="H99" s="4">
        <f ca="1">OFFSET(Wellington_Reference,48,6)</f>
        <v>315.94281543</v>
      </c>
      <c r="I99" s="1">
        <f ca="1">OFFSET(Wellington_Reference,48,6)*('Updated Population'!I92/'Updated Population'!H92)</f>
        <v>322.91003494453105</v>
      </c>
      <c r="J99" s="1">
        <f ca="1">OFFSET(Wellington_Reference,48,6)*('Updated Population'!J92/'Updated Population'!H92)</f>
        <v>329.05826859666547</v>
      </c>
      <c r="K99" s="1">
        <f ca="1">OFFSET(Wellington_Reference,48,6)*('Updated Population'!K92/'Updated Population'!H92)</f>
        <v>334.68419351013108</v>
      </c>
    </row>
    <row r="100" spans="1:11" x14ac:dyDescent="0.2">
      <c r="A100" t="str">
        <f ca="1">OFFSET(Wellington_Reference,49,2)</f>
        <v>Local Bus</v>
      </c>
      <c r="B100" s="4">
        <f ca="1">OFFSET(Wellington_Reference,49,6)</f>
        <v>187.412398</v>
      </c>
      <c r="C100" s="4">
        <f ca="1">OFFSET(Wellington_Reference,50,6)</f>
        <v>199.36998972000001</v>
      </c>
      <c r="D100" s="4">
        <f ca="1">OFFSET(Wellington_Reference,51,6)</f>
        <v>204.78550231</v>
      </c>
      <c r="E100" s="4">
        <f ca="1">OFFSET(Wellington_Reference,52,6)</f>
        <v>208.60145833000001</v>
      </c>
      <c r="F100" s="4">
        <f ca="1">OFFSET(Wellington_Reference,53,6)</f>
        <v>210.43878918999999</v>
      </c>
      <c r="G100" s="4">
        <f ca="1">OFFSET(Wellington_Reference,54,6)</f>
        <v>211.45580906999999</v>
      </c>
      <c r="H100" s="4">
        <f ca="1">OFFSET(Wellington_Reference,55,6)</f>
        <v>211.28452615</v>
      </c>
      <c r="I100" s="1">
        <f ca="1">OFFSET(Wellington_Reference,55,6)*('Updated Population'!I92/'Updated Population'!H92)</f>
        <v>215.94380498723905</v>
      </c>
      <c r="J100" s="1">
        <f ca="1">OFFSET(Wellington_Reference,55,6)*('Updated Population'!J92/'Updated Population'!H92)</f>
        <v>220.0553928139245</v>
      </c>
      <c r="K100" s="1">
        <f ca="1">OFFSET(Wellington_Reference,55,6)*('Updated Population'!K92/'Updated Population'!H92)</f>
        <v>223.81769036096404</v>
      </c>
    </row>
    <row r="101" spans="1:11" x14ac:dyDescent="0.2">
      <c r="A101" t="str">
        <f ca="1">OFFSET(Wellington_Reference,56,2)</f>
        <v>Local Ferry</v>
      </c>
      <c r="B101" s="4">
        <f ca="1">OFFSET(Wellington_Reference,56,6)</f>
        <v>0</v>
      </c>
      <c r="C101" s="4">
        <f ca="1">$B101*('Updated Population'!C$92/'Updated Population'!$B$92)*('Total Distance Tables Sup #1'!C178/'Total Distance Tables Sup #1'!$B178)</f>
        <v>0</v>
      </c>
      <c r="D101" s="4">
        <f ca="1">$B101*('Updated Population'!D$92/'Updated Population'!$B$92)*('Total Distance Tables Sup #1'!D178/'Total Distance Tables Sup #1'!$B178)</f>
        <v>0</v>
      </c>
      <c r="E101" s="4">
        <f ca="1">$B101*('Updated Population'!E$92/'Updated Population'!$B$92)*('Total Distance Tables Sup #1'!E178/'Total Distance Tables Sup #1'!$B178)</f>
        <v>0</v>
      </c>
      <c r="F101" s="4">
        <f ca="1">$B101*('Updated Population'!F$92/'Updated Population'!$B$92)*('Total Distance Tables Sup #1'!F178/'Total Distance Tables Sup #1'!$B178)</f>
        <v>0</v>
      </c>
      <c r="G101" s="4">
        <f ca="1">$B101*('Updated Population'!G$92/'Updated Population'!$B$92)*('Total Distance Tables Sup #1'!G178/'Total Distance Tables Sup #1'!$B178)</f>
        <v>0</v>
      </c>
      <c r="H101" s="4">
        <f ca="1">$B101*('Updated Population'!H$92/'Updated Population'!$B$92)*('Total Distance Tables Sup #1'!H178/'Total Distance Tables Sup #1'!$B178)</f>
        <v>0</v>
      </c>
      <c r="I101" s="1">
        <f ca="1">$B101*('Updated Population'!I$92/'Updated Population'!$B$92)*('Total Distance Tables Sup #1'!I178/'Total Distance Tables Sup #1'!$B178)</f>
        <v>0</v>
      </c>
      <c r="J101" s="1">
        <f ca="1">$B101*('Updated Population'!J$92/'Updated Population'!$B$92)*('Total Distance Tables Sup #1'!J178/'Total Distance Tables Sup #1'!$B178)</f>
        <v>0</v>
      </c>
      <c r="K101" s="1">
        <f ca="1">$B101*('Updated Population'!K$92/'Updated Population'!$B$92)*('Total Distance Tables Sup #1'!K178/'Total Distance Tables Sup #1'!$B178)</f>
        <v>0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OFFSET(Wellington_Reference,63,6)</f>
        <v>0</v>
      </c>
      <c r="C102" s="4">
        <f ca="1">$B102*('Updated Population'!C$92/'Updated Population'!$B$92)*('Total Distance Tables Sup #1'!C179/'Total Distance Tables Sup #1'!$B179)</f>
        <v>0</v>
      </c>
      <c r="D102" s="4">
        <f ca="1">$B102*('Updated Population'!D$92/'Updated Population'!$B$92)*('Total Distance Tables Sup #1'!D179/'Total Distance Tables Sup #1'!$B179)</f>
        <v>0</v>
      </c>
      <c r="E102" s="4">
        <f ca="1">$B102*('Updated Population'!E$92/'Updated Population'!$B$92)*('Total Distance Tables Sup #1'!E179/'Total Distance Tables Sup #1'!$B179)</f>
        <v>0</v>
      </c>
      <c r="F102" s="4">
        <f ca="1">$B102*('Updated Population'!F$92/'Updated Population'!$B$92)*('Total Distance Tables Sup #1'!F179/'Total Distance Tables Sup #1'!$B179)</f>
        <v>0</v>
      </c>
      <c r="G102" s="4">
        <f ca="1">$B102*('Updated Population'!G$92/'Updated Population'!$B$92)*('Total Distance Tables Sup #1'!G179/'Total Distance Tables Sup #1'!$B179)</f>
        <v>0</v>
      </c>
      <c r="H102" s="4">
        <f ca="1">$B102*('Updated Population'!H$92/'Updated Population'!$B$92)*('Total Distance Tables Sup #1'!H179/'Total Distance Tables Sup #1'!$B179)</f>
        <v>0</v>
      </c>
      <c r="I102" s="1">
        <f ca="1">$B102*('Updated Population'!I$92/'Updated Population'!$B$92)*('Total Distance Tables Sup #1'!I179/'Total Distance Tables Sup #1'!$B179)</f>
        <v>0</v>
      </c>
      <c r="J102" s="1">
        <f ca="1">$B102*('Updated Population'!J$92/'Updated Population'!$B$92)*('Total Distance Tables Sup #1'!J179/'Total Distance Tables Sup #1'!$B179)</f>
        <v>0</v>
      </c>
      <c r="K102" s="1">
        <f ca="1">$B102*('Updated Population'!K$92/'Updated Population'!$B$92)*('Total Distance Tables Sup #1'!K179/'Total Distance Tables Sup #1'!$B179)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OFFSET(Nelson_Reference,0,6)</f>
        <v>28.582749250999999</v>
      </c>
      <c r="C104" s="4">
        <f ca="1">$B104*('Updated Population'!C$103/'Updated Population'!$B$103)*('Total Distance Tables Sup #1'!C170/'Total Distance Tables Sup #1'!$B170)</f>
        <v>29.508092920688608</v>
      </c>
      <c r="D104" s="4">
        <f ca="1">$B104*('Updated Population'!D$103/'Updated Population'!$B$103)*('Total Distance Tables Sup #1'!D170/'Total Distance Tables Sup #1'!$B170)</f>
        <v>29.822693371269278</v>
      </c>
      <c r="E104" s="4">
        <f ca="1">$B104*('Updated Population'!E$103/'Updated Population'!$B$103)*('Total Distance Tables Sup #1'!E170/'Total Distance Tables Sup #1'!$B170)</f>
        <v>29.729317015821177</v>
      </c>
      <c r="F104" s="4">
        <f ca="1">$B104*('Updated Population'!F$103/'Updated Population'!$B$103)*('Total Distance Tables Sup #1'!F170/'Total Distance Tables Sup #1'!$B170)</f>
        <v>29.32411400584699</v>
      </c>
      <c r="G104" s="4">
        <f ca="1">$B104*('Updated Population'!G$103/'Updated Population'!$B$103)*('Total Distance Tables Sup #1'!G170/'Total Distance Tables Sup #1'!$B170)</f>
        <v>28.827680839226527</v>
      </c>
      <c r="H104" s="4">
        <f ca="1">$B104*('Updated Population'!H$103/'Updated Population'!$B$103)*('Total Distance Tables Sup #1'!H170/'Total Distance Tables Sup #1'!$B170)</f>
        <v>28.188994454214189</v>
      </c>
      <c r="I104" s="1">
        <f ca="1">$B104*('Updated Population'!I$103/'Updated Population'!$B$103)*('Total Distance Tables Sup #1'!I170/'Total Distance Tables Sup #1'!$B170)</f>
        <v>28.146079920211648</v>
      </c>
      <c r="J104" s="1">
        <f ca="1">$B104*('Updated Population'!J$103/'Updated Population'!$B$103)*('Total Distance Tables Sup #1'!J170/'Total Distance Tables Sup #1'!$B170)</f>
        <v>28.01509587804879</v>
      </c>
      <c r="K104" s="1">
        <f ca="1">$B104*('Updated Population'!K$103/'Updated Population'!$B$103)*('Total Distance Tables Sup #1'!K170/'Total Distance Tables Sup #1'!$B170)</f>
        <v>27.826110425697031</v>
      </c>
    </row>
    <row r="105" spans="1:11" x14ac:dyDescent="0.2">
      <c r="A105" t="str">
        <f ca="1">OFFSET(Nelson_Reference,7,2)</f>
        <v>Cyclist</v>
      </c>
      <c r="B105" s="4">
        <f ca="1">OFFSET(Nelson_Reference,7,6)</f>
        <v>10.809874027999999</v>
      </c>
      <c r="C105" s="4">
        <f ca="1">$B105*('Updated Population'!C$103/'Updated Population'!$B$103)*('Total Distance Tables Sup #1'!C171/'Total Distance Tables Sup #1'!$B171)</f>
        <v>11.568840227359596</v>
      </c>
      <c r="D105" s="4">
        <f ca="1">$B105*('Updated Population'!D$103/'Updated Population'!$B$103)*('Total Distance Tables Sup #1'!D171/'Total Distance Tables Sup #1'!$B171)</f>
        <v>11.865168617412783</v>
      </c>
      <c r="E105" s="4">
        <f ca="1">$B105*('Updated Population'!E$103/'Updated Population'!$B$103)*('Total Distance Tables Sup #1'!E171/'Total Distance Tables Sup #1'!$B171)</f>
        <v>11.923616730993796</v>
      </c>
      <c r="F105" s="4">
        <f ca="1">$B105*('Updated Population'!F$103/'Updated Population'!$B$103)*('Total Distance Tables Sup #1'!F171/'Total Distance Tables Sup #1'!$B171)</f>
        <v>12.115196565032083</v>
      </c>
      <c r="G105" s="4">
        <f ca="1">$B105*('Updated Population'!G$103/'Updated Population'!$B$103)*('Total Distance Tables Sup #1'!G171/'Total Distance Tables Sup #1'!$B171)</f>
        <v>12.460123452079172</v>
      </c>
      <c r="H105" s="4">
        <f ca="1">$B105*('Updated Population'!H$103/'Updated Population'!$B$103)*('Total Distance Tables Sup #1'!H171/'Total Distance Tables Sup #1'!$B171)</f>
        <v>12.77680041180751</v>
      </c>
      <c r="I105" s="1">
        <f ca="1">$B105*('Updated Population'!I$103/'Updated Population'!$B$103)*('Total Distance Tables Sup #1'!I171/'Total Distance Tables Sup #1'!$B171)</f>
        <v>12.757349188153299</v>
      </c>
      <c r="J105" s="1">
        <f ca="1">$B105*('Updated Population'!J$103/'Updated Population'!$B$103)*('Total Distance Tables Sup #1'!J171/'Total Distance Tables Sup #1'!$B171)</f>
        <v>12.697980026668493</v>
      </c>
      <c r="K105" s="1">
        <f ca="1">$B105*('Updated Population'!K$103/'Updated Population'!$B$103)*('Total Distance Tables Sup #1'!K171/'Total Distance Tables Sup #1'!$B171)</f>
        <v>12.61232144067829</v>
      </c>
    </row>
    <row r="106" spans="1:11" x14ac:dyDescent="0.2">
      <c r="A106" t="str">
        <f ca="1">OFFSET(Nelson_Reference,14,2)</f>
        <v>Light Vehicle Driver</v>
      </c>
      <c r="B106" s="4">
        <f ca="1">OFFSET(Nelson_Reference,14,6)</f>
        <v>1012.1329009999999</v>
      </c>
      <c r="C106" s="4">
        <f ca="1">$B106*('Updated Population'!C$103/'Updated Population'!$B$103)*('Total Distance Tables Sup #1'!C172/'Total Distance Tables Sup #1'!$B172)</f>
        <v>1078.6848220918912</v>
      </c>
      <c r="D106" s="4">
        <f ca="1">$B106*('Updated Population'!D$103/'Updated Population'!$B$103)*('Total Distance Tables Sup #1'!D172/'Total Distance Tables Sup #1'!$B172)</f>
        <v>1112.700895390801</v>
      </c>
      <c r="E106" s="4">
        <f ca="1">$B106*('Updated Population'!E$103/'Updated Population'!$B$103)*('Total Distance Tables Sup #1'!E172/'Total Distance Tables Sup #1'!$B172)</f>
        <v>1144.3323418459136</v>
      </c>
      <c r="F106" s="4">
        <f ca="1">$B106*('Updated Population'!F$103/'Updated Population'!$B$103)*('Total Distance Tables Sup #1'!F172/'Total Distance Tables Sup #1'!$B172)</f>
        <v>1168.5121877083977</v>
      </c>
      <c r="G106" s="4">
        <f ca="1">$B106*('Updated Population'!G$103/'Updated Population'!$B$103)*('Total Distance Tables Sup #1'!G172/'Total Distance Tables Sup #1'!$B172)</f>
        <v>1178.2516038862004</v>
      </c>
      <c r="H106" s="4">
        <f ca="1">$B106*('Updated Population'!H$103/'Updated Population'!$B$103)*('Total Distance Tables Sup #1'!H172/'Total Distance Tables Sup #1'!$B172)</f>
        <v>1180.0333479439407</v>
      </c>
      <c r="I106" s="1">
        <f ca="1">$B106*('Updated Population'!I$103/'Updated Population'!$B$103)*('Total Distance Tables Sup #1'!I172/'Total Distance Tables Sup #1'!$B172)</f>
        <v>1178.2368815493437</v>
      </c>
      <c r="J106" s="1">
        <f ca="1">$B106*('Updated Population'!J$103/'Updated Population'!$B$103)*('Total Distance Tables Sup #1'!J172/'Total Distance Tables Sup #1'!$B172)</f>
        <v>1172.7536941993403</v>
      </c>
      <c r="K106" s="1">
        <f ca="1">$B106*('Updated Population'!K$103/'Updated Population'!$B$103)*('Total Distance Tables Sup #1'!K172/'Total Distance Tables Sup #1'!$B172)</f>
        <v>1164.8424813175338</v>
      </c>
    </row>
    <row r="107" spans="1:11" x14ac:dyDescent="0.2">
      <c r="A107" t="str">
        <f ca="1">OFFSET(Nelson_Reference,21,2)</f>
        <v>Light Vehicle Passenger</v>
      </c>
      <c r="B107" s="4">
        <f ca="1">OFFSET(Nelson_Reference,21,6)</f>
        <v>528.66856442999995</v>
      </c>
      <c r="C107" s="4">
        <f ca="1">$B107*('Updated Population'!C$103/'Updated Population'!$B$103)*('Total Distance Tables Sup #1'!C173/'Total Distance Tables Sup #1'!$B173)</f>
        <v>542.22058775520406</v>
      </c>
      <c r="D107" s="4">
        <f ca="1">$B107*('Updated Population'!D$103/'Updated Population'!$B$103)*('Total Distance Tables Sup #1'!D173/'Total Distance Tables Sup #1'!$B173)</f>
        <v>547.61923545612945</v>
      </c>
      <c r="E107" s="4">
        <f ca="1">$B107*('Updated Population'!E$103/'Updated Population'!$B$103)*('Total Distance Tables Sup #1'!E173/'Total Distance Tables Sup #1'!$B173)</f>
        <v>551.8355498972378</v>
      </c>
      <c r="F107" s="4">
        <f ca="1">$B107*('Updated Population'!F$103/'Updated Population'!$B$103)*('Total Distance Tables Sup #1'!F173/'Total Distance Tables Sup #1'!$B173)</f>
        <v>551.38065726227978</v>
      </c>
      <c r="G107" s="4">
        <f ca="1">$B107*('Updated Population'!G$103/'Updated Population'!$B$103)*('Total Distance Tables Sup #1'!G173/'Total Distance Tables Sup #1'!$B173)</f>
        <v>546.50683666318764</v>
      </c>
      <c r="H107" s="4">
        <f ca="1">$B107*('Updated Population'!H$103/'Updated Population'!$B$103)*('Total Distance Tables Sup #1'!H173/'Total Distance Tables Sup #1'!$B173)</f>
        <v>537.95505825376301</v>
      </c>
      <c r="I107" s="1">
        <f ca="1">$B107*('Updated Population'!I$103/'Updated Population'!$B$103)*('Total Distance Tables Sup #1'!I173/'Total Distance Tables Sup #1'!$B173)</f>
        <v>537.13608293781942</v>
      </c>
      <c r="J107" s="1">
        <f ca="1">$B107*('Updated Population'!J$103/'Updated Population'!$B$103)*('Total Distance Tables Sup #1'!J173/'Total Distance Tables Sup #1'!$B173)</f>
        <v>534.63640072508633</v>
      </c>
      <c r="K107" s="1">
        <f ca="1">$B107*('Updated Population'!K$103/'Updated Population'!$B$103)*('Total Distance Tables Sup #1'!K173/'Total Distance Tables Sup #1'!$B173)</f>
        <v>531.02982723790024</v>
      </c>
    </row>
    <row r="108" spans="1:11" x14ac:dyDescent="0.2">
      <c r="A108" t="str">
        <f ca="1">OFFSET(Nelson_Reference,28,2)</f>
        <v>Taxi/Vehicle Share</v>
      </c>
      <c r="B108" s="4">
        <f ca="1">OFFSET(Nelson_Reference,28,6)</f>
        <v>2.5483198348</v>
      </c>
      <c r="C108" s="4">
        <f ca="1">$B108*('Updated Population'!C$103/'Updated Population'!$B$103)*('Total Distance Tables Sup #1'!C174/'Total Distance Tables Sup #1'!$B174)</f>
        <v>2.8428251766662278</v>
      </c>
      <c r="D108" s="4">
        <f ca="1">$B108*('Updated Population'!D$103/'Updated Population'!$B$103)*('Total Distance Tables Sup #1'!D174/'Total Distance Tables Sup #1'!$B174)</f>
        <v>3.0903890400833567</v>
      </c>
      <c r="E108" s="4">
        <f ca="1">$B108*('Updated Population'!E$103/'Updated Population'!$B$103)*('Total Distance Tables Sup #1'!E174/'Total Distance Tables Sup #1'!$B174)</f>
        <v>3.3113813455022205</v>
      </c>
      <c r="F108" s="4">
        <f ca="1">$B108*('Updated Population'!F$103/'Updated Population'!$B$103)*('Total Distance Tables Sup #1'!F174/'Total Distance Tables Sup #1'!$B174)</f>
        <v>3.4862173546745274</v>
      </c>
      <c r="G108" s="4">
        <f ca="1">$B108*('Updated Population'!G$103/'Updated Population'!$B$103)*('Total Distance Tables Sup #1'!G174/'Total Distance Tables Sup #1'!$B174)</f>
        <v>3.5948450672320358</v>
      </c>
      <c r="H108" s="4">
        <f ca="1">$B108*('Updated Population'!H$103/'Updated Population'!$B$103)*('Total Distance Tables Sup #1'!H174/'Total Distance Tables Sup #1'!$B174)</f>
        <v>3.6786465036447464</v>
      </c>
      <c r="I108" s="1">
        <f ca="1">$B108*('Updated Population'!I$103/'Updated Population'!$B$103)*('Total Distance Tables Sup #1'!I174/'Total Distance Tables Sup #1'!$B174)</f>
        <v>3.6730461832530272</v>
      </c>
      <c r="J108" s="1">
        <f ca="1">$B108*('Updated Population'!J$103/'Updated Population'!$B$103)*('Total Distance Tables Sup #1'!J174/'Total Distance Tables Sup #1'!$B174)</f>
        <v>3.655952846010428</v>
      </c>
      <c r="K108" s="1">
        <f ca="1">$B108*('Updated Population'!K$103/'Updated Population'!$B$103)*('Total Distance Tables Sup #1'!K174/'Total Distance Tables Sup #1'!$B174)</f>
        <v>3.6312903602781783</v>
      </c>
    </row>
    <row r="109" spans="1:11" x14ac:dyDescent="0.2">
      <c r="A109" t="str">
        <f ca="1">OFFSET(Nelson_Reference,35,2)</f>
        <v>Motorcyclist</v>
      </c>
      <c r="B109" s="4">
        <f ca="1">OFFSET(Nelson_Reference,35,6)</f>
        <v>34.127286998000002</v>
      </c>
      <c r="C109" s="4">
        <f ca="1">$B109*('Updated Population'!C$103/'Updated Population'!$B$103)*('Total Distance Tables Sup #1'!C175/'Total Distance Tables Sup #1'!$B175)</f>
        <v>36.097395319740663</v>
      </c>
      <c r="D109" s="4">
        <f ca="1">$B109*('Updated Population'!D$103/'Updated Population'!$B$103)*('Total Distance Tables Sup #1'!D175/'Total Distance Tables Sup #1'!$B175)</f>
        <v>36.871422388686575</v>
      </c>
      <c r="E109" s="4">
        <f ca="1">$B109*('Updated Population'!E$103/'Updated Population'!$B$103)*('Total Distance Tables Sup #1'!E175/'Total Distance Tables Sup #1'!$B175)</f>
        <v>37.023557734997908</v>
      </c>
      <c r="F109" s="4">
        <f ca="1">$B109*('Updated Population'!F$103/'Updated Population'!$B$103)*('Total Distance Tables Sup #1'!F175/'Total Distance Tables Sup #1'!$B175)</f>
        <v>36.740131297427446</v>
      </c>
      <c r="G109" s="4">
        <f ca="1">$B109*('Updated Population'!G$103/'Updated Population'!$B$103)*('Total Distance Tables Sup #1'!G175/'Total Distance Tables Sup #1'!$B175)</f>
        <v>35.74868910332026</v>
      </c>
      <c r="H109" s="4">
        <f ca="1">$B109*('Updated Population'!H$103/'Updated Population'!$B$103)*('Total Distance Tables Sup #1'!H175/'Total Distance Tables Sup #1'!$B175)</f>
        <v>34.524768973184948</v>
      </c>
      <c r="I109" s="1">
        <f ca="1">$B109*('Updated Population'!I$103/'Updated Population'!$B$103)*('Total Distance Tables Sup #1'!I175/'Total Distance Tables Sup #1'!$B175)</f>
        <v>34.472208943970848</v>
      </c>
      <c r="J109" s="1">
        <f ca="1">$B109*('Updated Population'!J$103/'Updated Population'!$B$103)*('Total Distance Tables Sup #1'!J175/'Total Distance Tables Sup #1'!$B175)</f>
        <v>34.311784853562379</v>
      </c>
      <c r="K109" s="1">
        <f ca="1">$B109*('Updated Population'!K$103/'Updated Population'!$B$103)*('Total Distance Tables Sup #1'!K175/'Total Distance Tables Sup #1'!$B175)</f>
        <v>34.0803229228314</v>
      </c>
    </row>
    <row r="110" spans="1:11" x14ac:dyDescent="0.2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Distance Tables Sup #1'!C176/'Total Distance Tables Sup #1'!$B176)</f>
        <v>0</v>
      </c>
      <c r="D110" s="4">
        <f ca="1">$B110*('Updated Population'!D$103/'Updated Population'!$B$103)*('Total Distance Tables Sup #1'!D176/'Total Distance Tables Sup #1'!$B176)</f>
        <v>0</v>
      </c>
      <c r="E110" s="4">
        <f ca="1">$B110*('Updated Population'!E$103/'Updated Population'!$B$103)*('Total Distance Tables Sup #1'!E176/'Total Distance Tables Sup #1'!$B176)</f>
        <v>0</v>
      </c>
      <c r="F110" s="4">
        <f ca="1">$B110*('Updated Population'!F$103/'Updated Population'!$B$103)*('Total Distance Tables Sup #1'!F176/'Total Distance Tables Sup #1'!$B176)</f>
        <v>0</v>
      </c>
      <c r="G110" s="4">
        <f ca="1">$B110*('Updated Population'!G$103/'Updated Population'!$B$103)*('Total Distance Tables Sup #1'!G176/'Total Distance Tables Sup #1'!$B176)</f>
        <v>0</v>
      </c>
      <c r="H110" s="4">
        <f ca="1">$B110*('Updated Population'!H$103/'Updated Population'!$B$103)*('Total Distance Tables Sup #1'!H176/'Total Distance Tables Sup #1'!$B176)</f>
        <v>0</v>
      </c>
      <c r="I110" s="1">
        <f ca="1">$B110*('Updated Population'!I$103/'Updated Population'!$B$103)*('Total Distance Tables Sup #1'!I176/'Total Distance Tables Sup #1'!$B176)</f>
        <v>0</v>
      </c>
      <c r="J110" s="1">
        <f ca="1">$B110*('Updated Population'!J$103/'Updated Population'!$B$103)*('Total Distance Tables Sup #1'!J176/'Total Distance Tables Sup #1'!$B176)</f>
        <v>0</v>
      </c>
      <c r="K110" s="1">
        <f ca="1">$B110*('Updated Population'!K$103/'Updated Population'!$B$103)*('Total Distance Tables Sup #1'!K176/'Total Distance Tables Sup #1'!$B176)</f>
        <v>0</v>
      </c>
    </row>
    <row r="111" spans="1:11" x14ac:dyDescent="0.2">
      <c r="A111" t="str">
        <f ca="1">OFFSET(Nelson_Reference,49,2)</f>
        <v>Local Bus</v>
      </c>
      <c r="B111" s="4">
        <f ca="1">OFFSET(Nelson_Reference,49,6)</f>
        <v>19.807462209000001</v>
      </c>
      <c r="C111" s="4">
        <f ca="1">$B111*('Updated Population'!C$103/'Updated Population'!$B$103)*('Total Distance Tables Sup #1'!C177/'Total Distance Tables Sup #1'!$B177)</f>
        <v>18.892482513401571</v>
      </c>
      <c r="D111" s="4">
        <f ca="1">$B111*('Updated Population'!D$103/'Updated Population'!$B$103)*('Total Distance Tables Sup #1'!D177/'Total Distance Tables Sup #1'!$B177)</f>
        <v>18.279298913498177</v>
      </c>
      <c r="E111" s="4">
        <f ca="1">$B111*('Updated Population'!E$103/'Updated Population'!$B$103)*('Total Distance Tables Sup #1'!E177/'Total Distance Tables Sup #1'!$B177)</f>
        <v>17.847767757861881</v>
      </c>
      <c r="F111" s="4">
        <f ca="1">$B111*('Updated Population'!F$103/'Updated Population'!$B$103)*('Total Distance Tables Sup #1'!F177/'Total Distance Tables Sup #1'!$B177)</f>
        <v>17.107316671109672</v>
      </c>
      <c r="G111" s="4">
        <f ca="1">$B111*('Updated Population'!G$103/'Updated Population'!$B$103)*('Total Distance Tables Sup #1'!G177/'Total Distance Tables Sup #1'!$B177)</f>
        <v>16.540018030917928</v>
      </c>
      <c r="H111" s="4">
        <f ca="1">$B111*('Updated Population'!H$103/'Updated Population'!$B$103)*('Total Distance Tables Sup #1'!H177/'Total Distance Tables Sup #1'!$B177)</f>
        <v>15.899499043853952</v>
      </c>
      <c r="I111" s="1">
        <f ca="1">$B111*('Updated Population'!I$103/'Updated Population'!$B$103)*('Total Distance Tables Sup #1'!I177/'Total Distance Tables Sup #1'!$B177)</f>
        <v>15.875293867133331</v>
      </c>
      <c r="J111" s="1">
        <f ca="1">$B111*('Updated Population'!J$103/'Updated Population'!$B$103)*('Total Distance Tables Sup #1'!J177/'Total Distance Tables Sup #1'!$B177)</f>
        <v>15.801414656702073</v>
      </c>
      <c r="K111" s="1">
        <f ca="1">$B111*('Updated Population'!K$103/'Updated Population'!$B$103)*('Total Distance Tables Sup #1'!K177/'Total Distance Tables Sup #1'!$B177)</f>
        <v>15.694820786393942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Distance Tables Sup #1'!C178/'Total Distance Tables Sup #1'!$B178)</f>
        <v>0</v>
      </c>
      <c r="D112" s="4">
        <f ca="1">$B112*('Updated Population'!D$103/'Updated Population'!$B$103)*('Total Distance Tables Sup #1'!D178/'Total Distance Tables Sup #1'!$B178)</f>
        <v>0</v>
      </c>
      <c r="E112" s="4">
        <f ca="1">$B112*('Updated Population'!E$103/'Updated Population'!$B$103)*('Total Distance Tables Sup #1'!E178/'Total Distance Tables Sup #1'!$B178)</f>
        <v>0</v>
      </c>
      <c r="F112" s="4">
        <f ca="1">$B112*('Updated Population'!F$103/'Updated Population'!$B$103)*('Total Distance Tables Sup #1'!F178/'Total Distance Tables Sup #1'!$B178)</f>
        <v>0</v>
      </c>
      <c r="G112" s="4">
        <f ca="1">$B112*('Updated Population'!G$103/'Updated Population'!$B$103)*('Total Distance Tables Sup #1'!G178/'Total Distance Tables Sup #1'!$B178)</f>
        <v>0</v>
      </c>
      <c r="H112" s="4">
        <f ca="1">$B112*('Updated Population'!H$103/'Updated Population'!$B$103)*('Total Distance Tables Sup #1'!H178/'Total Distance Tables Sup #1'!$B178)</f>
        <v>0</v>
      </c>
      <c r="I112" s="1">
        <f ca="1">$B112*('Updated Population'!I$103/'Updated Population'!$B$103)*('Total Distance Tables Sup #1'!I178/'Total Distance Tables Sup #1'!$B178)</f>
        <v>0</v>
      </c>
      <c r="J112" s="1">
        <f ca="1">$B112*('Updated Population'!J$103/'Updated Population'!$B$103)*('Total Distance Tables Sup #1'!J178/'Total Distance Tables Sup #1'!$B178)</f>
        <v>0</v>
      </c>
      <c r="K112" s="1">
        <f ca="1">$B112*('Updated Population'!K$103/'Updated Population'!$B$103)*('Total Distance Tables Sup #1'!K178/'Total Distance Tables Sup #1'!$B178)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OFFSET(Nelson_Reference,56,6)</f>
        <v>0</v>
      </c>
      <c r="C113" s="4">
        <f ca="1">$B113*('Updated Population'!C$103/'Updated Population'!$B$103)*('Total Distance Tables Sup #1'!C179/'Total Distance Tables Sup #1'!$B179)</f>
        <v>0</v>
      </c>
      <c r="D113" s="4">
        <f ca="1">$B113*('Updated Population'!D$103/'Updated Population'!$B$103)*('Total Distance Tables Sup #1'!D179/'Total Distance Tables Sup #1'!$B179)</f>
        <v>0</v>
      </c>
      <c r="E113" s="4">
        <f ca="1">$B113*('Updated Population'!E$103/'Updated Population'!$B$103)*('Total Distance Tables Sup #1'!E179/'Total Distance Tables Sup #1'!$B179)</f>
        <v>0</v>
      </c>
      <c r="F113" s="4">
        <f ca="1">$B113*('Updated Population'!F$103/'Updated Population'!$B$103)*('Total Distance Tables Sup #1'!F179/'Total Distance Tables Sup #1'!$B179)</f>
        <v>0</v>
      </c>
      <c r="G113" s="4">
        <f ca="1">$B113*('Updated Population'!G$103/'Updated Population'!$B$103)*('Total Distance Tables Sup #1'!G179/'Total Distance Tables Sup #1'!$B179)</f>
        <v>0</v>
      </c>
      <c r="H113" s="4">
        <f ca="1">$B113*('Updated Population'!H$103/'Updated Population'!$B$103)*('Total Distance Tables Sup #1'!H179/'Total Distance Tables Sup #1'!$B179)</f>
        <v>0</v>
      </c>
      <c r="I113" s="1">
        <f ca="1">$B113*('Updated Population'!I$103/'Updated Population'!$B$103)*('Total Distance Tables Sup #1'!I179/'Total Distance Tables Sup #1'!$B179)</f>
        <v>0</v>
      </c>
      <c r="J113" s="1">
        <f ca="1">$B113*('Updated Population'!J$103/'Updated Population'!$B$103)*('Total Distance Tables Sup #1'!J179/'Total Distance Tables Sup #1'!$B179)</f>
        <v>0</v>
      </c>
      <c r="K113" s="1">
        <f ca="1">$B113*('Updated Population'!K$103/'Updated Population'!$B$103)*('Total Distance Tables Sup #1'!K179/'Total Distance Tables Sup #1'!$B179)</f>
        <v>0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OFFSET(West_Coast_Reference,0,6)</f>
        <v>4.6474841125999999</v>
      </c>
      <c r="C115" s="4">
        <f ca="1">$B115*('Updated Population'!C$114/'Updated Population'!$B$114)*('Total Distance Tables Sup #1'!C170/'Total Distance Tables Sup #1'!$B170)</f>
        <v>4.5065732122611646</v>
      </c>
      <c r="D115" s="4">
        <f ca="1">$B115*('Updated Population'!D$114/'Updated Population'!$B$114)*('Total Distance Tables Sup #1'!D170/'Total Distance Tables Sup #1'!$B170)</f>
        <v>4.4211838963339636</v>
      </c>
      <c r="E115" s="4">
        <f ca="1">$B115*('Updated Population'!E$114/'Updated Population'!$B$114)*('Total Distance Tables Sup #1'!E170/'Total Distance Tables Sup #1'!$B170)</f>
        <v>4.2853606060930494</v>
      </c>
      <c r="F115" s="4">
        <f ca="1">$B115*('Updated Population'!F$114/'Updated Population'!$B$114)*('Total Distance Tables Sup #1'!F170/'Total Distance Tables Sup #1'!$B170)</f>
        <v>4.1117512794725011</v>
      </c>
      <c r="G115" s="4">
        <f ca="1">$B115*('Updated Population'!G$114/'Updated Population'!$B$114)*('Total Distance Tables Sup #1'!G170/'Total Distance Tables Sup #1'!$B170)</f>
        <v>3.9340306296707248</v>
      </c>
      <c r="H115" s="4">
        <f ca="1">$B115*('Updated Population'!H$114/'Updated Population'!$B$114)*('Total Distance Tables Sup #1'!H170/'Total Distance Tables Sup #1'!$B170)</f>
        <v>3.7538309057184667</v>
      </c>
      <c r="I115" s="1">
        <f ca="1">$B115*('Updated Population'!I$114/'Updated Population'!$B$114)*('Total Distance Tables Sup #1'!I170/'Total Distance Tables Sup #1'!$B170)</f>
        <v>3.6572921009683386</v>
      </c>
      <c r="J115" s="1">
        <f ca="1">$B115*('Updated Population'!J$114/'Updated Population'!$B$114)*('Total Distance Tables Sup #1'!J170/'Total Distance Tables Sup #1'!$B170)</f>
        <v>3.5518936299191766</v>
      </c>
      <c r="K115" s="1">
        <f ca="1">$B115*('Updated Population'!K$114/'Updated Population'!$B$114)*('Total Distance Tables Sup #1'!K170/'Total Distance Tables Sup #1'!$B170)</f>
        <v>3.4421193393657834</v>
      </c>
    </row>
    <row r="116" spans="1:11" x14ac:dyDescent="0.2">
      <c r="A116" t="str">
        <f ca="1">OFFSET(West_Coast_Reference,7,2)</f>
        <v>Cyclist</v>
      </c>
      <c r="B116" s="4">
        <f ca="1">OFFSET(West_Coast_Reference,7,6)</f>
        <v>1.9571055828999999</v>
      </c>
      <c r="C116" s="4">
        <f ca="1">$B116*('Updated Population'!C$114/'Updated Population'!$B$114)*('Total Distance Tables Sup #1'!C171/'Total Distance Tables Sup #1'!$B171)</f>
        <v>1.9673191532793697</v>
      </c>
      <c r="D116" s="4">
        <f ca="1">$B116*('Updated Population'!D$114/'Updated Population'!$B$114)*('Total Distance Tables Sup #1'!D171/'Total Distance Tables Sup #1'!$B171)</f>
        <v>1.9585981459902884</v>
      </c>
      <c r="E116" s="4">
        <f ca="1">$B116*('Updated Population'!E$114/'Updated Population'!$B$114)*('Total Distance Tables Sup #1'!E171/'Total Distance Tables Sup #1'!$B171)</f>
        <v>1.9137718274059554</v>
      </c>
      <c r="F116" s="4">
        <f ca="1">$B116*('Updated Population'!F$114/'Updated Population'!$B$114)*('Total Distance Tables Sup #1'!F171/'Total Distance Tables Sup #1'!$B171)</f>
        <v>1.8915251067616676</v>
      </c>
      <c r="G116" s="4">
        <f ca="1">$B116*('Updated Population'!G$114/'Updated Population'!$B$114)*('Total Distance Tables Sup #1'!G171/'Total Distance Tables Sup #1'!$B171)</f>
        <v>1.8933464312441308</v>
      </c>
      <c r="H116" s="4">
        <f ca="1">$B116*('Updated Population'!H$114/'Updated Population'!$B$114)*('Total Distance Tables Sup #1'!H171/'Total Distance Tables Sup #1'!$B171)</f>
        <v>1.8945101679138587</v>
      </c>
      <c r="I116" s="1">
        <f ca="1">$B116*('Updated Population'!I$114/'Updated Population'!$B$114)*('Total Distance Tables Sup #1'!I171/'Total Distance Tables Sup #1'!$B171)</f>
        <v>1.8457882750553518</v>
      </c>
      <c r="J116" s="1">
        <f ca="1">$B116*('Updated Population'!J$114/'Updated Population'!$B$114)*('Total Distance Tables Sup #1'!J171/'Total Distance Tables Sup #1'!$B171)</f>
        <v>1.7925950225886442</v>
      </c>
      <c r="K116" s="1">
        <f ca="1">$B116*('Updated Population'!K$114/'Updated Population'!$B$114)*('Total Distance Tables Sup #1'!K171/'Total Distance Tables Sup #1'!$B171)</f>
        <v>1.7371933503097672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OFFSET(West_Coast_Reference,14,6)</f>
        <v>226.22434741999999</v>
      </c>
      <c r="C117" s="4">
        <f ca="1">$B117*('Updated Population'!C$114/'Updated Population'!$B$114)*('Total Distance Tables Sup #1'!C172/'Total Distance Tables Sup #1'!$B172)</f>
        <v>226.45803967283032</v>
      </c>
      <c r="D117" s="4">
        <f ca="1">$B117*('Updated Population'!D$114/'Updated Population'!$B$114)*('Total Distance Tables Sup #1'!D172/'Total Distance Tables Sup #1'!$B172)</f>
        <v>226.7556102391807</v>
      </c>
      <c r="E117" s="4">
        <f ca="1">$B117*('Updated Population'!E$114/'Updated Population'!$B$114)*('Total Distance Tables Sup #1'!E172/'Total Distance Tables Sup #1'!$B172)</f>
        <v>226.74749633182341</v>
      </c>
      <c r="F117" s="4">
        <f ca="1">$B117*('Updated Population'!F$114/'Updated Population'!$B$114)*('Total Distance Tables Sup #1'!F172/'Total Distance Tables Sup #1'!$B172)</f>
        <v>225.22835794964175</v>
      </c>
      <c r="G117" s="4">
        <f ca="1">$B117*('Updated Population'!G$114/'Updated Population'!$B$114)*('Total Distance Tables Sup #1'!G172/'Total Distance Tables Sup #1'!$B172)</f>
        <v>221.03139185244208</v>
      </c>
      <c r="H117" s="4">
        <f ca="1">$B117*('Updated Population'!H$114/'Updated Population'!$B$114)*('Total Distance Tables Sup #1'!H172/'Total Distance Tables Sup #1'!$B172)</f>
        <v>216.01170718918036</v>
      </c>
      <c r="I117" s="1">
        <f ca="1">$B117*('Updated Population'!I$114/'Updated Population'!$B$114)*('Total Distance Tables Sup #1'!I172/'Total Distance Tables Sup #1'!$B172)</f>
        <v>210.4564457648284</v>
      </c>
      <c r="J117" s="1">
        <f ca="1">$B117*('Updated Population'!J$114/'Updated Population'!$B$114)*('Total Distance Tables Sup #1'!J172/'Total Distance Tables Sup #1'!$B172)</f>
        <v>204.39136072549539</v>
      </c>
      <c r="K117" s="1">
        <f ca="1">$B117*('Updated Population'!K$114/'Updated Population'!$B$114)*('Total Distance Tables Sup #1'!K172/'Total Distance Tables Sup #1'!$B172)</f>
        <v>198.07447205802856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OFFSET(West_Coast_Reference,21,6)</f>
        <v>160.37072223999999</v>
      </c>
      <c r="C118" s="4">
        <f ca="1">$B118*('Updated Population'!C$114/'Updated Population'!$B$114)*('Total Distance Tables Sup #1'!C173/'Total Distance Tables Sup #1'!$B173)</f>
        <v>154.49306003285542</v>
      </c>
      <c r="D118" s="4">
        <f ca="1">$B118*('Updated Population'!D$114/'Updated Population'!$B$114)*('Total Distance Tables Sup #1'!D173/'Total Distance Tables Sup #1'!$B173)</f>
        <v>151.46004942645504</v>
      </c>
      <c r="E118" s="4">
        <f ca="1">$B118*('Updated Population'!E$114/'Updated Population'!$B$114)*('Total Distance Tables Sup #1'!E173/'Total Distance Tables Sup #1'!$B173)</f>
        <v>148.40201542628486</v>
      </c>
      <c r="F118" s="4">
        <f ca="1">$B118*('Updated Population'!F$114/'Updated Population'!$B$114)*('Total Distance Tables Sup #1'!F173/'Total Distance Tables Sup #1'!$B173)</f>
        <v>144.23848331788221</v>
      </c>
      <c r="G118" s="4">
        <f ca="1">$B118*('Updated Population'!G$114/'Updated Population'!$B$114)*('Total Distance Tables Sup #1'!G173/'Total Distance Tables Sup #1'!$B173)</f>
        <v>139.13978064775367</v>
      </c>
      <c r="H118" s="4">
        <f ca="1">$B118*('Updated Population'!H$114/'Updated Population'!$B$114)*('Total Distance Tables Sup #1'!H173/'Total Distance Tables Sup #1'!$B173)</f>
        <v>133.64994987850349</v>
      </c>
      <c r="I118" s="1">
        <f ca="1">$B118*('Updated Population'!I$114/'Updated Population'!$B$114)*('Total Distance Tables Sup #1'!I173/'Total Distance Tables Sup #1'!$B173)</f>
        <v>130.21281945354747</v>
      </c>
      <c r="J118" s="1">
        <f ca="1">$B118*('Updated Population'!J$114/'Updated Population'!$B$114)*('Total Distance Tables Sup #1'!J173/'Total Distance Tables Sup #1'!$B173)</f>
        <v>126.46025288174677</v>
      </c>
      <c r="K118" s="1">
        <f ca="1">$B118*('Updated Population'!K$114/'Updated Population'!$B$114)*('Total Distance Tables Sup #1'!K173/'Total Distance Tables Sup #1'!$B173)</f>
        <v>122.55189131754858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OFFSET(West_Coast_Reference,28,6)</f>
        <v>1.6916956777000001</v>
      </c>
      <c r="C119" s="4">
        <f ca="1">$B119*('Updated Population'!C$114/'Updated Population'!$B$114)*('Total Distance Tables Sup #1'!C174/'Total Distance Tables Sup #1'!$B174)</f>
        <v>1.7725962742935766</v>
      </c>
      <c r="D119" s="4">
        <f ca="1">$B119*('Updated Population'!D$114/'Updated Population'!$B$114)*('Total Distance Tables Sup #1'!D174/'Total Distance Tables Sup #1'!$B174)</f>
        <v>1.8705066729094562</v>
      </c>
      <c r="E119" s="4">
        <f ca="1">$B119*('Updated Population'!E$114/'Updated Population'!$B$114)*('Total Distance Tables Sup #1'!E174/'Total Distance Tables Sup #1'!$B174)</f>
        <v>1.948794428984127</v>
      </c>
      <c r="F119" s="4">
        <f ca="1">$B119*('Updated Population'!F$114/'Updated Population'!$B$114)*('Total Distance Tables Sup #1'!F174/'Total Distance Tables Sup #1'!$B174)</f>
        <v>1.9957713695754076</v>
      </c>
      <c r="G119" s="4">
        <f ca="1">$B119*('Updated Population'!G$114/'Updated Population'!$B$114)*('Total Distance Tables Sup #1'!G174/'Total Distance Tables Sup #1'!$B174)</f>
        <v>2.0029153736898819</v>
      </c>
      <c r="H119" s="4">
        <f ca="1">$B119*('Updated Population'!H$114/'Updated Population'!$B$114)*('Total Distance Tables Sup #1'!H174/'Total Distance Tables Sup #1'!$B174)</f>
        <v>2.0000348757405804</v>
      </c>
      <c r="I119" s="1">
        <f ca="1">$B119*('Updated Population'!I$114/'Updated Population'!$B$114)*('Total Distance Tables Sup #1'!I174/'Total Distance Tables Sup #1'!$B174)</f>
        <v>1.948599160810419</v>
      </c>
      <c r="J119" s="1">
        <f ca="1">$B119*('Updated Population'!J$114/'Updated Population'!$B$114)*('Total Distance Tables Sup #1'!J174/'Total Distance Tables Sup #1'!$B174)</f>
        <v>1.8924430303819195</v>
      </c>
      <c r="K119" s="1">
        <f ca="1">$B119*('Updated Population'!K$114/'Updated Population'!$B$114)*('Total Distance Tables Sup #1'!K174/'Total Distance Tables Sup #1'!$B174)</f>
        <v>1.8339554705848047</v>
      </c>
    </row>
    <row r="120" spans="1:11" x14ac:dyDescent="0.2">
      <c r="A120" t="str">
        <f ca="1">OFFSET(West_Coast_Reference,35,2)</f>
        <v>Motorcyclist</v>
      </c>
      <c r="B120" s="4">
        <f ca="1">OFFSET(West_Coast_Reference,35,6)</f>
        <v>0.29466348679999999</v>
      </c>
      <c r="C120" s="4">
        <f ca="1">$B120*('Updated Population'!C$114/'Updated Population'!$B$114)*('Total Distance Tables Sup #1'!C175/'Total Distance Tables Sup #1'!$B175)</f>
        <v>0.29274655871778787</v>
      </c>
      <c r="D120" s="4">
        <f ca="1">$B120*('Updated Population'!D$114/'Updated Population'!$B$114)*('Total Distance Tables Sup #1'!D175/'Total Distance Tables Sup #1'!$B175)</f>
        <v>0.29026338284346503</v>
      </c>
      <c r="E120" s="4">
        <f ca="1">$B120*('Updated Population'!E$114/'Updated Population'!$B$114)*('Total Distance Tables Sup #1'!E175/'Total Distance Tables Sup #1'!$B175)</f>
        <v>0.28339438082861018</v>
      </c>
      <c r="F120" s="4">
        <f ca="1">$B120*('Updated Population'!F$114/'Updated Population'!$B$114)*('Total Distance Tables Sup #1'!F175/'Total Distance Tables Sup #1'!$B175)</f>
        <v>0.27356043484373588</v>
      </c>
      <c r="G120" s="4">
        <f ca="1">$B120*('Updated Population'!G$114/'Updated Population'!$B$114)*('Total Distance Tables Sup #1'!G175/'Total Distance Tables Sup #1'!$B175)</f>
        <v>0.2590590670294699</v>
      </c>
      <c r="H120" s="4">
        <f ca="1">$B120*('Updated Population'!H$114/'Updated Population'!$B$114)*('Total Distance Tables Sup #1'!H175/'Total Distance Tables Sup #1'!$B175)</f>
        <v>0.24413865462631015</v>
      </c>
      <c r="I120" s="1">
        <f ca="1">$B120*('Updated Population'!I$114/'Updated Population'!$B$114)*('Total Distance Tables Sup #1'!I175/'Total Distance Tables Sup #1'!$B175)</f>
        <v>0.23786004099056432</v>
      </c>
      <c r="J120" s="1">
        <f ca="1">$B120*('Updated Population'!J$114/'Updated Population'!$B$114)*('Total Distance Tables Sup #1'!J175/'Total Distance Tables Sup #1'!$B175)</f>
        <v>0.23100521945813632</v>
      </c>
      <c r="K120" s="1">
        <f ca="1">$B120*('Updated Population'!K$114/'Updated Population'!$B$114)*('Total Distance Tables Sup #1'!K175/'Total Distance Tables Sup #1'!$B175)</f>
        <v>0.22386580687366517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Distance Tables Sup #1'!C176/'Total Distance Tables Sup #1'!$B176)</f>
        <v>0</v>
      </c>
      <c r="D121" s="4">
        <f ca="1">$B121*('Updated Population'!D$114/'Updated Population'!$B$114)*('Total Distance Tables Sup #1'!D176/'Total Distance Tables Sup #1'!$B176)</f>
        <v>0</v>
      </c>
      <c r="E121" s="4">
        <f ca="1">$B121*('Updated Population'!E$114/'Updated Population'!$B$114)*('Total Distance Tables Sup #1'!E176/'Total Distance Tables Sup #1'!$B176)</f>
        <v>0</v>
      </c>
      <c r="F121" s="4">
        <f ca="1">$B121*('Updated Population'!F$114/'Updated Population'!$B$114)*('Total Distance Tables Sup #1'!F176/'Total Distance Tables Sup #1'!$B176)</f>
        <v>0</v>
      </c>
      <c r="G121" s="4">
        <f ca="1">$B121*('Updated Population'!G$114/'Updated Population'!$B$114)*('Total Distance Tables Sup #1'!G176/'Total Distance Tables Sup #1'!$B176)</f>
        <v>0</v>
      </c>
      <c r="H121" s="4">
        <f ca="1">$B121*('Updated Population'!H$114/'Updated Population'!$B$114)*('Total Distance Tables Sup #1'!H176/'Total Distance Tables Sup #1'!$B176)</f>
        <v>0</v>
      </c>
      <c r="I121" s="1">
        <f ca="1">$B121*('Updated Population'!I$114/'Updated Population'!$B$114)*('Total Distance Tables Sup #1'!I176/'Total Distance Tables Sup #1'!$B176)</f>
        <v>0</v>
      </c>
      <c r="J121" s="1">
        <f ca="1">$B121*('Updated Population'!J$114/'Updated Population'!$B$114)*('Total Distance Tables Sup #1'!J176/'Total Distance Tables Sup #1'!$B176)</f>
        <v>0</v>
      </c>
      <c r="K121" s="1">
        <f ca="1">$B121*('Updated Population'!K$114/'Updated Population'!$B$114)*('Total Distance Tables Sup #1'!K176/'Total Distance Tables Sup #1'!$B176)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OFFSET(West_Coast_Reference,42,6)</f>
        <v>6.0600083682000001</v>
      </c>
      <c r="C122" s="4">
        <f ca="1">$B122*('Updated Population'!C$114/'Updated Population'!$B$114)*('Total Distance Tables Sup #1'!C177/'Total Distance Tables Sup #1'!$B177)</f>
        <v>5.4290618687050216</v>
      </c>
      <c r="D122" s="4">
        <f ca="1">$B122*('Updated Population'!D$114/'Updated Population'!$B$114)*('Total Distance Tables Sup #1'!D177/'Total Distance Tables Sup #1'!$B177)</f>
        <v>5.0989614013208309</v>
      </c>
      <c r="E122" s="4">
        <f ca="1">$B122*('Updated Population'!E$114/'Updated Population'!$B$114)*('Total Distance Tables Sup #1'!E177/'Total Distance Tables Sup #1'!$B177)</f>
        <v>4.8407964386739124</v>
      </c>
      <c r="F122" s="4">
        <f ca="1">$B122*('Updated Population'!F$114/'Updated Population'!$B$114)*('Total Distance Tables Sup #1'!F177/'Total Distance Tables Sup #1'!$B177)</f>
        <v>4.5135089191828479</v>
      </c>
      <c r="G122" s="4">
        <f ca="1">$B122*('Updated Population'!G$114/'Updated Population'!$B$114)*('Total Distance Tables Sup #1'!G177/'Total Distance Tables Sup #1'!$B177)</f>
        <v>4.2471195298397069</v>
      </c>
      <c r="H122" s="4">
        <f ca="1">$B122*('Updated Population'!H$114/'Updated Population'!$B$114)*('Total Distance Tables Sup #1'!H177/'Total Distance Tables Sup #1'!$B177)</f>
        <v>3.9839055693143606</v>
      </c>
      <c r="I122" s="1">
        <f ca="1">$B122*('Updated Population'!I$114/'Updated Population'!$B$114)*('Total Distance Tables Sup #1'!I177/'Total Distance Tables Sup #1'!$B177)</f>
        <v>3.8814498403381039</v>
      </c>
      <c r="J122" s="1">
        <f ca="1">$B122*('Updated Population'!J$114/'Updated Population'!$B$114)*('Total Distance Tables Sup #1'!J177/'Total Distance Tables Sup #1'!$B177)</f>
        <v>3.7695914305279246</v>
      </c>
      <c r="K122" s="1">
        <f ca="1">$B122*('Updated Population'!K$114/'Updated Population'!$B$114)*('Total Distance Tables Sup #1'!K177/'Total Distance Tables Sup #1'!$B177)</f>
        <v>3.6530890044764517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Distance Tables Sup #1'!C178/'Total Distance Tables Sup #1'!$B178)</f>
        <v>0</v>
      </c>
      <c r="D123" s="4">
        <f ca="1">$B123*('Updated Population'!D$114/'Updated Population'!$B$114)*('Total Distance Tables Sup #1'!D178/'Total Distance Tables Sup #1'!$B178)</f>
        <v>0</v>
      </c>
      <c r="E123" s="4">
        <f ca="1">$B123*('Updated Population'!E$114/'Updated Population'!$B$114)*('Total Distance Tables Sup #1'!E178/'Total Distance Tables Sup #1'!$B178)</f>
        <v>0</v>
      </c>
      <c r="F123" s="4">
        <f ca="1">$B123*('Updated Population'!F$114/'Updated Population'!$B$114)*('Total Distance Tables Sup #1'!F178/'Total Distance Tables Sup #1'!$B178)</f>
        <v>0</v>
      </c>
      <c r="G123" s="4">
        <f ca="1">$B123*('Updated Population'!G$114/'Updated Population'!$B$114)*('Total Distance Tables Sup #1'!G178/'Total Distance Tables Sup #1'!$B178)</f>
        <v>0</v>
      </c>
      <c r="H123" s="4">
        <f ca="1">$B123*('Updated Population'!H$114/'Updated Population'!$B$114)*('Total Distance Tables Sup #1'!H178/'Total Distance Tables Sup #1'!$B178)</f>
        <v>0</v>
      </c>
      <c r="I123" s="1">
        <f ca="1">$B123*('Updated Population'!I$114/'Updated Population'!$B$114)*('Total Distance Tables Sup #1'!I178/'Total Distance Tables Sup #1'!$B178)</f>
        <v>0</v>
      </c>
      <c r="J123" s="1">
        <f ca="1">$B123*('Updated Population'!J$114/'Updated Population'!$B$114)*('Total Distance Tables Sup #1'!J178/'Total Distance Tables Sup #1'!$B178)</f>
        <v>0</v>
      </c>
      <c r="K123" s="1">
        <f ca="1">$B123*('Updated Population'!K$114/'Updated Population'!$B$114)*('Total Distance Tables Sup #1'!K178/'Total Distance Tables Sup #1'!$B178)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OFFSET(West_Coast_Reference,49,6)</f>
        <v>0</v>
      </c>
      <c r="C124" s="4">
        <f ca="1">$B124*('Updated Population'!C$114/'Updated Population'!$B$114)*('Total Distance Tables Sup #1'!C179/'Total Distance Tables Sup #1'!$B179)</f>
        <v>0</v>
      </c>
      <c r="D124" s="4">
        <f ca="1">$B124*('Updated Population'!D$114/'Updated Population'!$B$114)*('Total Distance Tables Sup #1'!D179/'Total Distance Tables Sup #1'!$B179)</f>
        <v>0</v>
      </c>
      <c r="E124" s="4">
        <f ca="1">$B124*('Updated Population'!E$114/'Updated Population'!$B$114)*('Total Distance Tables Sup #1'!E179/'Total Distance Tables Sup #1'!$B179)</f>
        <v>0</v>
      </c>
      <c r="F124" s="4">
        <f ca="1">$B124*('Updated Population'!F$114/'Updated Population'!$B$114)*('Total Distance Tables Sup #1'!F179/'Total Distance Tables Sup #1'!$B179)</f>
        <v>0</v>
      </c>
      <c r="G124" s="4">
        <f ca="1">$B124*('Updated Population'!G$114/'Updated Population'!$B$114)*('Total Distance Tables Sup #1'!G179/'Total Distance Tables Sup #1'!$B179)</f>
        <v>0</v>
      </c>
      <c r="H124" s="4">
        <f ca="1">$B124*('Updated Population'!H$114/'Updated Population'!$B$114)*('Total Distance Tables Sup #1'!H179/'Total Distance Tables Sup #1'!$B179)</f>
        <v>0</v>
      </c>
      <c r="I124" s="1">
        <f ca="1">$B124*('Updated Population'!I$114/'Updated Population'!$B$114)*('Total Distance Tables Sup #1'!I179/'Total Distance Tables Sup #1'!$B179)</f>
        <v>0</v>
      </c>
      <c r="J124" s="1">
        <f ca="1">$B124*('Updated Population'!J$114/'Updated Population'!$B$114)*('Total Distance Tables Sup #1'!J179/'Total Distance Tables Sup #1'!$B179)</f>
        <v>0</v>
      </c>
      <c r="K124" s="1">
        <f ca="1">$B124*('Updated Population'!K$114/'Updated Population'!$B$114)*('Total Distance Tables Sup #1'!K179/'Total Distance Tables Sup #1'!$B179)</f>
        <v>0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OFFSET(Canterbury_Reference,0,6)</f>
        <v>113.37513976</v>
      </c>
      <c r="C126" s="4">
        <f ca="1">$B126*('Updated Population'!C$125/'Updated Population'!$B$125)*('Total Distance Tables Sup #1'!C170/'Total Distance Tables Sup #1'!$B170)</f>
        <v>125.31625107935332</v>
      </c>
      <c r="D126" s="4">
        <f ca="1">$B126*('Updated Population'!D$125/'Updated Population'!$B$125)*('Total Distance Tables Sup #1'!D170/'Total Distance Tables Sup #1'!$B170)</f>
        <v>132.37821681293477</v>
      </c>
      <c r="E126" s="4">
        <f ca="1">$B126*('Updated Population'!E$125/'Updated Population'!$B$125)*('Total Distance Tables Sup #1'!E170/'Total Distance Tables Sup #1'!$B170)</f>
        <v>136.42232560702075</v>
      </c>
      <c r="F126" s="4">
        <f ca="1">$B126*('Updated Population'!F$125/'Updated Population'!$B$125)*('Total Distance Tables Sup #1'!F170/'Total Distance Tables Sup #1'!$B170)</f>
        <v>139.05382660840303</v>
      </c>
      <c r="G126" s="4">
        <f ca="1">$B126*('Updated Population'!G$125/'Updated Population'!$B$125)*('Total Distance Tables Sup #1'!G170/'Total Distance Tables Sup #1'!$B170)</f>
        <v>141.31869959791493</v>
      </c>
      <c r="H126" s="4">
        <f ca="1">$B126*('Updated Population'!H$125/'Updated Population'!$B$125)*('Total Distance Tables Sup #1'!H170/'Total Distance Tables Sup #1'!$B170)</f>
        <v>143.0669198214687</v>
      </c>
      <c r="I126" s="1">
        <f ca="1">$B126*('Updated Population'!I$125/'Updated Population'!$B$125)*('Total Distance Tables Sup #1'!I170/'Total Distance Tables Sup #1'!$B170)</f>
        <v>147.89841472011796</v>
      </c>
      <c r="J126" s="1">
        <f ca="1">$B126*('Updated Population'!J$125/'Updated Population'!$B$125)*('Total Distance Tables Sup #1'!J170/'Total Distance Tables Sup #1'!$B170)</f>
        <v>152.41899036653234</v>
      </c>
      <c r="K126" s="1">
        <f ca="1">$B126*('Updated Population'!K$125/'Updated Population'!$B$125)*('Total Distance Tables Sup #1'!K170/'Total Distance Tables Sup #1'!$B170)</f>
        <v>156.75284825296234</v>
      </c>
    </row>
    <row r="127" spans="1:11" x14ac:dyDescent="0.2">
      <c r="A127" t="str">
        <f ca="1">OFFSET(Canterbury_Reference,7,2)</f>
        <v>Cyclist</v>
      </c>
      <c r="B127" s="4">
        <f ca="1">OFFSET(Canterbury_Reference,7,6)</f>
        <v>97.023488555</v>
      </c>
      <c r="C127" s="4">
        <f ca="1">$B127*('Updated Population'!C$125/'Updated Population'!$B$125)*('Total Distance Tables Sup #1'!C171/'Total Distance Tables Sup #1'!$B171)</f>
        <v>111.17278670192147</v>
      </c>
      <c r="D127" s="4">
        <f ca="1">$B127*('Updated Population'!D$125/'Updated Population'!$B$125)*('Total Distance Tables Sup #1'!D171/'Total Distance Tables Sup #1'!$B171)</f>
        <v>119.17522890792478</v>
      </c>
      <c r="E127" s="4">
        <f ca="1">$B127*('Updated Population'!E$125/'Updated Population'!$B$125)*('Total Distance Tables Sup #1'!E171/'Total Distance Tables Sup #1'!$B171)</f>
        <v>123.80863666558005</v>
      </c>
      <c r="F127" s="4">
        <f ca="1">$B127*('Updated Population'!F$125/'Updated Population'!$B$125)*('Total Distance Tables Sup #1'!F171/'Total Distance Tables Sup #1'!$B171)</f>
        <v>129.99628075360272</v>
      </c>
      <c r="G127" s="4">
        <f ca="1">$B127*('Updated Population'!G$125/'Updated Population'!$B$125)*('Total Distance Tables Sup #1'!G171/'Total Distance Tables Sup #1'!$B171)</f>
        <v>138.21484448098721</v>
      </c>
      <c r="H127" s="4">
        <f ca="1">$B127*('Updated Population'!H$125/'Updated Population'!$B$125)*('Total Distance Tables Sup #1'!H171/'Total Distance Tables Sup #1'!$B171)</f>
        <v>146.73177476056142</v>
      </c>
      <c r="I127" s="1">
        <f ca="1">$B127*('Updated Population'!I$125/'Updated Population'!$B$125)*('Total Distance Tables Sup #1'!I171/'Total Distance Tables Sup #1'!$B171)</f>
        <v>151.6870350129669</v>
      </c>
      <c r="J127" s="1">
        <f ca="1">$B127*('Updated Population'!J$125/'Updated Population'!$B$125)*('Total Distance Tables Sup #1'!J171/'Total Distance Tables Sup #1'!$B171)</f>
        <v>156.32341139099677</v>
      </c>
      <c r="K127" s="1">
        <f ca="1">$B127*('Updated Population'!K$125/'Updated Population'!$B$125)*('Total Distance Tables Sup #1'!K171/'Total Distance Tables Sup #1'!$B171)</f>
        <v>160.76828697809603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OFFSET(Canterbury_Reference,14,6)</f>
        <v>3777.041205</v>
      </c>
      <c r="C128" s="4">
        <f ca="1">$B128*('Updated Population'!C$125/'Updated Population'!$B$125)*('Total Distance Tables Sup #1'!C172/'Total Distance Tables Sup #1'!$B172)</f>
        <v>4309.8401618318912</v>
      </c>
      <c r="D128" s="4">
        <f ca="1">$B128*('Updated Population'!D$125/'Updated Population'!$B$125)*('Total Distance Tables Sup #1'!D172/'Total Distance Tables Sup #1'!$B172)</f>
        <v>4646.7407713774955</v>
      </c>
      <c r="E128" s="4">
        <f ca="1">$B128*('Updated Population'!E$125/'Updated Population'!$B$125)*('Total Distance Tables Sup #1'!E172/'Total Distance Tables Sup #1'!$B172)</f>
        <v>4940.2967114145358</v>
      </c>
      <c r="F128" s="4">
        <f ca="1">$B128*('Updated Population'!F$125/'Updated Population'!$B$125)*('Total Distance Tables Sup #1'!F172/'Total Distance Tables Sup #1'!$B172)</f>
        <v>5213.046946422789</v>
      </c>
      <c r="G128" s="4">
        <f ca="1">$B128*('Updated Population'!G$125/'Updated Population'!$B$125)*('Total Distance Tables Sup #1'!G172/'Total Distance Tables Sup #1'!$B172)</f>
        <v>5434.108568683082</v>
      </c>
      <c r="H128" s="4">
        <f ca="1">$B128*('Updated Population'!H$125/'Updated Population'!$B$125)*('Total Distance Tables Sup #1'!H172/'Total Distance Tables Sup #1'!$B172)</f>
        <v>5634.4855275174568</v>
      </c>
      <c r="I128" s="1">
        <f ca="1">$B128*('Updated Population'!I$125/'Updated Population'!$B$125)*('Total Distance Tables Sup #1'!I172/'Total Distance Tables Sup #1'!$B172)</f>
        <v>5824.7670273686099</v>
      </c>
      <c r="J128" s="1">
        <f ca="1">$B128*('Updated Population'!J$125/'Updated Population'!$B$125)*('Total Distance Tables Sup #1'!J172/'Total Distance Tables Sup #1'!$B172)</f>
        <v>6002.8034182237052</v>
      </c>
      <c r="K128" s="1">
        <f ca="1">$B128*('Updated Population'!K$125/'Updated Population'!$B$125)*('Total Distance Tables Sup #1'!K172/'Total Distance Tables Sup #1'!$B172)</f>
        <v>6173.4861977920336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OFFSET(Canterbury_Reference,21,6)</f>
        <v>2033.7115475000001</v>
      </c>
      <c r="C129" s="4">
        <f ca="1">$B129*('Updated Population'!C$125/'Updated Population'!$B$125)*('Total Distance Tables Sup #1'!C173/'Total Distance Tables Sup #1'!$B173)</f>
        <v>2233.2342845536964</v>
      </c>
      <c r="D129" s="4">
        <f ca="1">$B129*('Updated Population'!D$125/'Updated Population'!$B$125)*('Total Distance Tables Sup #1'!D173/'Total Distance Tables Sup #1'!$B173)</f>
        <v>2357.4385946599841</v>
      </c>
      <c r="E129" s="4">
        <f ca="1">$B129*('Updated Population'!E$125/'Updated Population'!$B$125)*('Total Distance Tables Sup #1'!E173/'Total Distance Tables Sup #1'!$B173)</f>
        <v>2455.8521802099904</v>
      </c>
      <c r="F129" s="4">
        <f ca="1">$B129*('Updated Population'!F$125/'Updated Population'!$B$125)*('Total Distance Tables Sup #1'!F173/'Total Distance Tables Sup #1'!$B173)</f>
        <v>2535.7217944344288</v>
      </c>
      <c r="G129" s="4">
        <f ca="1">$B129*('Updated Population'!G$125/'Updated Population'!$B$125)*('Total Distance Tables Sup #1'!G173/'Total Distance Tables Sup #1'!$B173)</f>
        <v>2598.2297892660386</v>
      </c>
      <c r="H129" s="4">
        <f ca="1">$B129*('Updated Population'!H$125/'Updated Population'!$B$125)*('Total Distance Tables Sup #1'!H173/'Total Distance Tables Sup #1'!$B173)</f>
        <v>2647.8761605133254</v>
      </c>
      <c r="I129" s="1">
        <f ca="1">$B129*('Updated Population'!I$125/'Updated Population'!$B$125)*('Total Distance Tables Sup #1'!I173/'Total Distance Tables Sup #1'!$B173)</f>
        <v>2737.2972522495534</v>
      </c>
      <c r="J129" s="1">
        <f ca="1">$B129*('Updated Population'!J$125/'Updated Population'!$B$125)*('Total Distance Tables Sup #1'!J173/'Total Distance Tables Sup #1'!$B173)</f>
        <v>2820.963864355796</v>
      </c>
      <c r="K129" s="1">
        <f ca="1">$B129*('Updated Population'!K$125/'Updated Population'!$B$125)*('Total Distance Tables Sup #1'!K173/'Total Distance Tables Sup #1'!$B173)</f>
        <v>2901.1747125019006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OFFSET(Canterbury_Reference,28,6)</f>
        <v>16.530142167000001</v>
      </c>
      <c r="C130" s="4">
        <f ca="1">$B130*('Updated Population'!C$125/'Updated Population'!$B$125)*('Total Distance Tables Sup #1'!C174/'Total Distance Tables Sup #1'!$B174)</f>
        <v>19.743549044815744</v>
      </c>
      <c r="D130" s="4">
        <f ca="1">$B130*('Updated Population'!D$125/'Updated Population'!$B$125)*('Total Distance Tables Sup #1'!D174/'Total Distance Tables Sup #1'!$B174)</f>
        <v>22.433221085978545</v>
      </c>
      <c r="E130" s="4">
        <f ca="1">$B130*('Updated Population'!E$125/'Updated Population'!$B$125)*('Total Distance Tables Sup #1'!E174/'Total Distance Tables Sup #1'!$B174)</f>
        <v>24.849550235010934</v>
      </c>
      <c r="F130" s="4">
        <f ca="1">$B130*('Updated Population'!F$125/'Updated Population'!$B$125)*('Total Distance Tables Sup #1'!F174/'Total Distance Tables Sup #1'!$B174)</f>
        <v>27.034685643011429</v>
      </c>
      <c r="G130" s="4">
        <f ca="1">$B130*('Updated Population'!G$125/'Updated Population'!$B$125)*('Total Distance Tables Sup #1'!G174/'Total Distance Tables Sup #1'!$B174)</f>
        <v>28.819001060074029</v>
      </c>
      <c r="H130" s="4">
        <f ca="1">$B130*('Updated Population'!H$125/'Updated Population'!$B$125)*('Total Distance Tables Sup #1'!H174/'Total Distance Tables Sup #1'!$B174)</f>
        <v>30.532088858761146</v>
      </c>
      <c r="I130" s="1">
        <f ca="1">$B130*('Updated Population'!I$125/'Updated Population'!$B$125)*('Total Distance Tables Sup #1'!I174/'Total Distance Tables Sup #1'!$B174)</f>
        <v>31.563184179400558</v>
      </c>
      <c r="J130" s="1">
        <f ca="1">$B130*('Updated Population'!J$125/'Updated Population'!$B$125)*('Total Distance Tables Sup #1'!J174/'Total Distance Tables Sup #1'!$B174)</f>
        <v>32.527925836670541</v>
      </c>
      <c r="K130" s="1">
        <f ca="1">$B130*('Updated Population'!K$125/'Updated Population'!$B$125)*('Total Distance Tables Sup #1'!K174/'Total Distance Tables Sup #1'!$B174)</f>
        <v>33.452819825126063</v>
      </c>
    </row>
    <row r="131" spans="1:11" x14ac:dyDescent="0.2">
      <c r="A131" t="str">
        <f ca="1">OFFSET(Canterbury_Reference,35,2)</f>
        <v>Motorcyclist</v>
      </c>
      <c r="B131" s="4">
        <f ca="1">OFFSET(Canterbury_Reference,35,6)</f>
        <v>12.048552727000001</v>
      </c>
      <c r="C131" s="4">
        <f ca="1">$B131*('Updated Population'!C$125/'Updated Population'!$B$125)*('Total Distance Tables Sup #1'!C175/'Total Distance Tables Sup #1'!$B175)</f>
        <v>13.644618556795455</v>
      </c>
      <c r="D131" s="4">
        <f ca="1">$B131*('Updated Population'!D$125/'Updated Population'!$B$125)*('Total Distance Tables Sup #1'!D175/'Total Distance Tables Sup #1'!$B175)</f>
        <v>14.56729237552991</v>
      </c>
      <c r="E131" s="4">
        <f ca="1">$B131*('Updated Population'!E$125/'Updated Population'!$B$125)*('Total Distance Tables Sup #1'!E175/'Total Distance Tables Sup #1'!$B175)</f>
        <v>15.121607034048326</v>
      </c>
      <c r="F131" s="4">
        <f ca="1">$B131*('Updated Population'!F$125/'Updated Population'!$B$125)*('Total Distance Tables Sup #1'!F175/'Total Distance Tables Sup #1'!$B175)</f>
        <v>15.506651664026155</v>
      </c>
      <c r="G131" s="4">
        <f ca="1">$B131*('Updated Population'!G$125/'Updated Population'!$B$125)*('Total Distance Tables Sup #1'!G175/'Total Distance Tables Sup #1'!$B175)</f>
        <v>15.598014867369248</v>
      </c>
      <c r="H131" s="4">
        <f ca="1">$B131*('Updated Population'!H$125/'Updated Population'!$B$125)*('Total Distance Tables Sup #1'!H175/'Total Distance Tables Sup #1'!$B175)</f>
        <v>15.595873566344125</v>
      </c>
      <c r="I131" s="1">
        <f ca="1">$B131*('Updated Population'!I$125/'Updated Population'!$B$125)*('Total Distance Tables Sup #1'!I175/'Total Distance Tables Sup #1'!$B175)</f>
        <v>16.122559844833944</v>
      </c>
      <c r="J131" s="1">
        <f ca="1">$B131*('Updated Population'!J$125/'Updated Population'!$B$125)*('Total Distance Tables Sup #1'!J175/'Total Distance Tables Sup #1'!$B175)</f>
        <v>16.615352492614097</v>
      </c>
      <c r="K131" s="1">
        <f ca="1">$B131*('Updated Population'!K$125/'Updated Population'!$B$125)*('Total Distance Tables Sup #1'!K175/'Total Distance Tables Sup #1'!$B175)</f>
        <v>17.087790843391559</v>
      </c>
    </row>
    <row r="132" spans="1:11" x14ac:dyDescent="0.2">
      <c r="A132" t="str">
        <f ca="1">OFFSET(Canterbury_Reference,42,2)</f>
        <v>Local Train</v>
      </c>
      <c r="B132" s="4">
        <f ca="1">OFFSET(Canterbury_Reference,42,6)</f>
        <v>0</v>
      </c>
      <c r="C132" s="4">
        <f ca="1">OFFSET(Canterbury_Reference,43,6)</f>
        <v>0</v>
      </c>
      <c r="D132" s="4">
        <f ca="1">OFFSET(Canterbury_Reference,44,6)</f>
        <v>0</v>
      </c>
      <c r="E132" s="4">
        <f ca="1">OFFSET(Canterbury_Reference,45,6)</f>
        <v>0</v>
      </c>
      <c r="F132" s="4">
        <f ca="1">OFFSET(Canterbury_Reference,46,6)</f>
        <v>0</v>
      </c>
      <c r="G132" s="4">
        <f ca="1">OFFSET(Canterbury_Reference,47,6)</f>
        <v>0</v>
      </c>
      <c r="H132" s="4">
        <f ca="1">OFFSET(Canterbury_Reference,48,6)</f>
        <v>0</v>
      </c>
      <c r="I132" s="1">
        <f ca="1">OFFSET(Canterbury_Reference,48,6)</f>
        <v>0</v>
      </c>
      <c r="J132" s="1">
        <f ca="1">OFFSET(Canterbury_Reference,48,6)</f>
        <v>0</v>
      </c>
      <c r="K132" s="1">
        <f ca="1">OFFSET(Canterbury_Reference,48,6)</f>
        <v>0</v>
      </c>
    </row>
    <row r="133" spans="1:11" x14ac:dyDescent="0.2">
      <c r="A133" t="str">
        <f ca="1">OFFSET(Canterbury_Reference,49,2)</f>
        <v>Local Bus</v>
      </c>
      <c r="B133" s="4">
        <f ca="1">OFFSET(Canterbury_Reference,49,6)</f>
        <v>174.53993166999999</v>
      </c>
      <c r="C133" s="4">
        <f ca="1">OFFSET(Canterbury_Reference,50,6)</f>
        <v>178.40772453</v>
      </c>
      <c r="D133" s="4">
        <f ca="1">OFFSET(Canterbury_Reference,51,6)</f>
        <v>176.99843539</v>
      </c>
      <c r="E133" s="4">
        <f ca="1">OFFSET(Canterbury_Reference,52,6)</f>
        <v>177.62065634000001</v>
      </c>
      <c r="F133" s="4">
        <f ca="1">OFFSET(Canterbury_Reference,53,6)</f>
        <v>174.22242717</v>
      </c>
      <c r="G133" s="4">
        <f ca="1">OFFSET(Canterbury_Reference,54,6)</f>
        <v>170.48597458</v>
      </c>
      <c r="H133" s="4">
        <f ca="1">OFFSET(Canterbury_Reference,55,6)</f>
        <v>166.02331469000001</v>
      </c>
      <c r="I133" s="1">
        <f ca="1">OFFSET(Canterbury_Reference,55,6)</f>
        <v>166.02331469000001</v>
      </c>
      <c r="J133" s="1">
        <f ca="1">OFFSET(Canterbury_Reference,55,6)</f>
        <v>166.02331469000001</v>
      </c>
      <c r="K133" s="1">
        <f ca="1">OFFSET(Canterbury_Reference,55,6)</f>
        <v>166.02331469000001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Distance Tables Sup #1'!C178/'Total Distance Tables Sup #1'!$B178)</f>
        <v>0</v>
      </c>
      <c r="D134" s="4">
        <f ca="1">$B134*('Updated Population'!D$125/'Updated Population'!$B$125)*('Total Distance Tables Sup #1'!D178/'Total Distance Tables Sup #1'!$B178)</f>
        <v>0</v>
      </c>
      <c r="E134" s="4">
        <f ca="1">$B134*('Updated Population'!E$125/'Updated Population'!$B$125)*('Total Distance Tables Sup #1'!E178/'Total Distance Tables Sup #1'!$B178)</f>
        <v>0</v>
      </c>
      <c r="F134" s="4">
        <f ca="1">$B134*('Updated Population'!F$125/'Updated Population'!$B$125)*('Total Distance Tables Sup #1'!F178/'Total Distance Tables Sup #1'!$B178)</f>
        <v>0</v>
      </c>
      <c r="G134" s="4">
        <f ca="1">$B134*('Updated Population'!G$125/'Updated Population'!$B$125)*('Total Distance Tables Sup #1'!G178/'Total Distance Tables Sup #1'!$B178)</f>
        <v>0</v>
      </c>
      <c r="H134" s="4">
        <f ca="1">$B134*('Updated Population'!H$125/'Updated Population'!$B$125)*('Total Distance Tables Sup #1'!H178/'Total Distance Tables Sup #1'!$B178)</f>
        <v>0</v>
      </c>
      <c r="I134" s="1">
        <f ca="1">$B134*('Updated Population'!I$125/'Updated Population'!$B$125)*('Total Distance Tables Sup #1'!I178/'Total Distance Tables Sup #1'!$B178)</f>
        <v>0</v>
      </c>
      <c r="J134" s="1">
        <f ca="1">$B134*('Updated Population'!J$125/'Updated Population'!$B$125)*('Total Distance Tables Sup #1'!J178/'Total Distance Tables Sup #1'!$B178)</f>
        <v>0</v>
      </c>
      <c r="K134" s="1">
        <f ca="1">$B134*('Updated Population'!K$125/'Updated Population'!$B$125)*('Total Distance Tables Sup #1'!K178/'Total Distance Tables Sup #1'!$B178)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OFFSET(Canterbury_Reference,56,6)</f>
        <v>0</v>
      </c>
      <c r="C135" s="4">
        <f ca="1">$B135*('Updated Population'!C$125/'Updated Population'!$B$125)*('Total Distance Tables Sup #1'!C179/'Total Distance Tables Sup #1'!$B179)</f>
        <v>0</v>
      </c>
      <c r="D135" s="4">
        <f ca="1">$B135*('Updated Population'!D$125/'Updated Population'!$B$125)*('Total Distance Tables Sup #1'!D179/'Total Distance Tables Sup #1'!$B179)</f>
        <v>0</v>
      </c>
      <c r="E135" s="4">
        <f ca="1">$B135*('Updated Population'!E$125/'Updated Population'!$B$125)*('Total Distance Tables Sup #1'!E179/'Total Distance Tables Sup #1'!$B179)</f>
        <v>0</v>
      </c>
      <c r="F135" s="4">
        <f ca="1">$B135*('Updated Population'!F$125/'Updated Population'!$B$125)*('Total Distance Tables Sup #1'!F179/'Total Distance Tables Sup #1'!$B179)</f>
        <v>0</v>
      </c>
      <c r="G135" s="4">
        <f ca="1">$B135*('Updated Population'!G$125/'Updated Population'!$B$125)*('Total Distance Tables Sup #1'!G179/'Total Distance Tables Sup #1'!$B179)</f>
        <v>0</v>
      </c>
      <c r="H135" s="4">
        <f ca="1">$B135*('Updated Population'!H$125/'Updated Population'!$B$125)*('Total Distance Tables Sup #1'!H179/'Total Distance Tables Sup #1'!$B179)</f>
        <v>0</v>
      </c>
      <c r="I135" s="1">
        <f ca="1">$B135*('Updated Population'!I$125/'Updated Population'!$B$125)*('Total Distance Tables Sup #1'!I179/'Total Distance Tables Sup #1'!$B179)</f>
        <v>0</v>
      </c>
      <c r="J135" s="1">
        <f ca="1">$B135*('Updated Population'!J$125/'Updated Population'!$B$125)*('Total Distance Tables Sup #1'!J179/'Total Distance Tables Sup #1'!$B179)</f>
        <v>0</v>
      </c>
      <c r="K135" s="1">
        <f ca="1">$B135*('Updated Population'!K$125/'Updated Population'!$B$125)*('Total Distance Tables Sup #1'!K179/'Total Distance Tables Sup #1'!$B179)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OFFSET(Otago_Reference,0,6)</f>
        <v>45.829100335</v>
      </c>
      <c r="C137" s="4">
        <f ca="1">$B137*('Updated Population'!C$136/'Updated Population'!$B$136)*('Total Distance Tables Sup #1'!C170/'Total Distance Tables Sup #1'!$B170)</f>
        <v>50.542999208197664</v>
      </c>
      <c r="D137" s="4">
        <f ca="1">$B137*('Updated Population'!D$136/'Updated Population'!$B$136)*('Total Distance Tables Sup #1'!D170/'Total Distance Tables Sup #1'!$B170)</f>
        <v>53.248131802372747</v>
      </c>
      <c r="E137" s="4">
        <f ca="1">$B137*('Updated Population'!E$136/'Updated Population'!$B$136)*('Total Distance Tables Sup #1'!E170/'Total Distance Tables Sup #1'!$B170)</f>
        <v>54.603851950466172</v>
      </c>
      <c r="F137" s="4">
        <f ca="1">$B137*('Updated Population'!F$136/'Updated Population'!$B$136)*('Total Distance Tables Sup #1'!F170/'Total Distance Tables Sup #1'!$B170)</f>
        <v>55.398382364221277</v>
      </c>
      <c r="G137" s="4">
        <f ca="1">$B137*('Updated Population'!G$136/'Updated Population'!$B$136)*('Total Distance Tables Sup #1'!G170/'Total Distance Tables Sup #1'!$B170)</f>
        <v>56.017771358953006</v>
      </c>
      <c r="H137" s="4">
        <f ca="1">$B137*('Updated Population'!H$136/'Updated Population'!$B$136)*('Total Distance Tables Sup #1'!H170/'Total Distance Tables Sup #1'!$B170)</f>
        <v>56.444125943798554</v>
      </c>
      <c r="I137" s="1">
        <f ca="1">$B137*('Updated Population'!I$136/'Updated Population'!$B$136)*('Total Distance Tables Sup #1'!I170/'Total Distance Tables Sup #1'!$B170)</f>
        <v>58.073012138925336</v>
      </c>
      <c r="J137" s="1">
        <f ca="1">$B137*('Updated Population'!J$136/'Updated Population'!$B$136)*('Total Distance Tables Sup #1'!J170/'Total Distance Tables Sup #1'!$B170)</f>
        <v>59.56105391849399</v>
      </c>
      <c r="K137" s="1">
        <f ca="1">$B137*('Updated Population'!K$136/'Updated Population'!$B$136)*('Total Distance Tables Sup #1'!K170/'Total Distance Tables Sup #1'!$B170)</f>
        <v>60.958659492316741</v>
      </c>
    </row>
    <row r="138" spans="1:11" x14ac:dyDescent="0.2">
      <c r="A138" t="str">
        <f ca="1">OFFSET(Otago_Reference,7,2)</f>
        <v>Cyclist</v>
      </c>
      <c r="B138" s="4">
        <f ca="1">OFFSET(Otago_Reference,7,6)</f>
        <v>16.325352069000001</v>
      </c>
      <c r="C138" s="4">
        <f ca="1">$B138*('Updated Population'!C$136/'Updated Population'!$B$136)*('Total Distance Tables Sup #1'!C171/'Total Distance Tables Sup #1'!$B171)</f>
        <v>18.664410632958582</v>
      </c>
      <c r="D138" s="4">
        <f ca="1">$B138*('Updated Population'!D$136/'Updated Population'!$B$136)*('Total Distance Tables Sup #1'!D171/'Total Distance Tables Sup #1'!$B171)</f>
        <v>19.954277934875943</v>
      </c>
      <c r="E138" s="4">
        <f ca="1">$B138*('Updated Population'!E$136/'Updated Population'!$B$136)*('Total Distance Tables Sup #1'!E171/'Total Distance Tables Sup #1'!$B171)</f>
        <v>20.627706656372482</v>
      </c>
      <c r="F138" s="4">
        <f ca="1">$B138*('Updated Population'!F$136/'Updated Population'!$B$136)*('Total Distance Tables Sup #1'!F171/'Total Distance Tables Sup #1'!$B171)</f>
        <v>21.557939045136813</v>
      </c>
      <c r="G138" s="4">
        <f ca="1">$B138*('Updated Population'!G$136/'Updated Population'!$B$136)*('Total Distance Tables Sup #1'!G171/'Total Distance Tables Sup #1'!$B171)</f>
        <v>22.805681632173286</v>
      </c>
      <c r="H138" s="4">
        <f ca="1">$B138*('Updated Population'!H$136/'Updated Population'!$B$136)*('Total Distance Tables Sup #1'!H171/'Total Distance Tables Sup #1'!$B171)</f>
        <v>24.097160445939302</v>
      </c>
      <c r="I138" s="1">
        <f ca="1">$B138*('Updated Population'!I$136/'Updated Population'!$B$136)*('Total Distance Tables Sup #1'!I171/'Total Distance Tables Sup #1'!$B171)</f>
        <v>24.79256552726218</v>
      </c>
      <c r="J138" s="1">
        <f ca="1">$B138*('Updated Population'!J$136/'Updated Population'!$B$136)*('Total Distance Tables Sup #1'!J171/'Total Distance Tables Sup #1'!$B171)</f>
        <v>25.427841225361043</v>
      </c>
      <c r="K138" s="1">
        <f ca="1">$B138*('Updated Population'!K$136/'Updated Population'!$B$136)*('Total Distance Tables Sup #1'!K171/'Total Distance Tables Sup #1'!$B171)</f>
        <v>26.024507843709944</v>
      </c>
    </row>
    <row r="139" spans="1:11" x14ac:dyDescent="0.2">
      <c r="A139" t="str">
        <f ca="1">OFFSET(Otago_Reference,14,2)</f>
        <v>Light Vehicle Driver</v>
      </c>
      <c r="B139" s="4">
        <f ca="1">OFFSET(Otago_Reference,14,6)</f>
        <v>1192.1699989000001</v>
      </c>
      <c r="C139" s="4">
        <f ca="1">$B139*('Updated Population'!C$136/'Updated Population'!$B$136)*('Total Distance Tables Sup #1'!C172/'Total Distance Tables Sup #1'!$B172)</f>
        <v>1357.3059361338319</v>
      </c>
      <c r="D139" s="4">
        <f ca="1">$B139*('Updated Population'!D$136/'Updated Population'!$B$136)*('Total Distance Tables Sup #1'!D172/'Total Distance Tables Sup #1'!$B172)</f>
        <v>1459.4837476967734</v>
      </c>
      <c r="E139" s="4">
        <f ca="1">$B139*('Updated Population'!E$136/'Updated Population'!$B$136)*('Total Distance Tables Sup #1'!E172/'Total Distance Tables Sup #1'!$B172)</f>
        <v>1544.0232456235435</v>
      </c>
      <c r="F139" s="4">
        <f ca="1">$B139*('Updated Population'!F$136/'Updated Population'!$B$136)*('Total Distance Tables Sup #1'!F172/'Total Distance Tables Sup #1'!$B172)</f>
        <v>1621.6933818600642</v>
      </c>
      <c r="G139" s="4">
        <f ca="1">$B139*('Updated Population'!G$136/'Updated Population'!$B$136)*('Total Distance Tables Sup #1'!G172/'Total Distance Tables Sup #1'!$B172)</f>
        <v>1681.9670153338798</v>
      </c>
      <c r="H139" s="4">
        <f ca="1">$B139*('Updated Population'!H$136/'Updated Population'!$B$136)*('Total Distance Tables Sup #1'!H172/'Total Distance Tables Sup #1'!$B172)</f>
        <v>1735.7883228690816</v>
      </c>
      <c r="I139" s="1">
        <f ca="1">$B139*('Updated Population'!I$136/'Updated Population'!$B$136)*('Total Distance Tables Sup #1'!I172/'Total Distance Tables Sup #1'!$B172)</f>
        <v>1785.8803668064609</v>
      </c>
      <c r="J139" s="1">
        <f ca="1">$B139*('Updated Population'!J$136/'Updated Population'!$B$136)*('Total Distance Tables Sup #1'!J172/'Total Distance Tables Sup #1'!$B172)</f>
        <v>1831.6411169594246</v>
      </c>
      <c r="K139" s="1">
        <f ca="1">$B139*('Updated Population'!K$136/'Updated Population'!$B$136)*('Total Distance Tables Sup #1'!K172/'Total Distance Tables Sup #1'!$B172)</f>
        <v>1874.6207431730327</v>
      </c>
    </row>
    <row r="140" spans="1:11" x14ac:dyDescent="0.2">
      <c r="A140" t="str">
        <f ca="1">OFFSET(Otago_Reference,21,2)</f>
        <v>Light Vehicle Passenger</v>
      </c>
      <c r="B140" s="4">
        <f ca="1">OFFSET(Otago_Reference,21,6)</f>
        <v>849.31688999999994</v>
      </c>
      <c r="C140" s="4">
        <f ca="1">$B140*('Updated Population'!C$136/'Updated Population'!$B$136)*('Total Distance Tables Sup #1'!C173/'Total Distance Tables Sup #1'!$B173)</f>
        <v>930.56092345816057</v>
      </c>
      <c r="D140" s="4">
        <f ca="1">$B140*('Updated Population'!D$136/'Updated Population'!$B$136)*('Total Distance Tables Sup #1'!D173/'Total Distance Tables Sup #1'!$B173)</f>
        <v>979.68204302948811</v>
      </c>
      <c r="E140" s="4">
        <f ca="1">$B140*('Updated Population'!E$136/'Updated Population'!$B$136)*('Total Distance Tables Sup #1'!E173/'Total Distance Tables Sup #1'!$B173)</f>
        <v>1015.5398370650729</v>
      </c>
      <c r="F140" s="4">
        <f ca="1">$B140*('Updated Population'!F$136/'Updated Population'!$B$136)*('Total Distance Tables Sup #1'!F173/'Total Distance Tables Sup #1'!$B173)</f>
        <v>1043.6927150742313</v>
      </c>
      <c r="G140" s="4">
        <f ca="1">$B140*('Updated Population'!G$136/'Updated Population'!$B$136)*('Total Distance Tables Sup #1'!G173/'Total Distance Tables Sup #1'!$B173)</f>
        <v>1064.0466330658994</v>
      </c>
      <c r="H140" s="4">
        <f ca="1">$B140*('Updated Population'!H$136/'Updated Population'!$B$136)*('Total Distance Tables Sup #1'!H173/'Total Distance Tables Sup #1'!$B173)</f>
        <v>1079.2799387836433</v>
      </c>
      <c r="I140" s="1">
        <f ca="1">$B140*('Updated Population'!I$136/'Updated Population'!$B$136)*('Total Distance Tables Sup #1'!I173/'Total Distance Tables Sup #1'!$B173)</f>
        <v>1110.4262124403995</v>
      </c>
      <c r="J140" s="1">
        <f ca="1">$B140*('Updated Population'!J$136/'Updated Population'!$B$136)*('Total Distance Tables Sup #1'!J173/'Total Distance Tables Sup #1'!$B173)</f>
        <v>1138.8793705663566</v>
      </c>
      <c r="K140" s="1">
        <f ca="1">$B140*('Updated Population'!K$136/'Updated Population'!$B$136)*('Total Distance Tables Sup #1'!K173/'Total Distance Tables Sup #1'!$B173)</f>
        <v>1165.6032790853942</v>
      </c>
    </row>
    <row r="141" spans="1:11" x14ac:dyDescent="0.2">
      <c r="A141" t="str">
        <f ca="1">OFFSET(Otago_Reference,28,2)</f>
        <v>Taxi/Vehicle Share</v>
      </c>
      <c r="B141" s="4">
        <f ca="1">OFFSET(Otago_Reference,28,6)</f>
        <v>7.2892681777000004</v>
      </c>
      <c r="C141" s="4">
        <f ca="1">$B141*('Updated Population'!C$136/'Updated Population'!$B$136)*('Total Distance Tables Sup #1'!C174/'Total Distance Tables Sup #1'!$B174)</f>
        <v>8.6868571823810967</v>
      </c>
      <c r="D141" s="4">
        <f ca="1">$B141*('Updated Population'!D$136/'Updated Population'!$B$136)*('Total Distance Tables Sup #1'!D174/'Total Distance Tables Sup #1'!$B174)</f>
        <v>9.8438124018830706</v>
      </c>
      <c r="E141" s="4">
        <f ca="1">$B141*('Updated Population'!E$136/'Updated Population'!$B$136)*('Total Distance Tables Sup #1'!E174/'Total Distance Tables Sup #1'!$B174)</f>
        <v>10.850261567605616</v>
      </c>
      <c r="F141" s="4">
        <f ca="1">$B141*('Updated Population'!F$136/'Updated Population'!$B$136)*('Total Distance Tables Sup #1'!F174/'Total Distance Tables Sup #1'!$B174)</f>
        <v>11.749497855326053</v>
      </c>
      <c r="G141" s="4">
        <f ca="1">$B141*('Updated Population'!G$136/'Updated Population'!$B$136)*('Total Distance Tables Sup #1'!G174/'Total Distance Tables Sup #1'!$B174)</f>
        <v>12.462034828543576</v>
      </c>
      <c r="H141" s="4">
        <f ca="1">$B141*('Updated Population'!H$136/'Updated Population'!$B$136)*('Total Distance Tables Sup #1'!H174/'Total Distance Tables Sup #1'!$B174)</f>
        <v>13.140741931008966</v>
      </c>
      <c r="I141" s="1">
        <f ca="1">$B141*('Updated Population'!I$136/'Updated Population'!$B$136)*('Total Distance Tables Sup #1'!I174/'Total Distance Tables Sup #1'!$B174)</f>
        <v>13.5199624923559</v>
      </c>
      <c r="J141" s="1">
        <f ca="1">$B141*('Updated Population'!J$136/'Updated Population'!$B$136)*('Total Distance Tables Sup #1'!J174/'Total Distance Tables Sup #1'!$B174)</f>
        <v>13.866393102820853</v>
      </c>
      <c r="K141" s="1">
        <f ca="1">$B141*('Updated Population'!K$136/'Updated Population'!$B$136)*('Total Distance Tables Sup #1'!K174/'Total Distance Tables Sup #1'!$B174)</f>
        <v>14.191769284307499</v>
      </c>
    </row>
    <row r="142" spans="1:11" x14ac:dyDescent="0.2">
      <c r="A142" t="str">
        <f ca="1">OFFSET(Otago_Reference,35,2)</f>
        <v>Motorcyclist</v>
      </c>
      <c r="B142" s="4">
        <f ca="1">OFFSET(Otago_Reference,35,6)</f>
        <v>18.503357486999999</v>
      </c>
      <c r="C142" s="4">
        <f ca="1">$B142*('Updated Population'!C$136/'Updated Population'!$B$136)*('Total Distance Tables Sup #1'!C175/'Total Distance Tables Sup #1'!$B175)</f>
        <v>20.907744053310047</v>
      </c>
      <c r="D142" s="4">
        <f ca="1">$B142*('Updated Population'!D$136/'Updated Population'!$B$136)*('Total Distance Tables Sup #1'!D175/'Total Distance Tables Sup #1'!$B175)</f>
        <v>22.2617266684016</v>
      </c>
      <c r="E142" s="4">
        <f ca="1">$B142*('Updated Population'!E$136/'Updated Population'!$B$136)*('Total Distance Tables Sup #1'!E175/'Total Distance Tables Sup #1'!$B175)</f>
        <v>22.994710181687331</v>
      </c>
      <c r="F142" s="4">
        <f ca="1">$B142*('Updated Population'!F$136/'Updated Population'!$B$136)*('Total Distance Tables Sup #1'!F175/'Total Distance Tables Sup #1'!$B175)</f>
        <v>23.470607491772924</v>
      </c>
      <c r="G142" s="4">
        <f ca="1">$B142*('Updated Population'!G$136/'Updated Population'!$B$136)*('Total Distance Tables Sup #1'!G175/'Total Distance Tables Sup #1'!$B175)</f>
        <v>23.490252483469973</v>
      </c>
      <c r="H142" s="4">
        <f ca="1">$B142*('Updated Population'!H$136/'Updated Population'!$B$136)*('Total Distance Tables Sup #1'!H175/'Total Distance Tables Sup #1'!$B175)</f>
        <v>23.376602473554886</v>
      </c>
      <c r="I142" s="1">
        <f ca="1">$B142*('Updated Population'!I$136/'Updated Population'!$B$136)*('Total Distance Tables Sup #1'!I175/'Total Distance Tables Sup #1'!$B175)</f>
        <v>24.051213417057742</v>
      </c>
      <c r="J142" s="1">
        <f ca="1">$B142*('Updated Population'!J$136/'Updated Population'!$B$136)*('Total Distance Tables Sup #1'!J175/'Total Distance Tables Sup #1'!$B175)</f>
        <v>24.667492977833529</v>
      </c>
      <c r="K142" s="1">
        <f ca="1">$B142*('Updated Population'!K$136/'Updated Population'!$B$136)*('Total Distance Tables Sup #1'!K175/'Total Distance Tables Sup #1'!$B175)</f>
        <v>25.246317955061631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Distance Tables Sup #1'!C176/'Total Distance Tables Sup #1'!$B176)</f>
        <v>0</v>
      </c>
      <c r="D143" s="4">
        <f ca="1">$B143*('Updated Population'!D$136/'Updated Population'!$B$136)*('Total Distance Tables Sup #1'!D176/'Total Distance Tables Sup #1'!$B176)</f>
        <v>0</v>
      </c>
      <c r="E143" s="4">
        <f ca="1">$B143*('Updated Population'!E$136/'Updated Population'!$B$136)*('Total Distance Tables Sup #1'!E176/'Total Distance Tables Sup #1'!$B176)</f>
        <v>0</v>
      </c>
      <c r="F143" s="4">
        <f ca="1">$B143*('Updated Population'!F$136/'Updated Population'!$B$136)*('Total Distance Tables Sup #1'!F176/'Total Distance Tables Sup #1'!$B176)</f>
        <v>0</v>
      </c>
      <c r="G143" s="4">
        <f ca="1">$B143*('Updated Population'!G$136/'Updated Population'!$B$136)*('Total Distance Tables Sup #1'!G176/'Total Distance Tables Sup #1'!$B176)</f>
        <v>0</v>
      </c>
      <c r="H143" s="4">
        <f ca="1">$B143*('Updated Population'!H$136/'Updated Population'!$B$136)*('Total Distance Tables Sup #1'!H176/'Total Distance Tables Sup #1'!$B176)</f>
        <v>0</v>
      </c>
      <c r="I143" s="1">
        <f ca="1">$B143*('Updated Population'!I$136/'Updated Population'!$B$136)*('Total Distance Tables Sup #1'!I176/'Total Distance Tables Sup #1'!$B176)</f>
        <v>0</v>
      </c>
      <c r="J143" s="1">
        <f ca="1">$B143*('Updated Population'!J$136/'Updated Population'!$B$136)*('Total Distance Tables Sup #1'!J176/'Total Distance Tables Sup #1'!$B176)</f>
        <v>0</v>
      </c>
      <c r="K143" s="1">
        <f ca="1">$B143*('Updated Population'!K$136/'Updated Population'!$B$136)*('Total Distance Tables Sup #1'!K176/'Total Distance Tables Sup #1'!$B176)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OFFSET(Otago_Reference,42,6)</f>
        <v>27.157477096000001</v>
      </c>
      <c r="C144" s="4">
        <f ca="1">$B144*('Updated Population'!C$136/'Updated Population'!$B$136)*('Total Distance Tables Sup #1'!C177/'Total Distance Tables Sup #1'!$B177)</f>
        <v>27.671464803655724</v>
      </c>
      <c r="D144" s="4">
        <f ca="1">$B144*('Updated Population'!D$136/'Updated Population'!$B$136)*('Total Distance Tables Sup #1'!D177/'Total Distance Tables Sup #1'!$B177)</f>
        <v>27.908744532509374</v>
      </c>
      <c r="E144" s="4">
        <f ca="1">$B144*('Updated Population'!E$136/'Updated Population'!$B$136)*('Total Distance Tables Sup #1'!E177/'Total Distance Tables Sup #1'!$B177)</f>
        <v>28.031446429174125</v>
      </c>
      <c r="F144" s="4">
        <f ca="1">$B144*('Updated Population'!F$136/'Updated Population'!$B$136)*('Total Distance Tables Sup #1'!F177/'Total Distance Tables Sup #1'!$B177)</f>
        <v>27.636136710297123</v>
      </c>
      <c r="G144" s="4">
        <f ca="1">$B144*('Updated Population'!G$136/'Updated Population'!$B$136)*('Total Distance Tables Sup #1'!G177/'Total Distance Tables Sup #1'!$B177)</f>
        <v>27.483709765626173</v>
      </c>
      <c r="H144" s="4">
        <f ca="1">$B144*('Updated Population'!H$136/'Updated Population'!$B$136)*('Total Distance Tables Sup #1'!H177/'Total Distance Tables Sup #1'!$B177)</f>
        <v>27.223619278497708</v>
      </c>
      <c r="I144" s="1">
        <f ca="1">$B144*('Updated Population'!I$136/'Updated Population'!$B$136)*('Total Distance Tables Sup #1'!I177/'Total Distance Tables Sup #1'!$B177)</f>
        <v>28.009248905720316</v>
      </c>
      <c r="J144" s="1">
        <f ca="1">$B144*('Updated Population'!J$136/'Updated Population'!$B$136)*('Total Distance Tables Sup #1'!J177/'Total Distance Tables Sup #1'!$B177)</f>
        <v>28.72694773088789</v>
      </c>
      <c r="K144" s="1">
        <f ca="1">$B144*('Updated Population'!K$136/'Updated Population'!$B$136)*('Total Distance Tables Sup #1'!K177/'Total Distance Tables Sup #1'!$B177)</f>
        <v>29.401028184913194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Distance Tables Sup #1'!C178/'Total Distance Tables Sup #1'!$B178)</f>
        <v>0</v>
      </c>
      <c r="D145" s="4">
        <f ca="1">$B145*('Updated Population'!D$136/'Updated Population'!$B$136)*('Total Distance Tables Sup #1'!D178/'Total Distance Tables Sup #1'!$B178)</f>
        <v>0</v>
      </c>
      <c r="E145" s="4">
        <f ca="1">$B145*('Updated Population'!E$136/'Updated Population'!$B$136)*('Total Distance Tables Sup #1'!E178/'Total Distance Tables Sup #1'!$B178)</f>
        <v>0</v>
      </c>
      <c r="F145" s="4">
        <f ca="1">$B145*('Updated Population'!F$136/'Updated Population'!$B$136)*('Total Distance Tables Sup #1'!F178/'Total Distance Tables Sup #1'!$B178)</f>
        <v>0</v>
      </c>
      <c r="G145" s="4">
        <f ca="1">$B145*('Updated Population'!G$136/'Updated Population'!$B$136)*('Total Distance Tables Sup #1'!G178/'Total Distance Tables Sup #1'!$B178)</f>
        <v>0</v>
      </c>
      <c r="H145" s="4">
        <f ca="1">$B145*('Updated Population'!H$136/'Updated Population'!$B$136)*('Total Distance Tables Sup #1'!H178/'Total Distance Tables Sup #1'!$B178)</f>
        <v>0</v>
      </c>
      <c r="I145" s="1">
        <f ca="1">$B145*('Updated Population'!I$136/'Updated Population'!$B$136)*('Total Distance Tables Sup #1'!I178/'Total Distance Tables Sup #1'!$B178)</f>
        <v>0</v>
      </c>
      <c r="J145" s="1">
        <f ca="1">$B145*('Updated Population'!J$136/'Updated Population'!$B$136)*('Total Distance Tables Sup #1'!J178/'Total Distance Tables Sup #1'!$B178)</f>
        <v>0</v>
      </c>
      <c r="K145" s="1">
        <f ca="1">$B145*('Updated Population'!K$136/'Updated Population'!$B$136)*('Total Distance Tables Sup #1'!K178/'Total Distance Tables Sup #1'!$B178)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OFFSET(Otago_Reference,49,6)</f>
        <v>0</v>
      </c>
      <c r="C146" s="4">
        <f ca="1">$B146*('Updated Population'!C$136/'Updated Population'!$B$136)*('Total Distance Tables Sup #1'!C179/'Total Distance Tables Sup #1'!$B179)</f>
        <v>0</v>
      </c>
      <c r="D146" s="4">
        <f ca="1">$B146*('Updated Population'!D$136/'Updated Population'!$B$136)*('Total Distance Tables Sup #1'!D179/'Total Distance Tables Sup #1'!$B179)</f>
        <v>0</v>
      </c>
      <c r="E146" s="4">
        <f ca="1">$B146*('Updated Population'!E$136/'Updated Population'!$B$136)*('Total Distance Tables Sup #1'!E179/'Total Distance Tables Sup #1'!$B179)</f>
        <v>0</v>
      </c>
      <c r="F146" s="4">
        <f ca="1">$B146*('Updated Population'!F$136/'Updated Population'!$B$136)*('Total Distance Tables Sup #1'!F179/'Total Distance Tables Sup #1'!$B179)</f>
        <v>0</v>
      </c>
      <c r="G146" s="4">
        <f ca="1">$B146*('Updated Population'!G$136/'Updated Population'!$B$136)*('Total Distance Tables Sup #1'!G179/'Total Distance Tables Sup #1'!$B179)</f>
        <v>0</v>
      </c>
      <c r="H146" s="4">
        <f ca="1">$B146*('Updated Population'!H$136/'Updated Population'!$B$136)*('Total Distance Tables Sup #1'!H179/'Total Distance Tables Sup #1'!$B179)</f>
        <v>0</v>
      </c>
      <c r="I146" s="1">
        <f ca="1">$B146*('Updated Population'!I$136/'Updated Population'!$B$136)*('Total Distance Tables Sup #1'!I179/'Total Distance Tables Sup #1'!$B179)</f>
        <v>0</v>
      </c>
      <c r="J146" s="1">
        <f ca="1">$B146*('Updated Population'!J$136/'Updated Population'!$B$136)*('Total Distance Tables Sup #1'!J179/'Total Distance Tables Sup #1'!$B179)</f>
        <v>0</v>
      </c>
      <c r="K146" s="1">
        <f ca="1">$B146*('Updated Population'!K$136/'Updated Population'!$B$136)*('Total Distance Tables Sup #1'!K179/'Total Distance Tables Sup #1'!$B179)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OFFSET(Southland_Reference,0,6)</f>
        <v>8.8466785109000003</v>
      </c>
      <c r="C148" s="4">
        <f ca="1">$B148*('Updated Population'!C$147/'Updated Population'!$B$147)*('Total Distance Tables Sup #1'!C170/'Total Distance Tables Sup #1'!$B170)</f>
        <v>9.0007724074838116</v>
      </c>
      <c r="D148" s="4">
        <f ca="1">$B148*('Updated Population'!D$147/'Updated Population'!$B$147)*('Total Distance Tables Sup #1'!D170/'Total Distance Tables Sup #1'!$B170)</f>
        <v>8.9103411928961869</v>
      </c>
      <c r="E148" s="4">
        <f ca="1">$B148*('Updated Population'!E$147/'Updated Population'!$B$147)*('Total Distance Tables Sup #1'!E170/'Total Distance Tables Sup #1'!$B170)</f>
        <v>8.7334908512449001</v>
      </c>
      <c r="F148" s="4">
        <f ca="1">$B148*('Updated Population'!F$147/'Updated Population'!$B$147)*('Total Distance Tables Sup #1'!F170/'Total Distance Tables Sup #1'!$B170)</f>
        <v>8.4847523769268722</v>
      </c>
      <c r="G148" s="4">
        <f ca="1">$B148*('Updated Population'!G$147/'Updated Population'!$B$147)*('Total Distance Tables Sup #1'!G170/'Total Distance Tables Sup #1'!$B170)</f>
        <v>8.2242904150895164</v>
      </c>
      <c r="H148" s="4">
        <f ca="1">$B148*('Updated Population'!H$147/'Updated Population'!$B$147)*('Total Distance Tables Sup #1'!H170/'Total Distance Tables Sup #1'!$B170)</f>
        <v>7.9468224862766368</v>
      </c>
      <c r="I148" s="1">
        <f ca="1">$B148*('Updated Population'!I$147/'Updated Population'!$B$147)*('Total Distance Tables Sup #1'!I170/'Total Distance Tables Sup #1'!$B170)</f>
        <v>7.8403700328133992</v>
      </c>
      <c r="J148" s="1">
        <f ca="1">$B148*('Updated Population'!J$147/'Updated Population'!$B$147)*('Total Distance Tables Sup #1'!J170/'Total Distance Tables Sup #1'!$B170)</f>
        <v>7.7107206423823325</v>
      </c>
      <c r="K148" s="1">
        <f ca="1">$B148*('Updated Population'!K$147/'Updated Population'!$B$147)*('Total Distance Tables Sup #1'!K170/'Total Distance Tables Sup #1'!$B170)</f>
        <v>7.5669183322166456</v>
      </c>
    </row>
    <row r="149" spans="1:11" x14ac:dyDescent="0.2">
      <c r="A149" t="str">
        <f ca="1">OFFSET(Southland_Reference,7,2)</f>
        <v>Cyclist</v>
      </c>
      <c r="B149" s="4">
        <f ca="1">OFFSET(Southland_Reference,7,6)</f>
        <v>7.5402861329000004</v>
      </c>
      <c r="C149" s="4">
        <f ca="1">$B149*('Updated Population'!C$147/'Updated Population'!$B$147)*('Total Distance Tables Sup #1'!C171/'Total Distance Tables Sup #1'!$B171)</f>
        <v>7.9527880605299863</v>
      </c>
      <c r="D149" s="4">
        <f ca="1">$B149*('Updated Population'!D$147/'Updated Population'!$B$147)*('Total Distance Tables Sup #1'!D171/'Total Distance Tables Sup #1'!$B171)</f>
        <v>7.9893662943431725</v>
      </c>
      <c r="E149" s="4">
        <f ca="1">$B149*('Updated Population'!E$147/'Updated Population'!$B$147)*('Total Distance Tables Sup #1'!E171/'Total Distance Tables Sup #1'!$B171)</f>
        <v>7.8940867183107004</v>
      </c>
      <c r="F149" s="4">
        <f ca="1">$B149*('Updated Population'!F$147/'Updated Population'!$B$147)*('Total Distance Tables Sup #1'!F171/'Total Distance Tables Sup #1'!$B171)</f>
        <v>7.900156330429998</v>
      </c>
      <c r="G149" s="4">
        <f ca="1">$B149*('Updated Population'!G$147/'Updated Population'!$B$147)*('Total Distance Tables Sup #1'!G171/'Total Distance Tables Sup #1'!$B171)</f>
        <v>8.0112821103757934</v>
      </c>
      <c r="H149" s="4">
        <f ca="1">$B149*('Updated Population'!H$147/'Updated Population'!$B$147)*('Total Distance Tables Sup #1'!H171/'Total Distance Tables Sup #1'!$B171)</f>
        <v>8.117587639507331</v>
      </c>
      <c r="I149" s="1">
        <f ca="1">$B149*('Updated Population'!I$147/'Updated Population'!$B$147)*('Total Distance Tables Sup #1'!I171/'Total Distance Tables Sup #1'!$B171)</f>
        <v>8.0088476843968852</v>
      </c>
      <c r="J149" s="1">
        <f ca="1">$B149*('Updated Population'!J$147/'Updated Population'!$B$147)*('Total Distance Tables Sup #1'!J171/'Total Distance Tables Sup #1'!$B171)</f>
        <v>7.8764123253523932</v>
      </c>
      <c r="K149" s="1">
        <f ca="1">$B149*('Updated Population'!K$147/'Updated Population'!$B$147)*('Total Distance Tables Sup #1'!K171/'Total Distance Tables Sup #1'!$B171)</f>
        <v>7.7295199218100423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OFFSET(Southland_Reference,14,6)</f>
        <v>657.74873722999996</v>
      </c>
      <c r="C150" s="4">
        <f ca="1">$B150*('Updated Population'!C$147/'Updated Population'!$B$147)*('Total Distance Tables Sup #1'!C172/'Total Distance Tables Sup #1'!$B172)</f>
        <v>690.84312566751851</v>
      </c>
      <c r="D150" s="4">
        <f ca="1">$B150*('Updated Population'!D$147/'Updated Population'!$B$147)*('Total Distance Tables Sup #1'!D172/'Total Distance Tables Sup #1'!$B172)</f>
        <v>698.02687377755103</v>
      </c>
      <c r="E150" s="4">
        <f ca="1">$B150*('Updated Population'!E$147/'Updated Population'!$B$147)*('Total Distance Tables Sup #1'!E172/'Total Distance Tables Sup #1'!$B172)</f>
        <v>705.83200105959759</v>
      </c>
      <c r="F150" s="4">
        <f ca="1">$B150*('Updated Population'!F$147/'Updated Population'!$B$147)*('Total Distance Tables Sup #1'!F172/'Total Distance Tables Sup #1'!$B172)</f>
        <v>709.8944060588957</v>
      </c>
      <c r="G150" s="4">
        <f ca="1">$B150*('Updated Population'!G$147/'Updated Population'!$B$147)*('Total Distance Tables Sup #1'!G172/'Total Distance Tables Sup #1'!$B172)</f>
        <v>705.78594675426348</v>
      </c>
      <c r="H150" s="4">
        <f ca="1">$B150*('Updated Population'!H$147/'Updated Population'!$B$147)*('Total Distance Tables Sup #1'!H172/'Total Distance Tables Sup #1'!$B172)</f>
        <v>698.48075250130512</v>
      </c>
      <c r="I150" s="1">
        <f ca="1">$B150*('Updated Population'!I$147/'Updated Population'!$B$147)*('Total Distance Tables Sup #1'!I172/'Total Distance Tables Sup #1'!$B172)</f>
        <v>689.1241838942907</v>
      </c>
      <c r="J150" s="1">
        <f ca="1">$B150*('Updated Population'!J$147/'Updated Population'!$B$147)*('Total Distance Tables Sup #1'!J172/'Total Distance Tables Sup #1'!$B172)</f>
        <v>677.72873572038088</v>
      </c>
      <c r="K150" s="1">
        <f ca="1">$B150*('Updated Population'!K$147/'Updated Population'!$B$147)*('Total Distance Tables Sup #1'!K172/'Total Distance Tables Sup #1'!$B172)</f>
        <v>665.08932594503858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OFFSET(Southland_Reference,21,6)</f>
        <v>380.70733008000002</v>
      </c>
      <c r="C151" s="4">
        <f ca="1">$B151*('Updated Population'!C$147/'Updated Population'!$B$147)*('Total Distance Tables Sup #1'!C173/'Total Distance Tables Sup #1'!$B173)</f>
        <v>384.80982058030423</v>
      </c>
      <c r="D151" s="4">
        <f ca="1">$B151*('Updated Population'!D$147/'Updated Population'!$B$147)*('Total Distance Tables Sup #1'!D173/'Total Distance Tables Sup #1'!$B173)</f>
        <v>380.67790555083377</v>
      </c>
      <c r="E151" s="4">
        <f ca="1">$B151*('Updated Population'!E$147/'Updated Population'!$B$147)*('Total Distance Tables Sup #1'!E173/'Total Distance Tables Sup #1'!$B173)</f>
        <v>377.17605862354532</v>
      </c>
      <c r="F151" s="4">
        <f ca="1">$B151*('Updated Population'!F$147/'Updated Population'!$B$147)*('Total Distance Tables Sup #1'!F173/'Total Distance Tables Sup #1'!$B173)</f>
        <v>371.19088683058317</v>
      </c>
      <c r="G151" s="4">
        <f ca="1">$B151*('Updated Population'!G$147/'Updated Population'!$B$147)*('Total Distance Tables Sup #1'!G173/'Total Distance Tables Sup #1'!$B173)</f>
        <v>362.75702980314776</v>
      </c>
      <c r="H151" s="4">
        <f ca="1">$B151*('Updated Population'!H$147/'Updated Population'!$B$147)*('Total Distance Tables Sup #1'!H173/'Total Distance Tables Sup #1'!$B173)</f>
        <v>352.85106194437145</v>
      </c>
      <c r="I151" s="1">
        <f ca="1">$B151*('Updated Population'!I$147/'Updated Population'!$B$147)*('Total Distance Tables Sup #1'!I173/'Total Distance Tables Sup #1'!$B173)</f>
        <v>348.12441034041871</v>
      </c>
      <c r="J151" s="1">
        <f ca="1">$B151*('Updated Population'!J$147/'Updated Population'!$B$147)*('Total Distance Tables Sup #1'!J173/'Total Distance Tables Sup #1'!$B173)</f>
        <v>342.36777928781345</v>
      </c>
      <c r="K151" s="1">
        <f ca="1">$B151*('Updated Population'!K$147/'Updated Population'!$B$147)*('Total Distance Tables Sup #1'!K173/'Total Distance Tables Sup #1'!$B173)</f>
        <v>335.98273697188893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OFFSET(Southland_Reference,28,6)</f>
        <v>1.2430116738999999</v>
      </c>
      <c r="C152" s="4">
        <f ca="1">$B152*('Updated Population'!C$147/'Updated Population'!$B$147)*('Total Distance Tables Sup #1'!C174/'Total Distance Tables Sup #1'!$B174)</f>
        <v>1.3665760898801214</v>
      </c>
      <c r="D152" s="4">
        <f ca="1">$B152*('Updated Population'!D$147/'Updated Population'!$B$147)*('Total Distance Tables Sup #1'!D174/'Total Distance Tables Sup #1'!$B174)</f>
        <v>1.4551429277605186</v>
      </c>
      <c r="E152" s="4">
        <f ca="1">$B152*('Updated Population'!E$147/'Updated Population'!$B$147)*('Total Distance Tables Sup #1'!E174/'Total Distance Tables Sup #1'!$B174)</f>
        <v>1.5330529754028155</v>
      </c>
      <c r="F152" s="4">
        <f ca="1">$B152*('Updated Population'!F$147/'Updated Population'!$B$147)*('Total Distance Tables Sup #1'!F174/'Total Distance Tables Sup #1'!$B174)</f>
        <v>1.5896948246169285</v>
      </c>
      <c r="G152" s="4">
        <f ca="1">$B152*('Updated Population'!G$147/'Updated Population'!$B$147)*('Total Distance Tables Sup #1'!G174/'Total Distance Tables Sup #1'!$B174)</f>
        <v>1.6162700934313847</v>
      </c>
      <c r="H152" s="4">
        <f ca="1">$B152*('Updated Population'!H$147/'Updated Population'!$B$147)*('Total Distance Tables Sup #1'!H174/'Total Distance Tables Sup #1'!$B174)</f>
        <v>1.6343573159751403</v>
      </c>
      <c r="I152" s="1">
        <f ca="1">$B152*('Updated Population'!I$147/'Updated Population'!$B$147)*('Total Distance Tables Sup #1'!I174/'Total Distance Tables Sup #1'!$B174)</f>
        <v>1.6124641194904328</v>
      </c>
      <c r="J152" s="1">
        <f ca="1">$B152*('Updated Population'!J$147/'Updated Population'!$B$147)*('Total Distance Tables Sup #1'!J174/'Total Distance Tables Sup #1'!$B174)</f>
        <v>1.5858002006563769</v>
      </c>
      <c r="K152" s="1">
        <f ca="1">$B152*('Updated Population'!K$147/'Updated Population'!$B$147)*('Total Distance Tables Sup #1'!K174/'Total Distance Tables Sup #1'!$B174)</f>
        <v>1.5562255677664036</v>
      </c>
    </row>
    <row r="153" spans="1:11" x14ac:dyDescent="0.2">
      <c r="A153" t="str">
        <f ca="1">OFFSET(Southland_Reference,35,2)</f>
        <v>Motorcyclist</v>
      </c>
      <c r="B153" s="4">
        <f ca="1">OFFSET(Southland_Reference,35,6)</f>
        <v>18.926640866</v>
      </c>
      <c r="C153" s="4">
        <f ca="1">$B153*('Updated Population'!C$147/'Updated Population'!$B$147)*('Total Distance Tables Sup #1'!C175/'Total Distance Tables Sup #1'!$B175)</f>
        <v>19.729225395351541</v>
      </c>
      <c r="D153" s="4">
        <f ca="1">$B153*('Updated Population'!D$147/'Updated Population'!$B$147)*('Total Distance Tables Sup #1'!D175/'Total Distance Tables Sup #1'!$B175)</f>
        <v>19.73935208772431</v>
      </c>
      <c r="E153" s="4">
        <f ca="1">$B153*('Updated Population'!E$147/'Updated Population'!$B$147)*('Total Distance Tables Sup #1'!E175/'Total Distance Tables Sup #1'!$B175)</f>
        <v>19.4884194240773</v>
      </c>
      <c r="F153" s="4">
        <f ca="1">$B153*('Updated Population'!F$147/'Updated Population'!$B$147)*('Total Distance Tables Sup #1'!F175/'Total Distance Tables Sup #1'!$B175)</f>
        <v>19.048049356613312</v>
      </c>
      <c r="G153" s="4">
        <f ca="1">$B153*('Updated Population'!G$147/'Updated Population'!$B$147)*('Total Distance Tables Sup #1'!G175/'Total Distance Tables Sup #1'!$B175)</f>
        <v>18.27445291331189</v>
      </c>
      <c r="H153" s="4">
        <f ca="1">$B153*('Updated Population'!H$147/'Updated Population'!$B$147)*('Total Distance Tables Sup #1'!H175/'Total Distance Tables Sup #1'!$B175)</f>
        <v>17.43974938780994</v>
      </c>
      <c r="I153" s="1">
        <f ca="1">$B153*('Updated Population'!I$147/'Updated Population'!$B$147)*('Total Distance Tables Sup #1'!I175/'Total Distance Tables Sup #1'!$B175)</f>
        <v>17.206133484935258</v>
      </c>
      <c r="J153" s="1">
        <f ca="1">$B153*('Updated Population'!J$147/'Updated Population'!$B$147)*('Total Distance Tables Sup #1'!J175/'Total Distance Tables Sup #1'!$B175)</f>
        <v>16.921610597793293</v>
      </c>
      <c r="K153" s="1">
        <f ca="1">$B153*('Updated Population'!K$147/'Updated Population'!$B$147)*('Total Distance Tables Sup #1'!K175/'Total Distance Tables Sup #1'!$B175)</f>
        <v>16.606028331420973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Distance Tables Sup #1'!C176/'Total Distance Tables Sup #1'!$B176)</f>
        <v>0</v>
      </c>
      <c r="D154" s="4">
        <f ca="1">$B154*('Updated Population'!D$147/'Updated Population'!$B$147)*('Total Distance Tables Sup #1'!D176/'Total Distance Tables Sup #1'!$B176)</f>
        <v>0</v>
      </c>
      <c r="E154" s="4">
        <f ca="1">$B154*('Updated Population'!E$147/'Updated Population'!$B$147)*('Total Distance Tables Sup #1'!E176/'Total Distance Tables Sup #1'!$B176)</f>
        <v>0</v>
      </c>
      <c r="F154" s="4">
        <f ca="1">$B154*('Updated Population'!F$147/'Updated Population'!$B$147)*('Total Distance Tables Sup #1'!F176/'Total Distance Tables Sup #1'!$B176)</f>
        <v>0</v>
      </c>
      <c r="G154" s="4">
        <f ca="1">$B154*('Updated Population'!G$147/'Updated Population'!$B$147)*('Total Distance Tables Sup #1'!G176/'Total Distance Tables Sup #1'!$B176)</f>
        <v>0</v>
      </c>
      <c r="H154" s="4">
        <f ca="1">$B154*('Updated Population'!H$147/'Updated Population'!$B$147)*('Total Distance Tables Sup #1'!H176/'Total Distance Tables Sup #1'!$B176)</f>
        <v>0</v>
      </c>
      <c r="I154" s="1">
        <f ca="1">$B154*('Updated Population'!I$147/'Updated Population'!$B$147)*('Total Distance Tables Sup #1'!I176/'Total Distance Tables Sup #1'!$B176)</f>
        <v>0</v>
      </c>
      <c r="J154" s="1">
        <f ca="1">$B154*('Updated Population'!J$147/'Updated Population'!$B$147)*('Total Distance Tables Sup #1'!J176/'Total Distance Tables Sup #1'!$B176)</f>
        <v>0</v>
      </c>
      <c r="K154" s="1">
        <f ca="1">$B154*('Updated Population'!K$147/'Updated Population'!$B$147)*('Total Distance Tables Sup #1'!K176/'Total Distance Tables Sup #1'!$B176)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OFFSET(Southland_Reference,42,6)</f>
        <v>30.182609224</v>
      </c>
      <c r="C155" s="4">
        <f ca="1">$B155*('Updated Population'!C$147/'Updated Population'!$B$147)*('Total Distance Tables Sup #1'!C177/'Total Distance Tables Sup #1'!$B177)</f>
        <v>28.37130848267882</v>
      </c>
      <c r="D155" s="4">
        <f ca="1">$B155*('Updated Population'!D$147/'Updated Population'!$B$147)*('Total Distance Tables Sup #1'!D177/'Total Distance Tables Sup #1'!$B177)</f>
        <v>26.888012712250372</v>
      </c>
      <c r="E155" s="4">
        <f ca="1">$B155*('Updated Population'!E$147/'Updated Population'!$B$147)*('Total Distance Tables Sup #1'!E177/'Total Distance Tables Sup #1'!$B177)</f>
        <v>25.813003642481114</v>
      </c>
      <c r="F155" s="4">
        <f ca="1">$B155*('Updated Population'!F$147/'Updated Population'!$B$147)*('Total Distance Tables Sup #1'!F177/'Total Distance Tables Sup #1'!$B177)</f>
        <v>24.369570022803291</v>
      </c>
      <c r="G155" s="4">
        <f ca="1">$B155*('Updated Population'!G$147/'Updated Population'!$B$147)*('Total Distance Tables Sup #1'!G177/'Total Distance Tables Sup #1'!$B177)</f>
        <v>23.231454967421321</v>
      </c>
      <c r="H155" s="4">
        <f ca="1">$B155*('Updated Population'!H$147/'Updated Population'!$B$147)*('Total Distance Tables Sup #1'!H177/'Total Distance Tables Sup #1'!$B177)</f>
        <v>22.067293322389514</v>
      </c>
      <c r="I155" s="1">
        <f ca="1">$B155*('Updated Population'!I$147/'Updated Population'!$B$147)*('Total Distance Tables Sup #1'!I177/'Total Distance Tables Sup #1'!$B177)</f>
        <v>21.771688693052695</v>
      </c>
      <c r="J155" s="1">
        <f ca="1">$B155*('Updated Population'!J$147/'Updated Population'!$B$147)*('Total Distance Tables Sup #1'!J177/'Total Distance Tables Sup #1'!$B177)</f>
        <v>21.411669184292812</v>
      </c>
      <c r="K155" s="1">
        <f ca="1">$B155*('Updated Population'!K$147/'Updated Population'!$B$147)*('Total Distance Tables Sup #1'!K177/'Total Distance Tables Sup #1'!$B177)</f>
        <v>21.012348856659536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Distance Tables Sup #1'!C178/'Total Distance Tables Sup #1'!$B178)</f>
        <v>0</v>
      </c>
      <c r="D156" s="4">
        <f ca="1">$B156*('Updated Population'!D$147/'Updated Population'!$B$147)*('Total Distance Tables Sup #1'!D178/'Total Distance Tables Sup #1'!$B178)</f>
        <v>0</v>
      </c>
      <c r="E156" s="4">
        <f ca="1">$B156*('Updated Population'!E$147/'Updated Population'!$B$147)*('Total Distance Tables Sup #1'!E178/'Total Distance Tables Sup #1'!$B178)</f>
        <v>0</v>
      </c>
      <c r="F156" s="4">
        <f ca="1">$B156*('Updated Population'!F$147/'Updated Population'!$B$147)*('Total Distance Tables Sup #1'!F178/'Total Distance Tables Sup #1'!$B178)</f>
        <v>0</v>
      </c>
      <c r="G156" s="4">
        <f ca="1">$B156*('Updated Population'!G$147/'Updated Population'!$B$147)*('Total Distance Tables Sup #1'!G178/'Total Distance Tables Sup #1'!$B178)</f>
        <v>0</v>
      </c>
      <c r="H156" s="4">
        <f ca="1">$B156*('Updated Population'!H$147/'Updated Population'!$B$147)*('Total Distance Tables Sup #1'!H178/'Total Distance Tables Sup #1'!$B178)</f>
        <v>0</v>
      </c>
      <c r="I156" s="1">
        <f ca="1">$B156*('Updated Population'!I$147/'Updated Population'!$B$147)*('Total Distance Tables Sup #1'!I178/'Total Distance Tables Sup #1'!$B178)</f>
        <v>0</v>
      </c>
      <c r="J156" s="1">
        <f ca="1">$B156*('Updated Population'!J$147/'Updated Population'!$B$147)*('Total Distance Tables Sup #1'!J178/'Total Distance Tables Sup #1'!$B178)</f>
        <v>0</v>
      </c>
      <c r="K156" s="1">
        <f ca="1">$B156*('Updated Population'!K$147/'Updated Population'!$B$147)*('Total Distance Tables Sup #1'!K178/'Total Distance Tables Sup #1'!$B178)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OFFSET(Southland_Reference,49,6)</f>
        <v>0</v>
      </c>
      <c r="C157" s="4">
        <f ca="1">$B157*('Updated Population'!C$147/'Updated Population'!$B$147)*('Total Distance Tables Sup #1'!C179/'Total Distance Tables Sup #1'!$B179)</f>
        <v>0</v>
      </c>
      <c r="D157" s="4">
        <f ca="1">$B157*('Updated Population'!D$147/'Updated Population'!$B$147)*('Total Distance Tables Sup #1'!D179/'Total Distance Tables Sup #1'!$B179)</f>
        <v>0</v>
      </c>
      <c r="E157" s="4">
        <f ca="1">$B157*('Updated Population'!E$147/'Updated Population'!$B$147)*('Total Distance Tables Sup #1'!E179/'Total Distance Tables Sup #1'!$B179)</f>
        <v>0</v>
      </c>
      <c r="F157" s="4">
        <f ca="1">$B157*('Updated Population'!F$147/'Updated Population'!$B$147)*('Total Distance Tables Sup #1'!F179/'Total Distance Tables Sup #1'!$B179)</f>
        <v>0</v>
      </c>
      <c r="G157" s="4">
        <f ca="1">$B157*('Updated Population'!G$147/'Updated Population'!$B$147)*('Total Distance Tables Sup #1'!G179/'Total Distance Tables Sup #1'!$B179)</f>
        <v>0</v>
      </c>
      <c r="H157" s="4">
        <f ca="1">$B157*('Updated Population'!H$147/'Updated Population'!$B$147)*('Total Distance Tables Sup #1'!H179/'Total Distance Tables Sup #1'!$B179)</f>
        <v>0</v>
      </c>
      <c r="I157" s="1">
        <f ca="1">$B157*('Updated Population'!I$147/'Updated Population'!$B$147)*('Total Distance Tables Sup #1'!I179/'Total Distance Tables Sup #1'!$B179)</f>
        <v>0</v>
      </c>
      <c r="J157" s="1">
        <f ca="1">$B157*('Updated Population'!J$147/'Updated Population'!$B$147)*('Total Distance Tables Sup #1'!J179/'Total Distance Tables Sup #1'!$B179)</f>
        <v>0</v>
      </c>
      <c r="K157" s="1">
        <f ca="1">$B157*('Updated Population'!K$147/'Updated Population'!$B$147)*('Total Distance Tables Sup #1'!K179/'Total Distance Tables Sup #1'!$B179)</f>
        <v>0</v>
      </c>
    </row>
    <row r="158" spans="1:11" x14ac:dyDescent="0.2">
      <c r="A158" t="s">
        <v>19</v>
      </c>
      <c r="I158" s="1"/>
      <c r="J158" s="1"/>
      <c r="K158" s="1"/>
    </row>
    <row r="159" spans="1:11" x14ac:dyDescent="0.2">
      <c r="A159" t="str">
        <f t="shared" ref="A159:A165" ca="1" si="0">A5</f>
        <v>Pedestrian</v>
      </c>
      <c r="B159" s="4">
        <f t="shared" ref="B159:H164" ca="1" si="1">B5+B16+B27+B38+B49+B60+B71+B82+B93+B104+B115+B126+B137+B148</f>
        <v>807.42091028530001</v>
      </c>
      <c r="C159" s="4">
        <f t="shared" ca="1" si="1"/>
        <v>872.6039429733479</v>
      </c>
      <c r="D159" s="4">
        <f t="shared" ca="1" si="1"/>
        <v>909.63382020714596</v>
      </c>
      <c r="E159" s="4">
        <f t="shared" ca="1" si="1"/>
        <v>928.57366782210374</v>
      </c>
      <c r="F159" s="4">
        <f t="shared" ca="1" si="1"/>
        <v>938.05143407458525</v>
      </c>
      <c r="G159" s="4">
        <f t="shared" ca="1" si="1"/>
        <v>944.84286930710618</v>
      </c>
      <c r="H159" s="4">
        <f t="shared" ca="1" si="1"/>
        <v>948.2287251105289</v>
      </c>
      <c r="I159" s="1">
        <f t="shared" ref="I159:K159" ca="1" si="2">I5+I16+I27+I38+I49+I60+I71+I82+I93+I104+I115+I126+I137+I148</f>
        <v>971.9587150627782</v>
      </c>
      <c r="J159" s="1">
        <f t="shared" ca="1" si="2"/>
        <v>993.41355280749542</v>
      </c>
      <c r="K159" s="1">
        <f t="shared" ca="1" si="2"/>
        <v>1013.4658790959854</v>
      </c>
    </row>
    <row r="160" spans="1:11" x14ac:dyDescent="0.2">
      <c r="A160" t="str">
        <f t="shared" ca="1" si="0"/>
        <v>Cyclist</v>
      </c>
      <c r="B160" s="4">
        <f t="shared" ca="1" si="1"/>
        <v>312.57850166600002</v>
      </c>
      <c r="C160" s="4">
        <f t="shared" ca="1" si="1"/>
        <v>350.27291075798166</v>
      </c>
      <c r="D160" s="4">
        <f t="shared" ca="1" si="1"/>
        <v>370.25305742333131</v>
      </c>
      <c r="E160" s="4">
        <f t="shared" ca="1" si="1"/>
        <v>380.7448490688663</v>
      </c>
      <c r="F160" s="4">
        <f t="shared" ca="1" si="1"/>
        <v>395.9204125423355</v>
      </c>
      <c r="G160" s="4">
        <f t="shared" ca="1" si="1"/>
        <v>416.93341112190467</v>
      </c>
      <c r="H160" s="4">
        <f t="shared" ca="1" si="1"/>
        <v>438.51023488329281</v>
      </c>
      <c r="I160" s="1">
        <f t="shared" ref="I160:K160" ca="1" si="3">I6+I17+I28+I39+I50+I61+I72+I83+I94+I105+I116+I127+I138+I149</f>
        <v>449.20775549266949</v>
      </c>
      <c r="J160" s="1">
        <f t="shared" ca="1" si="3"/>
        <v>458.84409356121154</v>
      </c>
      <c r="K160" s="1">
        <f t="shared" ca="1" si="3"/>
        <v>467.8238361649465</v>
      </c>
    </row>
    <row r="161" spans="1:20" x14ac:dyDescent="0.2">
      <c r="A161" t="str">
        <f t="shared" ca="1" si="0"/>
        <v>Light Vehicle Driver</v>
      </c>
      <c r="B161" s="4">
        <f t="shared" ca="1" si="1"/>
        <v>30373.708042980001</v>
      </c>
      <c r="C161" s="4">
        <f t="shared" ca="1" si="1"/>
        <v>33782.639856218389</v>
      </c>
      <c r="D161" s="4">
        <f t="shared" ca="1" si="1"/>
        <v>35839.987481563694</v>
      </c>
      <c r="E161" s="4">
        <f t="shared" ca="1" si="1"/>
        <v>37659.880173444268</v>
      </c>
      <c r="F161" s="4">
        <f t="shared" ca="1" si="1"/>
        <v>39296.939804943962</v>
      </c>
      <c r="G161" s="4">
        <f t="shared" ca="1" si="1"/>
        <v>40508.801973733163</v>
      </c>
      <c r="H161" s="4">
        <f t="shared" ca="1" si="1"/>
        <v>41546.393947984216</v>
      </c>
      <c r="I161" s="1">
        <f t="shared" ref="I161:K161" ca="1" si="4">I7+I18+I29+I40+I51+I62+I73+I84+I95+I106+I117+I128+I139+I150</f>
        <v>42493.086147229762</v>
      </c>
      <c r="J161" s="1">
        <f t="shared" ca="1" si="4"/>
        <v>43336.822598541177</v>
      </c>
      <c r="K161" s="1">
        <f t="shared" ca="1" si="4"/>
        <v>44116.299549978896</v>
      </c>
    </row>
    <row r="162" spans="1:20" x14ac:dyDescent="0.2">
      <c r="A162" t="str">
        <f t="shared" ca="1" si="0"/>
        <v>Light Vehicle Passenger</v>
      </c>
      <c r="B162" s="4">
        <f t="shared" ca="1" si="1"/>
        <v>17104.323927279998</v>
      </c>
      <c r="C162" s="4">
        <f t="shared" ca="1" si="1"/>
        <v>18293.669381894357</v>
      </c>
      <c r="D162" s="4">
        <f t="shared" ca="1" si="1"/>
        <v>18990.479862396791</v>
      </c>
      <c r="E162" s="4">
        <f t="shared" ca="1" si="1"/>
        <v>19542.747301334115</v>
      </c>
      <c r="F162" s="4">
        <f t="shared" ca="1" si="1"/>
        <v>19943.807983272207</v>
      </c>
      <c r="G162" s="4">
        <f t="shared" ca="1" si="1"/>
        <v>20198.497034886015</v>
      </c>
      <c r="H162" s="4">
        <f t="shared" ca="1" si="1"/>
        <v>20350.988082540742</v>
      </c>
      <c r="I162" s="1">
        <f t="shared" ref="I162:K162" ca="1" si="5">I8+I19+I30+I41+I52+I63+I74+I85+I96+I107+I118+I129+I140+I151</f>
        <v>20804.536933189112</v>
      </c>
      <c r="J162" s="1">
        <f t="shared" ca="1" si="5"/>
        <v>21207.225679814299</v>
      </c>
      <c r="K162" s="1">
        <f t="shared" ca="1" si="5"/>
        <v>21578.060918611172</v>
      </c>
    </row>
    <row r="163" spans="1:20" x14ac:dyDescent="0.2">
      <c r="A163" t="str">
        <f t="shared" ca="1" si="0"/>
        <v>Taxi/Vehicle Share</v>
      </c>
      <c r="B163" s="4">
        <f t="shared" ca="1" si="1"/>
        <v>102.6492410403</v>
      </c>
      <c r="C163" s="4">
        <f t="shared" ca="1" si="1"/>
        <v>120.04208515960913</v>
      </c>
      <c r="D163" s="4">
        <f t="shared" ca="1" si="1"/>
        <v>134.80794856165511</v>
      </c>
      <c r="E163" s="4">
        <f t="shared" ca="1" si="1"/>
        <v>148.09228256865961</v>
      </c>
      <c r="F163" s="4">
        <f t="shared" ca="1" si="1"/>
        <v>159.87332806432863</v>
      </c>
      <c r="G163" s="4">
        <f t="shared" ca="1" si="1"/>
        <v>169.120848194828</v>
      </c>
      <c r="H163" s="4">
        <f t="shared" ca="1" si="1"/>
        <v>177.84761310884329</v>
      </c>
      <c r="I163" s="1">
        <f t="shared" ref="I163:K163" ca="1" si="6">I9+I20+I31+I42+I53+I64+I75+I86+I97+I108+I119+I130+I141+I152</f>
        <v>182.53634749836175</v>
      </c>
      <c r="J163" s="1">
        <f t="shared" ca="1" si="6"/>
        <v>186.81202965283268</v>
      </c>
      <c r="K163" s="1">
        <f t="shared" ca="1" si="6"/>
        <v>190.83723790371695</v>
      </c>
    </row>
    <row r="164" spans="1:20" x14ac:dyDescent="0.2">
      <c r="A164" t="str">
        <f t="shared" ca="1" si="0"/>
        <v>Motorcyclist</v>
      </c>
      <c r="B164" s="4">
        <f t="shared" ca="1" si="1"/>
        <v>249.6655534436</v>
      </c>
      <c r="C164" s="4">
        <f t="shared" ca="1" si="1"/>
        <v>273.21022149216532</v>
      </c>
      <c r="D164" s="4">
        <f t="shared" ca="1" si="1"/>
        <v>284.95959529191902</v>
      </c>
      <c r="E164" s="4">
        <f t="shared" ca="1" si="1"/>
        <v>290.70797175521574</v>
      </c>
      <c r="F164" s="4">
        <f t="shared" ca="1" si="1"/>
        <v>293.15690405733312</v>
      </c>
      <c r="G164" s="4">
        <f t="shared" ca="1" si="1"/>
        <v>289.98063973465514</v>
      </c>
      <c r="H164" s="4">
        <f t="shared" ca="1" si="1"/>
        <v>285.15596442679282</v>
      </c>
      <c r="I164" s="1">
        <f t="shared" ref="I164:K164" ca="1" si="7">I10+I21+I32+I43+I54+I65+I76+I87+I98+I109+I120+I131+I142+I153</f>
        <v>289.97827692036242</v>
      </c>
      <c r="J164" s="1">
        <f t="shared" ca="1" si="7"/>
        <v>294.02644912155847</v>
      </c>
      <c r="K164" s="1">
        <f t="shared" ca="1" si="7"/>
        <v>297.574529958293</v>
      </c>
    </row>
    <row r="165" spans="1:20" x14ac:dyDescent="0.2">
      <c r="A165" t="str">
        <f t="shared" ca="1" si="0"/>
        <v>Local Train</v>
      </c>
      <c r="B165" s="4">
        <f t="shared" ref="B165:H165" ca="1" si="8">B22+B99</f>
        <v>377.40696634</v>
      </c>
      <c r="C165" s="4">
        <f t="shared" ca="1" si="8"/>
        <v>410.33500678000001</v>
      </c>
      <c r="D165" s="4">
        <f t="shared" ca="1" si="8"/>
        <v>431.72674523000001</v>
      </c>
      <c r="E165" s="4">
        <f t="shared" ca="1" si="8"/>
        <v>447.81737421000003</v>
      </c>
      <c r="F165" s="4">
        <f t="shared" ca="1" si="8"/>
        <v>456.40440434999999</v>
      </c>
      <c r="G165" s="4">
        <f t="shared" ca="1" si="8"/>
        <v>464.16439541</v>
      </c>
      <c r="H165" s="4">
        <f t="shared" ca="1" si="8"/>
        <v>468.94053807</v>
      </c>
      <c r="I165" s="1">
        <f t="shared" ref="I165:K165" ca="1" si="9">I22+I99</f>
        <v>480.95667695387351</v>
      </c>
      <c r="J165" s="1">
        <f t="shared" ca="1" si="9"/>
        <v>491.83687048393847</v>
      </c>
      <c r="K165" s="1">
        <f t="shared" ca="1" si="9"/>
        <v>502.01251954159306</v>
      </c>
    </row>
    <row r="166" spans="1:20" x14ac:dyDescent="0.2">
      <c r="A166" t="s">
        <v>16</v>
      </c>
      <c r="B166" s="4">
        <f t="shared" ref="B166:H166" ca="1" si="10">B12+B34+B45+B56+B67+B78+B89+B111+B122+B144+B155</f>
        <v>333.23856347439994</v>
      </c>
      <c r="C166" s="4">
        <f t="shared" ca="1" si="10"/>
        <v>325.61147999568294</v>
      </c>
      <c r="D166" s="4">
        <f t="shared" ca="1" si="10"/>
        <v>319.04278932640653</v>
      </c>
      <c r="E166" s="4">
        <f t="shared" ca="1" si="10"/>
        <v>314.33787125813581</v>
      </c>
      <c r="F166" s="4">
        <f t="shared" ca="1" si="10"/>
        <v>304.05304655691526</v>
      </c>
      <c r="G166" s="4">
        <f t="shared" ca="1" si="10"/>
        <v>296.78179433625496</v>
      </c>
      <c r="H166" s="4">
        <f t="shared" ca="1" si="10"/>
        <v>288.50374969983665</v>
      </c>
      <c r="I166" s="1">
        <f t="shared" ref="I166:K166" ca="1" si="11">I12+I34+I45+I56+I67+I78+I89+I111+I122+I144+I155</f>
        <v>291.38746696623343</v>
      </c>
      <c r="J166" s="1">
        <f t="shared" ca="1" si="11"/>
        <v>293.454848855531</v>
      </c>
      <c r="K166" s="1">
        <f t="shared" ca="1" si="11"/>
        <v>294.99445510518512</v>
      </c>
    </row>
    <row r="167" spans="1:20" x14ac:dyDescent="0.2">
      <c r="A167" t="str">
        <f ca="1">A13</f>
        <v>Local Ferry</v>
      </c>
      <c r="B167" s="4">
        <f t="shared" ref="B167:H168" ca="1" si="12">B13+B24+B35+B46+B57+B68+B79+B90+B101+B112+B123+B134+B145+B156</f>
        <v>0</v>
      </c>
      <c r="C167" s="4">
        <f t="shared" ca="1" si="12"/>
        <v>0</v>
      </c>
      <c r="D167" s="4">
        <f t="shared" ca="1" si="12"/>
        <v>0</v>
      </c>
      <c r="E167" s="4">
        <f t="shared" ca="1" si="12"/>
        <v>0</v>
      </c>
      <c r="F167" s="4">
        <f t="shared" ca="1" si="12"/>
        <v>0</v>
      </c>
      <c r="G167" s="4">
        <f t="shared" ca="1" si="12"/>
        <v>0</v>
      </c>
      <c r="H167" s="4">
        <f t="shared" ca="1" si="12"/>
        <v>0</v>
      </c>
      <c r="I167" s="1">
        <f t="shared" ref="I167:K167" ca="1" si="13">I13+I24+I35+I46+I57+I68+I79+I90+I101+I112+I123+I134+I145+I156</f>
        <v>0</v>
      </c>
      <c r="J167" s="1">
        <f t="shared" ca="1" si="13"/>
        <v>0</v>
      </c>
      <c r="K167" s="1">
        <f t="shared" ca="1" si="13"/>
        <v>0</v>
      </c>
    </row>
    <row r="168" spans="1:20" x14ac:dyDescent="0.2">
      <c r="A168" t="str">
        <f ca="1">A14</f>
        <v>Other Household Travel</v>
      </c>
      <c r="B168" s="4">
        <f t="shared" ca="1" si="12"/>
        <v>1.8241938706</v>
      </c>
      <c r="C168" s="4">
        <f t="shared" ca="1" si="12"/>
        <v>1.8495215817601347</v>
      </c>
      <c r="D168" s="4">
        <f t="shared" ca="1" si="12"/>
        <v>1.7982646479603315</v>
      </c>
      <c r="E168" s="4">
        <f t="shared" ca="1" si="12"/>
        <v>2.0927025757444655</v>
      </c>
      <c r="F168" s="4">
        <f t="shared" ca="1" si="12"/>
        <v>2.258965654469395</v>
      </c>
      <c r="G168" s="4">
        <f t="shared" ca="1" si="12"/>
        <v>2.2692845657386984</v>
      </c>
      <c r="H168" s="4">
        <f t="shared" ca="1" si="12"/>
        <v>2.2278792473707836</v>
      </c>
      <c r="I168" s="1">
        <f t="shared" ref="I168:K168" ca="1" si="14">I14+I25+I36+I47+I58+I69+I80+I91+I102+I113+I124+I135+I146+I157</f>
        <v>2.3013991827692579</v>
      </c>
      <c r="J168" s="1">
        <f t="shared" ca="1" si="14"/>
        <v>2.3703037065067667</v>
      </c>
      <c r="K168" s="1">
        <f t="shared" ca="1" si="14"/>
        <v>2.4365546011423072</v>
      </c>
    </row>
    <row r="169" spans="1:20" x14ac:dyDescent="0.2">
      <c r="A169" s="59" t="s">
        <v>112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113</v>
      </c>
      <c r="N169" s="59"/>
      <c r="O169" s="59"/>
      <c r="P169" s="59"/>
      <c r="Q169" s="59"/>
      <c r="R169" s="59"/>
      <c r="S169" s="59"/>
      <c r="T169" s="59"/>
    </row>
    <row r="170" spans="1:20" x14ac:dyDescent="0.2">
      <c r="A170" s="59" t="str">
        <f t="shared" ref="A170:A179" ca="1" si="15">A16</f>
        <v>Pedestrian</v>
      </c>
      <c r="B170" s="60">
        <f ca="1">B181*1000000/'Original Population'!B$158</f>
        <v>181.78604788483881</v>
      </c>
      <c r="C170" s="60">
        <f ca="1">(C181*1000000/'Original Population'!C$158)</f>
        <v>178.98623962888621</v>
      </c>
      <c r="D170" s="60">
        <f ca="1">(D181*1000000/'Original Population'!D$158)</f>
        <v>175.59485734295987</v>
      </c>
      <c r="E170" s="60">
        <f ca="1">(E181*1000000/'Original Population'!E$158)</f>
        <v>171.25427623747694</v>
      </c>
      <c r="F170" s="60">
        <f ca="1">(F181*1000000/'Original Population'!F$158)</f>
        <v>166.37678473753724</v>
      </c>
      <c r="G170" s="60">
        <f ca="1">(G181*1000000/'Original Population'!G$158)</f>
        <v>162.237024822282</v>
      </c>
      <c r="H170" s="60">
        <f ca="1">(H181*1000000/'Original Population'!H$158)</f>
        <v>158.34700488203165</v>
      </c>
      <c r="I170" s="60">
        <f ca="1">H170</f>
        <v>158.34700488203165</v>
      </c>
      <c r="J170" s="60">
        <f t="shared" ref="J170:K170" ca="1" si="16">I170</f>
        <v>158.34700488203165</v>
      </c>
      <c r="K170" s="60">
        <f t="shared" ca="1" si="16"/>
        <v>158.34700488203165</v>
      </c>
      <c r="L170" s="60"/>
      <c r="M170" s="60">
        <f ca="1">B159*'Total Distance Tables Sup #2'!B159*1000000/'Updated Population'!B$158</f>
        <v>181.78604788483881</v>
      </c>
      <c r="N170" s="60">
        <f ca="1">C159*'Total Distance Tables Sup #2'!C159*1000000/'Updated Population'!C$158</f>
        <v>178.98623962888621</v>
      </c>
      <c r="O170" s="60">
        <f ca="1">D159*'Total Distance Tables Sup #2'!D159*1000000/'Updated Population'!D$158</f>
        <v>175.5948573429599</v>
      </c>
      <c r="P170" s="60">
        <f ca="1">E159*'Total Distance Tables Sup #2'!E159*1000000/'Updated Population'!E$158</f>
        <v>171.25427623747694</v>
      </c>
      <c r="Q170" s="60">
        <f ca="1">F159*'Total Distance Tables Sup #2'!F159*1000000/'Updated Population'!F$158</f>
        <v>166.37678473753724</v>
      </c>
      <c r="R170" s="60">
        <f ca="1">G159*'Total Distance Tables Sup #2'!G159*1000000/'Updated Population'!G$158</f>
        <v>162.237024822282</v>
      </c>
      <c r="S170" s="60">
        <f ca="1">H159*'Total Distance Tables Sup #2'!H159*1000000/'Updated Population'!H$158</f>
        <v>158.34700488203163</v>
      </c>
      <c r="T170" s="59"/>
    </row>
    <row r="171" spans="1:20" x14ac:dyDescent="0.2">
      <c r="A171" s="59" t="str">
        <f t="shared" ca="1" si="15"/>
        <v>Cyclist</v>
      </c>
      <c r="B171" s="60">
        <f ca="1">B182*1000000/'Original Population'!B$158</f>
        <v>70.375203004773056</v>
      </c>
      <c r="C171" s="60">
        <f ca="1">(C182*1000000/'Original Population'!C$158)</f>
        <v>71.830816627261029</v>
      </c>
      <c r="D171" s="60">
        <f ca="1">(D182*1000000/'Original Population'!D$158)</f>
        <v>71.512394944463509</v>
      </c>
      <c r="E171" s="60">
        <f ca="1">(E182*1000000/'Original Population'!E$158)</f>
        <v>70.308361882309569</v>
      </c>
      <c r="F171" s="60">
        <f ca="1">(F182*1000000/'Original Population'!F$158)</f>
        <v>70.362420635474635</v>
      </c>
      <c r="G171" s="60">
        <f ca="1">(G182*1000000/'Original Population'!G$158)</f>
        <v>71.780270816353251</v>
      </c>
      <c r="H171" s="60">
        <f ca="1">(H182*1000000/'Original Population'!H$158)</f>
        <v>73.467431835993466</v>
      </c>
      <c r="I171" s="60">
        <f t="shared" ref="I171:K179" ca="1" si="17">H171</f>
        <v>73.467431835993466</v>
      </c>
      <c r="J171" s="60">
        <f t="shared" ca="1" si="17"/>
        <v>73.467431835993466</v>
      </c>
      <c r="K171" s="60">
        <f t="shared" ca="1" si="17"/>
        <v>73.467431835993466</v>
      </c>
      <c r="L171" s="60"/>
      <c r="M171" s="60">
        <f ca="1">B160*'Total Distance Tables Sup #2'!B160*1000000/'Updated Population'!B$158</f>
        <v>70.375203004773056</v>
      </c>
      <c r="N171" s="60">
        <f ca="1">C160*'Total Distance Tables Sup #2'!C160*1000000/'Updated Population'!C$158</f>
        <v>71.830816627261044</v>
      </c>
      <c r="O171" s="60">
        <f ca="1">D160*'Total Distance Tables Sup #2'!D160*1000000/'Updated Population'!D$158</f>
        <v>71.512394944463509</v>
      </c>
      <c r="P171" s="60">
        <f ca="1">E160*'Total Distance Tables Sup #2'!E160*1000000/'Updated Population'!E$158</f>
        <v>70.308361882309569</v>
      </c>
      <c r="Q171" s="60">
        <f ca="1">F160*'Total Distance Tables Sup #2'!F160*1000000/'Updated Population'!F$158</f>
        <v>70.362420635474635</v>
      </c>
      <c r="R171" s="60">
        <f ca="1">G160*'Total Distance Tables Sup #2'!G160*1000000/'Updated Population'!G$158</f>
        <v>71.780270816353251</v>
      </c>
      <c r="S171" s="60">
        <f ca="1">H160*'Total Distance Tables Sup #2'!H160*1000000/'Updated Population'!H$158</f>
        <v>73.467431835993466</v>
      </c>
      <c r="T171" s="59"/>
    </row>
    <row r="172" spans="1:20" x14ac:dyDescent="0.2">
      <c r="A172" s="59" t="str">
        <f t="shared" ca="1" si="15"/>
        <v>Light Vehicle Driver</v>
      </c>
      <c r="B172" s="60">
        <f ca="1">B183*1000000/'Original Population'!B$158</f>
        <v>6838.460924662284</v>
      </c>
      <c r="C172" s="60">
        <f ca="1">C183*1000000/'Original Population'!C$158</f>
        <v>6950.840901665294</v>
      </c>
      <c r="D172" s="60">
        <f ca="1">D183*1000000/'Original Population'!D$158</f>
        <v>6959.9744509387419</v>
      </c>
      <c r="E172" s="60">
        <f ca="1">E183*1000000/'Original Population'!E$158</f>
        <v>7002.819679846677</v>
      </c>
      <c r="F172" s="60">
        <f ca="1">F183*1000000/'Original Population'!F$158</f>
        <v>7043.1242985574845</v>
      </c>
      <c r="G172" s="60">
        <f ca="1">G183*1000000/'Original Population'!G$158</f>
        <v>7044.3769346415438</v>
      </c>
      <c r="H172" s="60">
        <f ca="1">H183*1000000/'Original Population'!H$158</f>
        <v>7041.8833760037596</v>
      </c>
      <c r="I172" s="60">
        <f t="shared" ca="1" si="17"/>
        <v>7041.8833760037596</v>
      </c>
      <c r="J172" s="60">
        <f t="shared" ca="1" si="17"/>
        <v>7041.8833760037596</v>
      </c>
      <c r="K172" s="60">
        <f t="shared" ca="1" si="17"/>
        <v>7041.8833760037596</v>
      </c>
      <c r="L172" s="60"/>
      <c r="M172" s="60">
        <f ca="1">B161*'Total Distance Tables Sup #2'!B161*1000000/'Updated Population'!B$158</f>
        <v>6838.460924662284</v>
      </c>
      <c r="N172" s="60">
        <f ca="1">C161*'Total Distance Tables Sup #2'!C161*1000000/'Updated Population'!C$158</f>
        <v>6950.8409016652959</v>
      </c>
      <c r="O172" s="60">
        <f ca="1">D161*'Total Distance Tables Sup #2'!D161*1000000/'Updated Population'!D$158</f>
        <v>6959.974450938741</v>
      </c>
      <c r="P172" s="60">
        <f ca="1">E161*'Total Distance Tables Sup #2'!E161*1000000/'Updated Population'!E$158</f>
        <v>7002.819679846677</v>
      </c>
      <c r="Q172" s="60">
        <f ca="1">F161*'Total Distance Tables Sup #2'!F161*1000000/'Updated Population'!F$158</f>
        <v>7043.1242985574827</v>
      </c>
      <c r="R172" s="60">
        <f ca="1">G161*'Total Distance Tables Sup #2'!G161*1000000/'Updated Population'!G$158</f>
        <v>7044.3769346415438</v>
      </c>
      <c r="S172" s="60">
        <f ca="1">H161*'Total Distance Tables Sup #2'!H161*1000000/'Updated Population'!H$158</f>
        <v>7041.8833760037587</v>
      </c>
      <c r="T172" s="59"/>
    </row>
    <row r="173" spans="1:20" x14ac:dyDescent="0.2">
      <c r="A173" s="59" t="str">
        <f t="shared" ca="1" si="15"/>
        <v>Light Vehicle Passenger</v>
      </c>
      <c r="B173" s="60">
        <f ca="1">B184*1000000/'Original Population'!B$158</f>
        <v>3850.9374836275215</v>
      </c>
      <c r="C173" s="60">
        <f ca="1">C184*1000000/'Original Population'!C$158</f>
        <v>3766.8726461786864</v>
      </c>
      <c r="D173" s="60">
        <f ca="1">D184*1000000/'Original Population'!D$158</f>
        <v>3692.921332855035</v>
      </c>
      <c r="E173" s="60">
        <f ca="1">E184*1000000/'Original Population'!E$158</f>
        <v>3640.7646006773416</v>
      </c>
      <c r="F173" s="60">
        <f ca="1">F184*1000000/'Original Population'!F$158</f>
        <v>3582.9915763970862</v>
      </c>
      <c r="G173" s="60">
        <f ca="1">G184*1000000/'Original Population'!G$158</f>
        <v>3522.5916388207897</v>
      </c>
      <c r="H173" s="60">
        <f ca="1">H184*1000000/'Original Population'!H$158</f>
        <v>3461.0087467262538</v>
      </c>
      <c r="I173" s="60">
        <f t="shared" ca="1" si="17"/>
        <v>3461.0087467262538</v>
      </c>
      <c r="J173" s="60">
        <f t="shared" ca="1" si="17"/>
        <v>3461.0087467262538</v>
      </c>
      <c r="K173" s="60">
        <f t="shared" ca="1" si="17"/>
        <v>3461.0087467262538</v>
      </c>
      <c r="L173" s="60"/>
      <c r="M173" s="60">
        <f ca="1">B162*'Total Distance Tables Sup #2'!B162*1000000/'Updated Population'!B$158</f>
        <v>3850.9374836275215</v>
      </c>
      <c r="N173" s="60">
        <f ca="1">C162*'Total Distance Tables Sup #2'!C162*1000000/'Updated Population'!C$158</f>
        <v>3766.8726461786864</v>
      </c>
      <c r="O173" s="60">
        <f ca="1">D162*'Total Distance Tables Sup #2'!D162*1000000/'Updated Population'!D$158</f>
        <v>3692.9213328550354</v>
      </c>
      <c r="P173" s="60">
        <f ca="1">E162*'Total Distance Tables Sup #2'!E162*1000000/'Updated Population'!E$158</f>
        <v>3640.7646006773425</v>
      </c>
      <c r="Q173" s="60">
        <f ca="1">F162*'Total Distance Tables Sup #2'!F162*1000000/'Updated Population'!F$158</f>
        <v>3582.9915763970866</v>
      </c>
      <c r="R173" s="60">
        <f ca="1">G162*'Total Distance Tables Sup #2'!G162*1000000/'Updated Population'!G$158</f>
        <v>3522.5916388207888</v>
      </c>
      <c r="S173" s="60">
        <f ca="1">H162*'Total Distance Tables Sup #2'!H162*1000000/'Updated Population'!H$158</f>
        <v>3461.0087467262542</v>
      </c>
      <c r="T173" s="59"/>
    </row>
    <row r="174" spans="1:20" x14ac:dyDescent="0.2">
      <c r="A174" s="59" t="str">
        <f t="shared" ca="1" si="15"/>
        <v>Taxi/Vehicle Share</v>
      </c>
      <c r="B174" s="60">
        <f ca="1">B185*1000000/'Original Population'!B$158</f>
        <v>23.110870190989733</v>
      </c>
      <c r="C174" s="60">
        <f ca="1">C185*1000000/'Original Population'!C$158</f>
        <v>24.588637795542329</v>
      </c>
      <c r="D174" s="60">
        <f ca="1">D185*1000000/'Original Population'!D$158</f>
        <v>25.946805677815728</v>
      </c>
      <c r="E174" s="60">
        <f ca="1">E185*1000000/'Original Population'!E$158</f>
        <v>27.200162932983989</v>
      </c>
      <c r="F174" s="60">
        <f ca="1">F185*1000000/'Original Population'!F$158</f>
        <v>28.205129853350563</v>
      </c>
      <c r="G174" s="60">
        <f ca="1">G185*1000000/'Original Population'!G$158</f>
        <v>28.84870089550067</v>
      </c>
      <c r="H174" s="60">
        <f ca="1">H185*1000000/'Original Population'!H$158</f>
        <v>29.466200572550893</v>
      </c>
      <c r="I174" s="60">
        <f t="shared" ca="1" si="17"/>
        <v>29.466200572550893</v>
      </c>
      <c r="J174" s="60">
        <f t="shared" ca="1" si="17"/>
        <v>29.466200572550893</v>
      </c>
      <c r="K174" s="60">
        <f t="shared" ca="1" si="17"/>
        <v>29.466200572550893</v>
      </c>
      <c r="L174" s="60"/>
      <c r="M174" s="60">
        <f ca="1">B163*'Total Distance Tables Sup #2'!B163*1000000/'Updated Population'!B$158</f>
        <v>23.110870190989733</v>
      </c>
      <c r="N174" s="60">
        <f ca="1">C163*'Total Distance Tables Sup #2'!C163*1000000/'Updated Population'!C$158</f>
        <v>24.588637795542329</v>
      </c>
      <c r="O174" s="60">
        <f ca="1">D163*'Total Distance Tables Sup #2'!D163*1000000/'Updated Population'!D$158</f>
        <v>25.946805677815732</v>
      </c>
      <c r="P174" s="60">
        <f ca="1">E163*'Total Distance Tables Sup #2'!E163*1000000/'Updated Population'!E$158</f>
        <v>27.200162932983989</v>
      </c>
      <c r="Q174" s="60">
        <f ca="1">F163*'Total Distance Tables Sup #2'!F163*1000000/'Updated Population'!F$158</f>
        <v>28.205129853350563</v>
      </c>
      <c r="R174" s="60">
        <f ca="1">G163*'Total Distance Tables Sup #2'!G163*1000000/'Updated Population'!G$158</f>
        <v>28.848700895500663</v>
      </c>
      <c r="S174" s="60">
        <f ca="1">H163*'Total Distance Tables Sup #2'!H163*1000000/'Updated Population'!H$158</f>
        <v>29.466200572550889</v>
      </c>
      <c r="T174" s="59"/>
    </row>
    <row r="175" spans="1:20" x14ac:dyDescent="0.2">
      <c r="A175" s="59" t="str">
        <f t="shared" ca="1" si="15"/>
        <v>Motorcyclist</v>
      </c>
      <c r="B175" s="60">
        <f ca="1">B186*1000000/'Original Population'!B$158</f>
        <v>56.210724388418591</v>
      </c>
      <c r="C175" s="60">
        <f ca="1">C186*1000000/'Original Population'!C$158</f>
        <v>56.70420108064755</v>
      </c>
      <c r="D175" s="60">
        <f ca="1">D186*1000000/'Original Population'!D$158</f>
        <v>56.223216761949018</v>
      </c>
      <c r="E175" s="60">
        <f ca="1">E186*1000000/'Original Population'!E$158</f>
        <v>55.232602956428913</v>
      </c>
      <c r="F175" s="60">
        <f ca="1">F186*1000000/'Original Population'!F$158</f>
        <v>53.984539449540087</v>
      </c>
      <c r="G175" s="60">
        <f ca="1">G186*1000000/'Original Population'!G$158</f>
        <v>52.102823401083889</v>
      </c>
      <c r="H175" s="60">
        <f ca="1">H186*1000000/'Original Population'!H$158</f>
        <v>50.225228221501027</v>
      </c>
      <c r="I175" s="60">
        <f t="shared" ca="1" si="17"/>
        <v>50.225228221501027</v>
      </c>
      <c r="J175" s="60">
        <f t="shared" ca="1" si="17"/>
        <v>50.225228221501027</v>
      </c>
      <c r="K175" s="60">
        <f t="shared" ca="1" si="17"/>
        <v>50.225228221501027</v>
      </c>
      <c r="L175" s="60"/>
      <c r="M175" s="60">
        <f ca="1">B164*'Total Distance Tables Sup #2'!B164*1000000/'Updated Population'!B$158</f>
        <v>56.210724388418591</v>
      </c>
      <c r="N175" s="60">
        <f ca="1">C164*'Total Distance Tables Sup #2'!C164*1000000/'Updated Population'!C$158</f>
        <v>56.70420108064755</v>
      </c>
      <c r="O175" s="60">
        <f ca="1">D164*'Total Distance Tables Sup #2'!D164*1000000/'Updated Population'!D$158</f>
        <v>56.223216761949026</v>
      </c>
      <c r="P175" s="60">
        <f ca="1">E164*'Total Distance Tables Sup #2'!E164*1000000/'Updated Population'!E$158</f>
        <v>55.232602956428906</v>
      </c>
      <c r="Q175" s="60">
        <f ca="1">F164*'Total Distance Tables Sup #2'!F164*1000000/'Updated Population'!F$158</f>
        <v>53.98453944954008</v>
      </c>
      <c r="R175" s="60">
        <f ca="1">G164*'Total Distance Tables Sup #2'!G164*1000000/'Updated Population'!G$158</f>
        <v>52.102823401083896</v>
      </c>
      <c r="S175" s="60">
        <f ca="1">H164*'Total Distance Tables Sup #2'!H164*1000000/'Updated Population'!H$158</f>
        <v>50.225228221501027</v>
      </c>
      <c r="T175" s="59"/>
    </row>
    <row r="176" spans="1:20" x14ac:dyDescent="0.2">
      <c r="A176" s="59" t="str">
        <f t="shared" ca="1" si="15"/>
        <v>Local Train</v>
      </c>
      <c r="B176" s="60">
        <f ca="1">B187*1000000/'Original Population'!B$158</f>
        <v>84.970948833753596</v>
      </c>
      <c r="C176" s="60">
        <f ca="1">C187*1000000/'Original Population'!C$158</f>
        <v>86.606936993182643</v>
      </c>
      <c r="D176" s="60">
        <f ca="1">D187*1000000/'Original Population'!D$158</f>
        <v>87.251014577312489</v>
      </c>
      <c r="E176" s="60">
        <f ca="1">E187*1000000/'Original Population'!E$158</f>
        <v>86.912639342066967</v>
      </c>
      <c r="F176" s="60">
        <f ca="1">F187*1000000/'Original Population'!F$158</f>
        <v>85.502614202214346</v>
      </c>
      <c r="G176" s="60">
        <f ca="1">G187*1000000/'Original Population'!G$158</f>
        <v>84.415013896264497</v>
      </c>
      <c r="H176" s="60">
        <f ca="1">H187*1000000/'Original Population'!H$158</f>
        <v>83.163179766971695</v>
      </c>
      <c r="I176" s="60">
        <f t="shared" ca="1" si="17"/>
        <v>83.163179766971695</v>
      </c>
      <c r="J176" s="60">
        <f t="shared" ca="1" si="17"/>
        <v>83.163179766971695</v>
      </c>
      <c r="K176" s="60">
        <f t="shared" ca="1" si="17"/>
        <v>83.163179766971695</v>
      </c>
      <c r="L176" s="60"/>
      <c r="M176" s="60">
        <f ca="1">B165*'Total Distance Tables Sup #2'!B165*1000000/'Updated Population'!B$158</f>
        <v>84.970948833753596</v>
      </c>
      <c r="N176" s="60">
        <f ca="1">C165*'Total Distance Tables Sup #2'!C165*1000000/'Updated Population'!C$158</f>
        <v>86.606936993182643</v>
      </c>
      <c r="O176" s="60">
        <f ca="1">D165*'Total Distance Tables Sup #2'!D165*1000000/'Updated Population'!D$158</f>
        <v>87.251014577312489</v>
      </c>
      <c r="P176" s="60">
        <f ca="1">E165*'Total Distance Tables Sup #2'!E165*1000000/'Updated Population'!E$158</f>
        <v>86.912639342066967</v>
      </c>
      <c r="Q176" s="60">
        <f ca="1">F165*'Total Distance Tables Sup #2'!F165*1000000/'Updated Population'!F$158</f>
        <v>85.502614202214346</v>
      </c>
      <c r="R176" s="60">
        <f ca="1">G165*'Total Distance Tables Sup #2'!G165*1000000/'Updated Population'!G$158</f>
        <v>84.415013896264497</v>
      </c>
      <c r="S176" s="60">
        <f ca="1">H165*'Total Distance Tables Sup #2'!H165*1000000/'Updated Population'!H$158</f>
        <v>83.163179766971695</v>
      </c>
      <c r="T176" s="59"/>
    </row>
    <row r="177" spans="1:20" x14ac:dyDescent="0.2">
      <c r="A177" s="59" t="s">
        <v>16</v>
      </c>
      <c r="B177" s="60">
        <f ca="1">B188*1000000/'Original Population'!B$169</f>
        <v>175.4995594451232</v>
      </c>
      <c r="C177" s="60">
        <f ca="1">C188*1000000/'Original Population'!C$169</f>
        <v>159.64604958029074</v>
      </c>
      <c r="D177" s="60">
        <f ca="1">D188*1000000/'Original Population'!D$169</f>
        <v>149.93917261757454</v>
      </c>
      <c r="E177" s="60">
        <f ca="1">E188*1000000/'Original Population'!E$169</f>
        <v>143.22902800576563</v>
      </c>
      <c r="F177" s="60">
        <f ca="1">F188*1000000/'Original Population'!F$169</f>
        <v>135.21982469100459</v>
      </c>
      <c r="G177" s="60">
        <f ca="1">G188*1000000/'Original Population'!G$169</f>
        <v>129.67817588339307</v>
      </c>
      <c r="H177" s="60">
        <f ca="1">H188*1000000/'Original Population'!H$169</f>
        <v>124.42405641052072</v>
      </c>
      <c r="I177" s="60">
        <f t="shared" ca="1" si="17"/>
        <v>124.42405641052072</v>
      </c>
      <c r="J177" s="60">
        <f t="shared" ca="1" si="17"/>
        <v>124.42405641052072</v>
      </c>
      <c r="K177" s="60">
        <f t="shared" ca="1" si="17"/>
        <v>124.42405641052072</v>
      </c>
      <c r="L177" s="60"/>
      <c r="M177" s="60">
        <f ca="1">B166*'Total Distance Tables Sup #2'!B166*1000000/'Updated Population'!B$169</f>
        <v>175.4995594451232</v>
      </c>
      <c r="N177" s="60">
        <f ca="1">C166*'Total Distance Tables Sup #2'!C166*1000000/'Updated Population'!C$169</f>
        <v>159.64604958029071</v>
      </c>
      <c r="O177" s="60">
        <f ca="1">D166*'Total Distance Tables Sup #2'!D166*1000000/'Updated Population'!D$169</f>
        <v>149.93917261757454</v>
      </c>
      <c r="P177" s="60">
        <f ca="1">E166*'Total Distance Tables Sup #2'!E166*1000000/'Updated Population'!E$169</f>
        <v>143.22902800576563</v>
      </c>
      <c r="Q177" s="60">
        <f ca="1">F166*'Total Distance Tables Sup #2'!F166*1000000/'Updated Population'!F$169</f>
        <v>135.21982469100459</v>
      </c>
      <c r="R177" s="60">
        <f ca="1">G166*'Total Distance Tables Sup #2'!G166*1000000/'Updated Population'!G$169</f>
        <v>129.67817588339307</v>
      </c>
      <c r="S177" s="60">
        <f ca="1">H166*'Total Distance Tables Sup #2'!H166*1000000/'Updated Population'!H$169</f>
        <v>124.42405641052069</v>
      </c>
      <c r="T177" s="59"/>
    </row>
    <row r="178" spans="1:20" x14ac:dyDescent="0.2">
      <c r="A178" s="59" t="str">
        <f t="shared" ca="1" si="15"/>
        <v>Local Ferry</v>
      </c>
      <c r="B178" s="60">
        <f ca="1">IF(B189=0,1,B189*1000000/'Original Population'!B$158)</f>
        <v>1</v>
      </c>
      <c r="C178" s="60">
        <f ca="1">C189*1000000/'Original Population'!C$158</f>
        <v>0</v>
      </c>
      <c r="D178" s="60">
        <f ca="1">D189*1000000/'Original Population'!D$158</f>
        <v>0</v>
      </c>
      <c r="E178" s="60">
        <f ca="1">E189*1000000/'Original Population'!E$158</f>
        <v>0</v>
      </c>
      <c r="F178" s="60">
        <f ca="1">F189*1000000/'Original Population'!F$158</f>
        <v>0</v>
      </c>
      <c r="G178" s="60">
        <f ca="1">G189*1000000/'Original Population'!G$158</f>
        <v>0</v>
      </c>
      <c r="H178" s="60">
        <f ca="1">H189*1000000/'Original Population'!H$158</f>
        <v>0</v>
      </c>
      <c r="I178" s="60">
        <f t="shared" ca="1" si="17"/>
        <v>0</v>
      </c>
      <c r="J178" s="60">
        <f t="shared" ca="1" si="17"/>
        <v>0</v>
      </c>
      <c r="K178" s="60">
        <f t="shared" ca="1" si="17"/>
        <v>0</v>
      </c>
      <c r="L178" s="60"/>
      <c r="M178" s="60">
        <f ca="1">B167*'Total Distance Tables Sup #2'!B167*1000000/'Updated Population'!B$158</f>
        <v>0</v>
      </c>
      <c r="N178" s="60">
        <f ca="1">C167*'Total Distance Tables Sup #2'!C167*1000000/'Updated Population'!C$158</f>
        <v>0</v>
      </c>
      <c r="O178" s="60">
        <f ca="1">D167*'Total Distance Tables Sup #2'!D167*1000000/'Updated Population'!D$158</f>
        <v>0</v>
      </c>
      <c r="P178" s="60">
        <f ca="1">E167*'Total Distance Tables Sup #2'!E167*1000000/'Updated Population'!E$158</f>
        <v>0</v>
      </c>
      <c r="Q178" s="60">
        <f ca="1">F167*'Total Distance Tables Sup #2'!F167*1000000/'Updated Population'!F$158</f>
        <v>0</v>
      </c>
      <c r="R178" s="60">
        <f ca="1">G167*'Total Distance Tables Sup #2'!G167*1000000/'Updated Population'!G$158</f>
        <v>0</v>
      </c>
      <c r="S178" s="60">
        <f ca="1">H167*'Total Distance Tables Sup #2'!H167*1000000/'Updated Population'!H$158</f>
        <v>0</v>
      </c>
      <c r="T178" s="59"/>
    </row>
    <row r="179" spans="1:20" x14ac:dyDescent="0.2">
      <c r="A179" s="59" t="str">
        <f t="shared" ca="1" si="15"/>
        <v>Other Household Travel</v>
      </c>
      <c r="B179" s="60">
        <f ca="1">B190*1000000/'Original Population'!B$158</f>
        <v>0.41070647302773777</v>
      </c>
      <c r="C179" s="60">
        <f ca="1">C190*1000000/'Original Population'!C$158</f>
        <v>0.37515975961924064</v>
      </c>
      <c r="D179" s="60">
        <f ca="1">D190*1000000/'Original Population'!D$158</f>
        <v>0.33978586117903836</v>
      </c>
      <c r="E179" s="60">
        <f ca="1">E190*1000000/'Original Population'!E$158</f>
        <v>0.37473668339640953</v>
      </c>
      <c r="F179" s="60">
        <f ca="1">F190*1000000/'Original Population'!F$158</f>
        <v>0.38587872706495069</v>
      </c>
      <c r="G179" s="60">
        <f ca="1">G190*1000000/'Original Population'!G$158</f>
        <v>0.37231887764158139</v>
      </c>
      <c r="H179" s="60">
        <f ca="1">H190*1000000/'Original Population'!H$158</f>
        <v>0.35271474457331348</v>
      </c>
      <c r="I179" s="60">
        <f t="shared" ca="1" si="17"/>
        <v>0.35271474457331348</v>
      </c>
      <c r="J179" s="60">
        <f t="shared" ca="1" si="17"/>
        <v>0.35271474457331348</v>
      </c>
      <c r="K179" s="60">
        <f t="shared" ca="1" si="17"/>
        <v>0.35271474457331348</v>
      </c>
      <c r="L179" s="60"/>
      <c r="M179" s="60">
        <f ca="1">B168*'Total Distance Tables Sup #2'!B168*1000000/'Updated Population'!B$158</f>
        <v>0.41070647302773777</v>
      </c>
      <c r="N179" s="60">
        <f ca="1">C168*'Total Distance Tables Sup #2'!C168*1000000/'Updated Population'!C$158</f>
        <v>0.37515975961924064</v>
      </c>
      <c r="O179" s="60">
        <f ca="1">D168*'Total Distance Tables Sup #2'!D168*1000000/'Updated Population'!D$158</f>
        <v>0.33978586117903831</v>
      </c>
      <c r="P179" s="60">
        <f ca="1">E168*'Total Distance Tables Sup #2'!E168*1000000/'Updated Population'!E$158</f>
        <v>0.37473668339640959</v>
      </c>
      <c r="Q179" s="60">
        <f ca="1">F168*'Total Distance Tables Sup #2'!F168*1000000/'Updated Population'!F$158</f>
        <v>0.38587872706495063</v>
      </c>
      <c r="R179" s="60">
        <f ca="1">G168*'Total Distance Tables Sup #2'!G168*1000000/'Updated Population'!G$158</f>
        <v>0.37231887764158134</v>
      </c>
      <c r="S179" s="60">
        <f ca="1">H168*'Total Distance Tables Sup #2'!H168*1000000/'Updated Population'!H$158</f>
        <v>0.35271474457331342</v>
      </c>
      <c r="T179" s="59"/>
    </row>
    <row r="180" spans="1:20" x14ac:dyDescent="0.2">
      <c r="A180" t="s">
        <v>21</v>
      </c>
    </row>
    <row r="181" spans="1:20" x14ac:dyDescent="0.2">
      <c r="A181" t="str">
        <f t="shared" ref="A181:A187" ca="1" si="18">A27</f>
        <v>Pedestrian</v>
      </c>
      <c r="B181" s="4">
        <f ca="1">'Total Distance Tables Original'!B159</f>
        <v>807.42091028530001</v>
      </c>
      <c r="C181" s="4">
        <f ca="1">'Total Distance Tables Original'!C159</f>
        <v>848.01890473770004</v>
      </c>
      <c r="D181" s="4">
        <f ca="1">'Total Distance Tables Original'!D159</f>
        <v>868.8609136186999</v>
      </c>
      <c r="E181" s="4">
        <f ca="1">'Total Distance Tables Original'!E159</f>
        <v>882.3876583135999</v>
      </c>
      <c r="F181" s="4">
        <f ca="1">'Total Distance Tables Original'!F159</f>
        <v>888.10263925050003</v>
      </c>
      <c r="G181" s="4">
        <f ca="1">'Total Distance Tables Original'!G159</f>
        <v>892.07650468779991</v>
      </c>
      <c r="H181" s="4">
        <f ca="1">'Total Distance Tables Original'!H159</f>
        <v>892.88709112880008</v>
      </c>
      <c r="I181" s="1">
        <f ca="1">'Total Distance Tables Original'!I159</f>
        <v>914.99458449142219</v>
      </c>
      <c r="J181" s="1">
        <f ca="1">'Total Distance Tables Original'!J159</f>
        <v>934.94963827270999</v>
      </c>
      <c r="K181" s="1">
        <f ca="1">'Total Distance Tables Original'!K159</f>
        <v>953.57533403300783</v>
      </c>
    </row>
    <row r="182" spans="1:20" x14ac:dyDescent="0.2">
      <c r="A182" t="str">
        <f t="shared" ca="1" si="18"/>
        <v>Cyclist</v>
      </c>
      <c r="B182" s="4">
        <f ca="1">'Total Distance Tables Original'!B160</f>
        <v>312.57850166600002</v>
      </c>
      <c r="C182" s="4">
        <f ca="1">'Total Distance Tables Original'!C160</f>
        <v>340.32722609830006</v>
      </c>
      <c r="D182" s="4">
        <f ca="1">'Total Distance Tables Original'!D160</f>
        <v>353.85048142469998</v>
      </c>
      <c r="E182" s="4">
        <f ca="1">'Total Distance Tables Original'!E160</f>
        <v>362.26383459860006</v>
      </c>
      <c r="F182" s="4">
        <f ca="1">'Total Distance Tables Original'!F160</f>
        <v>375.5875651101</v>
      </c>
      <c r="G182" s="4">
        <f ca="1">'Total Distance Tables Original'!G160</f>
        <v>394.69099711080008</v>
      </c>
      <c r="H182" s="4">
        <f ca="1">'Total Distance Tables Original'!H160</f>
        <v>414.26815463679998</v>
      </c>
      <c r="I182" s="1">
        <f ca="1">'Total Distance Tables Original'!I160</f>
        <v>424.40357597297429</v>
      </c>
      <c r="J182" s="1">
        <f ca="1">'Total Distance Tables Original'!J160</f>
        <v>433.53960777698882</v>
      </c>
      <c r="K182" s="1">
        <f ca="1">'Total Distance Tables Original'!K160</f>
        <v>442.05854883050625</v>
      </c>
    </row>
    <row r="183" spans="1:20" x14ac:dyDescent="0.2">
      <c r="A183" t="str">
        <f t="shared" ca="1" si="18"/>
        <v>Light Vehicle Driver</v>
      </c>
      <c r="B183" s="4">
        <f ca="1">'Total Distance Tables Original'!B161</f>
        <v>30373.708042980001</v>
      </c>
      <c r="C183" s="4">
        <f ca="1">'Total Distance Tables Original'!C161</f>
        <v>32932.389107999996</v>
      </c>
      <c r="D183" s="4">
        <f ca="1">'Total Distance Tables Original'!D161</f>
        <v>34438.649580689998</v>
      </c>
      <c r="E183" s="4">
        <f ca="1">'Total Distance Tables Original'!E161</f>
        <v>36082.028400410003</v>
      </c>
      <c r="F183" s="4">
        <f ca="1">'Total Distance Tables Original'!F161</f>
        <v>37595.493193269998</v>
      </c>
      <c r="G183" s="4">
        <f ca="1">'Total Distance Tables Original'!G161</f>
        <v>38734.21101282</v>
      </c>
      <c r="H183" s="4">
        <f ca="1">'Total Distance Tables Original'!H161</f>
        <v>39707.771980609999</v>
      </c>
      <c r="I183" s="1">
        <f ca="1">'Total Distance Tables Original'!I161</f>
        <v>40604.106143218269</v>
      </c>
      <c r="J183" s="1">
        <f ca="1">'Total Distance Tables Original'!J161</f>
        <v>41401.848638599171</v>
      </c>
      <c r="K183" s="1">
        <f ca="1">'Total Distance Tables Original'!K161</f>
        <v>42138.031276756526</v>
      </c>
    </row>
    <row r="184" spans="1:20" x14ac:dyDescent="0.2">
      <c r="A184" t="str">
        <f t="shared" ca="1" si="18"/>
        <v>Light Vehicle Passenger</v>
      </c>
      <c r="B184" s="4">
        <f ca="1">'Total Distance Tables Original'!B162</f>
        <v>17104.323927279998</v>
      </c>
      <c r="C184" s="4">
        <f ca="1">'Total Distance Tables Original'!C162</f>
        <v>17847.065910329999</v>
      </c>
      <c r="D184" s="4">
        <f ca="1">'Total Distance Tables Original'!D162</f>
        <v>18272.944047100002</v>
      </c>
      <c r="E184" s="4">
        <f ca="1">'Total Distance Tables Original'!E162</f>
        <v>18759.039604990001</v>
      </c>
      <c r="F184" s="4">
        <f ca="1">'Total Distance Tables Original'!F162</f>
        <v>19125.650735650004</v>
      </c>
      <c r="G184" s="4">
        <f ca="1">'Total Distance Tables Original'!G162</f>
        <v>19369.322385219999</v>
      </c>
      <c r="H184" s="4">
        <f ca="1">'Total Distance Tables Original'!H162</f>
        <v>19515.936121040002</v>
      </c>
      <c r="I184" s="1">
        <f ca="1">'Total Distance Tables Original'!I162</f>
        <v>19949.508099449678</v>
      </c>
      <c r="J184" s="1">
        <f ca="1">'Total Distance Tables Original'!J162</f>
        <v>20334.271491161478</v>
      </c>
      <c r="K184" s="1">
        <f ca="1">'Total Distance Tables Original'!K162</f>
        <v>20688.46041270611</v>
      </c>
    </row>
    <row r="185" spans="1:20" x14ac:dyDescent="0.2">
      <c r="A185" t="str">
        <f t="shared" ca="1" si="18"/>
        <v>Taxi/Vehicle Share</v>
      </c>
      <c r="B185" s="4">
        <f ca="1">'Total Distance Tables Original'!B163</f>
        <v>102.6492410403</v>
      </c>
      <c r="C185" s="4">
        <f ca="1">'Total Distance Tables Original'!C163</f>
        <v>116.4985070115</v>
      </c>
      <c r="D185" s="4">
        <f ca="1">'Total Distance Tables Original'!D163</f>
        <v>128.38738917440003</v>
      </c>
      <c r="E185" s="4">
        <f ca="1">'Total Distance Tables Original'!E163</f>
        <v>140.1488395122</v>
      </c>
      <c r="F185" s="4">
        <f ca="1">'Total Distance Tables Original'!F163</f>
        <v>150.55616264419996</v>
      </c>
      <c r="G185" s="4">
        <f ca="1">'Total Distance Tables Original'!G163</f>
        <v>158.627466744</v>
      </c>
      <c r="H185" s="4">
        <f ca="1">'Total Distance Tables Original'!H163</f>
        <v>166.15401178849999</v>
      </c>
      <c r="I185" s="1">
        <f ca="1">'Total Distance Tables Original'!I163</f>
        <v>170.51675142737184</v>
      </c>
      <c r="J185" s="1">
        <f ca="1">'Total Distance Tables Original'!J163</f>
        <v>174.49609570551061</v>
      </c>
      <c r="K185" s="1">
        <f ca="1">'Total Distance Tables Original'!K163</f>
        <v>178.2441338906734</v>
      </c>
    </row>
    <row r="186" spans="1:20" x14ac:dyDescent="0.2">
      <c r="A186" t="str">
        <f t="shared" ca="1" si="18"/>
        <v>Motorcyclist</v>
      </c>
      <c r="B186" s="4">
        <f ca="1">'Total Distance Tables Original'!B164</f>
        <v>249.6655534436</v>
      </c>
      <c r="C186" s="4">
        <f ca="1">'Total Distance Tables Original'!C164</f>
        <v>268.65883430000002</v>
      </c>
      <c r="D186" s="4">
        <f ca="1">'Total Distance Tables Original'!D164</f>
        <v>278.19809885979998</v>
      </c>
      <c r="E186" s="4">
        <f ca="1">'Total Distance Tables Original'!E164</f>
        <v>284.58598673299997</v>
      </c>
      <c r="F186" s="4">
        <f ca="1">'Total Distance Tables Original'!F164</f>
        <v>288.16407312770002</v>
      </c>
      <c r="G186" s="4">
        <f ca="1">'Total Distance Tables Original'!G164</f>
        <v>286.49258475319994</v>
      </c>
      <c r="H186" s="4">
        <f ca="1">'Total Distance Tables Original'!H164</f>
        <v>283.21001689539997</v>
      </c>
      <c r="I186" s="1">
        <f ca="1">'Total Distance Tables Original'!I164</f>
        <v>287.67066983704632</v>
      </c>
      <c r="J186" s="1">
        <f ca="1">'Total Distance Tables Original'!J164</f>
        <v>291.36705265393408</v>
      </c>
      <c r="K186" s="1">
        <f ca="1">'Total Distance Tables Original'!K164</f>
        <v>294.57353853608214</v>
      </c>
    </row>
    <row r="187" spans="1:20" x14ac:dyDescent="0.2">
      <c r="A187" t="str">
        <f t="shared" ca="1" si="18"/>
        <v>Local Train</v>
      </c>
      <c r="B187" s="4">
        <f ca="1">'Total Distance Tables Original'!B22+'Total Distance Tables Original'!B99</f>
        <v>377.40696634</v>
      </c>
      <c r="C187" s="4">
        <f ca="1">'Total Distance Tables Original'!C22+'Total Distance Tables Original'!C99</f>
        <v>410.33500678000001</v>
      </c>
      <c r="D187" s="4">
        <f ca="1">'Total Distance Tables Original'!D22+'Total Distance Tables Original'!D99</f>
        <v>431.72674523000001</v>
      </c>
      <c r="E187" s="4">
        <f ca="1">'Total Distance Tables Original'!E22+'Total Distance Tables Original'!E99</f>
        <v>447.81737421000003</v>
      </c>
      <c r="F187" s="4">
        <f ca="1">'Total Distance Tables Original'!F22+'Total Distance Tables Original'!F99</f>
        <v>456.40440434999999</v>
      </c>
      <c r="G187" s="4">
        <f ca="1">'Total Distance Tables Original'!G22+'Total Distance Tables Original'!G99</f>
        <v>464.16439541</v>
      </c>
      <c r="H187" s="4">
        <f ca="1">'Total Distance Tables Original'!H22+'Total Distance Tables Original'!H99</f>
        <v>468.94053807</v>
      </c>
      <c r="I187" s="1">
        <f ca="1">'Total Distance Tables Original'!I22+'Total Distance Tables Original'!I99</f>
        <v>480.95667695387351</v>
      </c>
      <c r="J187" s="1">
        <f ca="1">'Total Distance Tables Original'!J22+'Total Distance Tables Original'!J99</f>
        <v>491.83687048393858</v>
      </c>
      <c r="K187" s="1">
        <f ca="1">'Total Distance Tables Original'!K22+'Total Distance Tables Original'!K99</f>
        <v>502.01251954159306</v>
      </c>
    </row>
    <row r="188" spans="1:20" x14ac:dyDescent="0.2">
      <c r="A188" t="s">
        <v>16</v>
      </c>
      <c r="B188" s="4">
        <f ca="1">'Total Distance Tables Original'!B12+'Total Distance Tables Original'!B34+'Total Distance Tables Original'!B45+'Total Distance Tables Original'!B56+'Total Distance Tables Original'!B67+'Total Distance Tables Original'!B78+'Total Distance Tables Original'!B89+'Total Distance Tables Original'!B111+'Total Distance Tables Original'!B122+'Total Distance Tables Original'!B144+'Total Distance Tables Original'!B155</f>
        <v>333.23856347439994</v>
      </c>
      <c r="C188" s="4">
        <f ca="1">'Total Distance Tables Original'!C12+'Total Distance Tables Original'!C34+'Total Distance Tables Original'!C45+'Total Distance Tables Original'!C56+'Total Distance Tables Original'!C67+'Total Distance Tables Original'!C78+'Total Distance Tables Original'!C89+'Total Distance Tables Original'!C111+'Total Distance Tables Original'!C122+'Total Distance Tables Original'!C144+'Total Distance Tables Original'!C155</f>
        <v>317.64747162660001</v>
      </c>
      <c r="D188" s="4">
        <f ca="1">'Total Distance Tables Original'!D12+'Total Distance Tables Original'!D34+'Total Distance Tables Original'!D45+'Total Distance Tables Original'!D56+'Total Distance Tables Original'!D67+'Total Distance Tables Original'!D78+'Total Distance Tables Original'!D89+'Total Distance Tables Original'!D111+'Total Distance Tables Original'!D122+'Total Distance Tables Original'!D144+'Total Distance Tables Original'!D155</f>
        <v>307.5845960341</v>
      </c>
      <c r="E188" s="4">
        <f ca="1">'Total Distance Tables Original'!E12+'Total Distance Tables Original'!E34+'Total Distance Tables Original'!E45+'Total Distance Tables Original'!E56+'Total Distance Tables Original'!E67+'Total Distance Tables Original'!E78+'Total Distance Tables Original'!E89+'Total Distance Tables Original'!E111+'Total Distance Tables Original'!E122+'Total Distance Tables Original'!E144+'Total Distance Tables Original'!E155</f>
        <v>301.97238960379997</v>
      </c>
      <c r="F188" s="4">
        <f ca="1">'Total Distance Tables Original'!F12+'Total Distance Tables Original'!F34+'Total Distance Tables Original'!F45+'Total Distance Tables Original'!F56+'Total Distance Tables Original'!F67+'Total Distance Tables Original'!F78+'Total Distance Tables Original'!F89+'Total Distance Tables Original'!F111+'Total Distance Tables Original'!F122+'Total Distance Tables Original'!F144+'Total Distance Tables Original'!F155</f>
        <v>291.38450832960001</v>
      </c>
      <c r="G188" s="4">
        <f ca="1">'Total Distance Tables Original'!G12+'Total Distance Tables Original'!G34+'Total Distance Tables Original'!G45+'Total Distance Tables Original'!G56+'Total Distance Tables Original'!G67+'Total Distance Tables Original'!G78+'Total Distance Tables Original'!G89+'Total Distance Tables Original'!G111+'Total Distance Tables Original'!G122+'Total Distance Tables Original'!G144+'Total Distance Tables Original'!G155</f>
        <v>283.8722896955</v>
      </c>
      <c r="H188" s="4">
        <f ca="1">'Total Distance Tables Original'!H12+'Total Distance Tables Original'!H34+'Total Distance Tables Original'!H45+'Total Distance Tables Original'!H56+'Total Distance Tables Original'!H67+'Total Distance Tables Original'!H78+'Total Distance Tables Original'!H89+'Total Distance Tables Original'!H111+'Total Distance Tables Original'!H122+'Total Distance Tables Original'!H144+'Total Distance Tables Original'!H155</f>
        <v>275.39889359860007</v>
      </c>
      <c r="I188" s="1">
        <f ca="1">'Total Distance Tables Original'!I12+'Total Distance Tables Original'!I34+'Total Distance Tables Original'!I45+'Total Distance Tables Original'!I56+'Total Distance Tables Original'!I67+'Total Distance Tables Original'!I78+'Total Distance Tables Original'!I89+'Total Distance Tables Original'!I111+'Total Distance Tables Original'!I122+'Total Distance Tables Original'!I144+'Total Distance Tables Original'!I155</f>
        <v>278.16356454683893</v>
      </c>
      <c r="J188" s="1">
        <f ca="1">'Total Distance Tables Original'!J12+'Total Distance Tables Original'!J34+'Total Distance Tables Original'!J45+'Total Distance Tables Original'!J56+'Total Distance Tables Original'!J67+'Total Distance Tables Original'!J78+'Total Distance Tables Original'!J89+'Total Distance Tables Original'!J111+'Total Distance Tables Original'!J122+'Total Distance Tables Original'!J144+'Total Distance Tables Original'!J155</f>
        <v>280.15299825248542</v>
      </c>
      <c r="K188" s="1">
        <f ca="1">'Total Distance Tables Original'!K12+'Total Distance Tables Original'!K34+'Total Distance Tables Original'!K45+'Total Distance Tables Original'!K56+'Total Distance Tables Original'!K67+'Total Distance Tables Original'!K78+'Total Distance Tables Original'!K89+'Total Distance Tables Original'!K111+'Total Distance Tables Original'!K122+'Total Distance Tables Original'!K144+'Total Distance Tables Original'!K155</f>
        <v>281.64261891744354</v>
      </c>
    </row>
    <row r="189" spans="1:20" x14ac:dyDescent="0.2">
      <c r="A189" t="str">
        <f ca="1">A35</f>
        <v>Local Ferry</v>
      </c>
      <c r="B189" s="4">
        <f ca="1">'Total Distance Tables Original'!B167</f>
        <v>0</v>
      </c>
      <c r="C189" s="4">
        <f ca="1">'Total Distance Tables Original'!C167</f>
        <v>0</v>
      </c>
      <c r="D189" s="4">
        <f ca="1">'Total Distance Tables Original'!D167</f>
        <v>0</v>
      </c>
      <c r="E189" s="4">
        <f ca="1">'Total Distance Tables Original'!E167</f>
        <v>0</v>
      </c>
      <c r="F189" s="4">
        <f ca="1">'Total Distance Tables Original'!F167</f>
        <v>0</v>
      </c>
      <c r="G189" s="4">
        <f ca="1">'Total Distance Tables Original'!G167</f>
        <v>0</v>
      </c>
      <c r="H189" s="4">
        <f ca="1">'Total Distance Tables Original'!H167</f>
        <v>0</v>
      </c>
      <c r="I189" s="1">
        <f ca="1">'Total Distance Tables Original'!I167</f>
        <v>0</v>
      </c>
      <c r="J189" s="1">
        <f ca="1">'Total Distance Tables Original'!J167</f>
        <v>0</v>
      </c>
      <c r="K189" s="1">
        <f ca="1">'Total Distance Tables Original'!K167</f>
        <v>0</v>
      </c>
    </row>
    <row r="190" spans="1:20" x14ac:dyDescent="0.2">
      <c r="A190" t="str">
        <f ca="1">A36</f>
        <v>Other Household Travel</v>
      </c>
      <c r="B190" s="4">
        <f ca="1">'Total Distance Tables Original'!B168</f>
        <v>1.8241938706</v>
      </c>
      <c r="C190" s="4">
        <f ca="1">'Total Distance Tables Original'!C168</f>
        <v>1.7774694251000001</v>
      </c>
      <c r="D190" s="4">
        <f ca="1">'Total Distance Tables Original'!D168</f>
        <v>1.6812944196999999</v>
      </c>
      <c r="E190" s="4">
        <f ca="1">'Total Distance Tables Original'!E168</f>
        <v>1.9308307612</v>
      </c>
      <c r="F190" s="4">
        <f ca="1">'Total Distance Tables Original'!F168</f>
        <v>2.0597820572000001</v>
      </c>
      <c r="G190" s="4">
        <f ca="1">'Total Distance Tables Original'!G168</f>
        <v>2.0472325805999998</v>
      </c>
      <c r="H190" s="4">
        <f ca="1">'Total Distance Tables Original'!H168</f>
        <v>1.9888879017000001</v>
      </c>
      <c r="I190" s="1">
        <f ca="1">'Total Distance Tables Original'!I168</f>
        <v>2.0545211312479457</v>
      </c>
      <c r="J190" s="1">
        <f ca="1">'Total Distance Tables Original'!J168</f>
        <v>2.1160340583043213</v>
      </c>
      <c r="K190" s="1">
        <f ca="1">'Total Distance Tables Original'!K168</f>
        <v>2.1751780190790937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77:D177 E177:H1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14</vt:i4>
      </vt:variant>
    </vt:vector>
  </HeadingPairs>
  <TitlesOfParts>
    <vt:vector size="34" baseType="lpstr">
      <vt:lpstr>Provenance</vt:lpstr>
      <vt:lpstr>Total Trip Tables</vt:lpstr>
      <vt:lpstr>Total Distance Tables</vt:lpstr>
      <vt:lpstr>Total Duration Tables</vt:lpstr>
      <vt:lpstr>Total Trip Tables Sup #2</vt:lpstr>
      <vt:lpstr>Total Trip Tables Sup #1</vt:lpstr>
      <vt:lpstr>Total Trip Tables Original</vt:lpstr>
      <vt:lpstr>Total Distance Tables Sup #2</vt:lpstr>
      <vt:lpstr>Total Distance Tables Sup #1</vt:lpstr>
      <vt:lpstr>Total Distance Tables Original</vt:lpstr>
      <vt:lpstr>Total Duration Tables Sup #2</vt:lpstr>
      <vt:lpstr>Total Duration Tables Sup #1</vt:lpstr>
      <vt:lpstr>Total Duration Tables Original</vt:lpstr>
      <vt:lpstr>Original Population</vt:lpstr>
      <vt:lpstr>Updated Population</vt:lpstr>
      <vt:lpstr>Formatted Trip Summary</vt:lpstr>
      <vt:lpstr>Unformatted Trip Summary</vt:lpstr>
      <vt:lpstr>Active Mode Assumptions</vt:lpstr>
      <vt:lpstr>PT Assumptions</vt:lpstr>
      <vt:lpstr>Other Assumptions</vt:lpstr>
      <vt:lpstr>Auckland_Reference</vt:lpstr>
      <vt:lpstr>BOP_Reference</vt:lpstr>
      <vt:lpstr>Canterbury_Reference</vt:lpstr>
      <vt:lpstr>Gisborne_Reference</vt:lpstr>
      <vt:lpstr>Hawkes_Bay_Reference</vt:lpstr>
      <vt:lpstr>Manawatu_Reference</vt:lpstr>
      <vt:lpstr>Nelson_Reference</vt:lpstr>
      <vt:lpstr>Northland_Reference</vt:lpstr>
      <vt:lpstr>Otago_Reference</vt:lpstr>
      <vt:lpstr>Southland_Reference</vt:lpstr>
      <vt:lpstr>Taranaki_Reference</vt:lpstr>
      <vt:lpstr>Waikato_Reference</vt:lpstr>
      <vt:lpstr>Wellington_Reference</vt:lpstr>
      <vt:lpstr>West_Coast_Reference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Eruera West</cp:lastModifiedBy>
  <cp:lastPrinted>2017-05-08T03:06:17Z</cp:lastPrinted>
  <dcterms:created xsi:type="dcterms:W3CDTF">2016-05-18T22:59:49Z</dcterms:created>
  <dcterms:modified xsi:type="dcterms:W3CDTF">2019-06-05T23:35:11Z</dcterms:modified>
</cp:coreProperties>
</file>